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C:\Users\cplazas\Desktop\"/>
    </mc:Choice>
  </mc:AlternateContent>
  <xr:revisionPtr revIDLastSave="0" documentId="8_{D08BE60A-4E9F-4A95-9E64-D402797CF3F8}" xr6:coauthVersionLast="45" xr6:coauthVersionMax="45" xr10:uidLastSave="{00000000-0000-0000-0000-000000000000}"/>
  <bookViews>
    <workbookView xWindow="-120" yWindow="-120" windowWidth="20730" windowHeight="11160" activeTab="3" xr2:uid="{00000000-000D-0000-FFFF-FFFF00000000}"/>
  </bookViews>
  <sheets>
    <sheet name="1-733" sheetId="1" r:id="rId1"/>
    <sheet name="734-779" sheetId="3" r:id="rId2"/>
    <sheet name="780-2126" sheetId="4" r:id="rId3"/>
    <sheet name="2127-3075" sheetId="5" r:id="rId4"/>
    <sheet name="3076-3093" sheetId="6" r:id="rId5"/>
    <sheet name="Hoja1" sheetId="7" state="hidden" r:id="rId6"/>
    <sheet name="prueba" sheetId="2" state="hidden" r:id="rId7"/>
  </sheets>
  <externalReferences>
    <externalReference r:id="rId8"/>
  </externalReferences>
  <definedNames>
    <definedName name="_xlnm._FilterDatabase" localSheetId="0" hidden="1">'1-733'!$A$15:$H$2139</definedName>
    <definedName name="_xlnm._FilterDatabase" localSheetId="3" hidden="1">'2127-3075'!$A$16:$G$1160</definedName>
    <definedName name="_xlnm._FilterDatabase" localSheetId="4" hidden="1">'3076-3093'!$B$14:$G$198</definedName>
    <definedName name="_xlnm._FilterDatabase" localSheetId="1" hidden="1">'734-779'!$A$15:$H$164</definedName>
    <definedName name="_xlnm._FilterDatabase" localSheetId="2" hidden="1">'780-2126'!$B$12:$G$2516</definedName>
    <definedName name="_ftn1" localSheetId="2">'780-2126'!$B$1268</definedName>
    <definedName name="_ftn2" localSheetId="2">'780-2126'!$B$1269</definedName>
    <definedName name="_Hlk40426130" localSheetId="2">'780-2126'!$D$1001</definedName>
    <definedName name="_xlnm.Print_Area" localSheetId="3">'2127-3075'!$A$2:$F$27</definedName>
    <definedName name="_xlnm.Print_Area" localSheetId="4">'3076-3093'!$B$2:$G$25</definedName>
    <definedName name="_xlnm.Print_Area" localSheetId="2">'780-2126'!$B$2:$G$23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8" i="7" l="1"/>
  <c r="H8" i="7"/>
  <c r="F8" i="7"/>
  <c r="E1028" i="5" l="1"/>
  <c r="E1026" i="5"/>
  <c r="B433" i="4" l="1"/>
  <c r="B434" i="4" s="1"/>
  <c r="B435" i="4" s="1"/>
  <c r="B436" i="4" s="1"/>
  <c r="B437" i="4" s="1"/>
  <c r="B438" i="4" s="1"/>
  <c r="B439" i="4" s="1"/>
  <c r="B440" i="4" s="1"/>
  <c r="A28" i="3" l="1"/>
  <c r="A36" i="3" s="1"/>
  <c r="A39" i="3" s="1"/>
  <c r="A44" i="3" s="1"/>
  <c r="A48" i="3" s="1"/>
  <c r="A57" i="3" s="1"/>
  <c r="A62" i="3" s="1"/>
  <c r="A70" i="3" s="1"/>
  <c r="A73" i="3" s="1"/>
  <c r="G2120" i="1" l="1"/>
  <c r="G2119" i="1"/>
  <c r="G2114" i="1"/>
  <c r="G2111" i="1"/>
  <c r="G2108" i="1"/>
  <c r="G2105" i="1"/>
  <c r="G2102" i="1"/>
  <c r="G2101" i="1"/>
  <c r="G2099" i="1"/>
  <c r="G2096" i="1"/>
  <c r="G2095" i="1"/>
  <c r="G2094" i="1"/>
  <c r="G2093" i="1"/>
  <c r="G2088" i="1"/>
  <c r="G2087" i="1"/>
  <c r="G2086" i="1"/>
  <c r="G2084" i="1"/>
  <c r="G2083" i="1"/>
  <c r="G2081" i="1"/>
  <c r="G2080" i="1"/>
  <c r="G2079" i="1"/>
  <c r="G2078" i="1"/>
  <c r="G2069" i="1"/>
  <c r="G2067" i="1"/>
  <c r="G2066" i="1"/>
  <c r="G2065" i="1"/>
  <c r="G2064" i="1"/>
  <c r="G2063" i="1"/>
  <c r="G2062" i="1"/>
  <c r="G2061" i="1"/>
  <c r="G2060" i="1"/>
  <c r="G2059" i="1"/>
  <c r="G2058" i="1"/>
  <c r="G2057" i="1"/>
  <c r="G2056" i="1"/>
  <c r="G2055" i="1"/>
  <c r="G2054" i="1"/>
  <c r="G2051" i="1"/>
  <c r="G2048" i="1"/>
  <c r="G2045" i="1"/>
  <c r="G2042" i="1"/>
  <c r="G2041" i="1"/>
  <c r="G2036" i="1"/>
  <c r="G2033" i="1"/>
  <c r="G2031" i="1"/>
  <c r="G2028" i="1"/>
  <c r="G2025" i="1"/>
  <c r="G2021" i="1"/>
  <c r="G2014" i="1"/>
  <c r="G2009" i="1"/>
  <c r="G2007" i="1"/>
  <c r="G2005" i="1"/>
  <c r="G2000" i="1"/>
  <c r="G1997" i="1"/>
  <c r="G1991" i="1"/>
  <c r="G1981" i="1"/>
  <c r="G1964" i="1"/>
  <c r="G1962" i="1"/>
  <c r="G1959" i="1"/>
  <c r="G1958" i="1"/>
  <c r="G1957" i="1"/>
  <c r="G1956" i="1"/>
  <c r="G1955" i="1"/>
  <c r="G1954" i="1"/>
  <c r="G1953" i="1"/>
  <c r="G1951" i="1"/>
  <c r="G1950" i="1"/>
  <c r="G1948" i="1"/>
  <c r="G1945" i="1"/>
  <c r="G1941" i="1"/>
  <c r="G1933" i="1"/>
  <c r="G1931" i="1"/>
  <c r="G1929" i="1"/>
  <c r="G1926" i="1"/>
  <c r="G1924" i="1"/>
  <c r="G1918" i="1"/>
  <c r="G1914" i="1"/>
  <c r="G1912" i="1"/>
  <c r="G1910" i="1"/>
  <c r="G1907" i="1"/>
  <c r="G1904" i="1"/>
  <c r="G1899" i="1"/>
  <c r="G1897" i="1"/>
  <c r="G1891" i="1"/>
  <c r="G1887" i="1"/>
  <c r="G1883" i="1"/>
  <c r="G1866" i="1"/>
  <c r="G1862" i="1"/>
  <c r="G1860" i="1"/>
  <c r="G1858" i="1"/>
  <c r="G1856" i="1"/>
  <c r="G1851" i="1"/>
  <c r="G1845" i="1"/>
  <c r="G1835" i="1"/>
  <c r="G1833" i="1"/>
  <c r="G1829" i="1"/>
  <c r="G1825" i="1"/>
  <c r="G1823" i="1"/>
  <c r="G1819" i="1"/>
  <c r="G1817" i="1"/>
  <c r="G1815" i="1"/>
  <c r="G1814" i="1"/>
  <c r="G1812" i="1"/>
  <c r="G1810" i="1"/>
  <c r="G1804" i="1"/>
  <c r="G1803" i="1"/>
  <c r="G1797" i="1"/>
  <c r="G1791" i="1"/>
  <c r="G1790" i="1"/>
  <c r="G1786" i="1"/>
  <c r="G1782" i="1"/>
  <c r="G1751" i="1"/>
  <c r="G1750" i="1"/>
  <c r="G1746" i="1"/>
  <c r="G1744" i="1"/>
  <c r="G1742" i="1"/>
  <c r="G1740" i="1"/>
  <c r="G1732" i="1"/>
  <c r="G1728" i="1"/>
  <c r="G1721" i="1"/>
  <c r="G1702" i="1"/>
  <c r="G1695" i="1"/>
  <c r="G1675" i="1"/>
  <c r="G1661" i="1"/>
  <c r="G1658" i="1"/>
  <c r="G1656" i="1"/>
  <c r="G1651" i="1"/>
  <c r="G1647" i="1"/>
  <c r="G1642" i="1"/>
  <c r="G1626" i="1"/>
  <c r="G1621" i="1"/>
  <c r="G1591" i="1"/>
  <c r="G1580" i="1"/>
  <c r="G1562" i="1"/>
  <c r="G1560" i="1"/>
  <c r="G1552" i="1"/>
  <c r="G1545" i="1"/>
  <c r="G1537" i="1"/>
  <c r="G1531" i="1"/>
  <c r="G1529" i="1"/>
  <c r="G1527" i="1"/>
  <c r="G1526" i="1"/>
  <c r="G1517" i="1"/>
  <c r="G1513" i="1"/>
  <c r="G1510" i="1"/>
  <c r="G1498" i="1"/>
  <c r="G1489" i="1"/>
  <c r="G1476" i="1"/>
  <c r="G1465" i="1"/>
  <c r="G1453" i="1"/>
  <c r="G1452" i="1"/>
  <c r="G1451" i="1"/>
  <c r="G1448" i="1"/>
  <c r="G1438" i="1"/>
  <c r="G1437" i="1"/>
  <c r="G1436" i="1"/>
  <c r="G1427" i="1"/>
  <c r="G1426" i="1"/>
  <c r="G1425" i="1"/>
  <c r="G1424" i="1"/>
  <c r="G1423" i="1"/>
  <c r="G1422" i="1"/>
  <c r="G1421" i="1"/>
  <c r="G1420" i="1"/>
  <c r="G1419" i="1"/>
  <c r="G1418" i="1"/>
  <c r="G1417" i="1"/>
  <c r="G1416" i="1"/>
  <c r="G1409" i="1"/>
  <c r="G1408" i="1"/>
  <c r="G1403" i="1"/>
  <c r="G1402" i="1"/>
  <c r="G1397" i="1"/>
  <c r="G1390" i="1"/>
  <c r="G1380" i="1"/>
  <c r="G1367" i="1"/>
  <c r="G1360" i="1"/>
  <c r="G1357" i="1"/>
  <c r="G1354" i="1"/>
  <c r="G1349" i="1"/>
  <c r="G1342" i="1"/>
  <c r="G1337" i="1"/>
  <c r="G1336" i="1"/>
  <c r="G1335" i="1"/>
  <c r="G1325" i="1"/>
  <c r="G1322" i="1"/>
  <c r="G1315" i="1"/>
  <c r="G1314" i="1"/>
  <c r="G1311" i="1"/>
  <c r="G1306" i="1"/>
  <c r="G1301" i="1"/>
  <c r="G1294" i="1"/>
  <c r="G1289" i="1"/>
  <c r="G1284" i="1"/>
  <c r="G1279" i="1"/>
  <c r="G1274" i="1"/>
  <c r="G1271" i="1"/>
  <c r="G1270" i="1"/>
  <c r="G1269" i="1"/>
  <c r="G1266" i="1"/>
  <c r="G1265" i="1"/>
  <c r="G1264" i="1"/>
  <c r="G1263" i="1"/>
  <c r="G1262" i="1"/>
  <c r="G1261" i="1"/>
  <c r="G1260" i="1"/>
  <c r="G1259" i="1"/>
  <c r="G1258" i="1"/>
  <c r="G1257" i="1"/>
  <c r="G1250" i="1"/>
  <c r="G1249" i="1"/>
  <c r="G1248" i="1"/>
  <c r="G1247" i="1"/>
  <c r="G1246" i="1"/>
  <c r="G1245" i="1"/>
  <c r="G1244" i="1"/>
  <c r="G1243" i="1"/>
  <c r="G1242" i="1"/>
  <c r="G1241" i="1"/>
  <c r="G1240" i="1"/>
  <c r="G1239" i="1"/>
  <c r="G1238" i="1"/>
  <c r="G1237" i="1"/>
  <c r="G1236" i="1"/>
  <c r="G1235" i="1"/>
  <c r="G1234" i="1"/>
  <c r="G1233" i="1"/>
  <c r="G1232" i="1"/>
  <c r="G1231" i="1"/>
  <c r="G1230" i="1"/>
  <c r="G1229" i="1"/>
  <c r="G1228" i="1"/>
  <c r="G1227" i="1"/>
  <c r="G1226" i="1"/>
  <c r="G1225" i="1"/>
  <c r="G1224" i="1"/>
  <c r="G1223" i="1"/>
  <c r="G1222" i="1"/>
  <c r="G1221" i="1"/>
  <c r="G1218" i="1"/>
  <c r="G1217" i="1"/>
  <c r="G1216" i="1"/>
  <c r="G1215" i="1"/>
  <c r="G1214" i="1"/>
  <c r="G1209" i="1"/>
  <c r="G1200" i="1"/>
  <c r="G1197" i="1"/>
  <c r="G1184" i="1"/>
  <c r="G1181" i="1"/>
  <c r="G1178" i="1"/>
  <c r="G1177" i="1"/>
  <c r="G1170" i="1"/>
  <c r="G1167" i="1"/>
  <c r="G1162" i="1"/>
  <c r="G1159" i="1"/>
  <c r="G1156" i="1"/>
  <c r="G1155" i="1"/>
  <c r="G1154" i="1"/>
  <c r="G1152" i="1"/>
  <c r="G1151" i="1"/>
  <c r="G1148" i="1"/>
  <c r="G1147" i="1"/>
  <c r="G1146" i="1"/>
  <c r="G1144" i="1"/>
  <c r="G1141" i="1"/>
  <c r="G1138" i="1"/>
  <c r="G1131" i="1"/>
  <c r="G1126" i="1"/>
  <c r="G1123" i="1"/>
  <c r="G1121" i="1"/>
  <c r="G1119" i="1"/>
  <c r="G1106" i="1"/>
  <c r="G1091" i="1"/>
  <c r="G1082" i="1"/>
  <c r="G1071" i="1"/>
  <c r="G1070" i="1"/>
  <c r="G1069" i="1"/>
  <c r="G1068" i="1"/>
  <c r="G1067" i="1"/>
  <c r="G1065" i="1"/>
  <c r="G1063" i="1"/>
  <c r="G1062" i="1"/>
  <c r="G1061" i="1"/>
  <c r="G1060" i="1"/>
  <c r="G1059" i="1"/>
  <c r="G1058" i="1"/>
  <c r="G1057" i="1"/>
  <c r="G1056" i="1"/>
  <c r="G1055" i="1"/>
  <c r="G1054" i="1"/>
  <c r="G1053" i="1"/>
  <c r="G1052" i="1"/>
  <c r="G1051" i="1"/>
  <c r="G1050" i="1"/>
  <c r="G1049" i="1"/>
  <c r="G1048" i="1"/>
  <c r="G1047" i="1"/>
  <c r="G1046" i="1"/>
  <c r="G1045" i="1"/>
  <c r="G1044" i="1"/>
  <c r="G1042" i="1"/>
  <c r="G1041" i="1"/>
  <c r="G1040" i="1"/>
  <c r="G1039" i="1"/>
  <c r="G1038" i="1"/>
  <c r="G1037" i="1"/>
  <c r="G1033" i="1"/>
  <c r="G1028" i="1"/>
  <c r="G1027" i="1"/>
  <c r="G1025" i="1"/>
  <c r="G1017" i="1"/>
  <c r="G1016" i="1"/>
  <c r="G1015" i="1"/>
  <c r="G1014" i="1"/>
  <c r="G1013" i="1"/>
  <c r="G1012" i="1"/>
  <c r="G1009" i="1"/>
  <c r="G1008" i="1"/>
  <c r="G1007" i="1"/>
  <c r="G1006" i="1"/>
  <c r="G1005" i="1"/>
  <c r="G1003" i="1"/>
  <c r="G1001" i="1"/>
  <c r="G999" i="1"/>
  <c r="G998" i="1"/>
  <c r="G997" i="1"/>
  <c r="G996" i="1"/>
  <c r="G995" i="1"/>
  <c r="G994" i="1"/>
  <c r="G993" i="1"/>
  <c r="G992" i="1"/>
  <c r="G991" i="1"/>
  <c r="G990" i="1"/>
  <c r="G989" i="1"/>
  <c r="G988" i="1"/>
  <c r="G987" i="1"/>
  <c r="G986" i="1"/>
  <c r="G983" i="1"/>
  <c r="G982" i="1"/>
  <c r="G971" i="1"/>
  <c r="G962" i="1"/>
  <c r="G939" i="1"/>
  <c r="G936" i="1"/>
  <c r="G928" i="1"/>
  <c r="G916" i="1"/>
  <c r="G911" i="1"/>
  <c r="G910" i="1"/>
  <c r="G909" i="1"/>
  <c r="G908" i="1"/>
  <c r="G907" i="1"/>
  <c r="G906" i="1"/>
  <c r="G905" i="1"/>
  <c r="G904" i="1"/>
  <c r="G903" i="1"/>
  <c r="G902" i="1"/>
  <c r="G901" i="1"/>
  <c r="G900" i="1"/>
  <c r="G899" i="1"/>
  <c r="G897" i="1"/>
  <c r="G896" i="1"/>
  <c r="G895" i="1"/>
  <c r="G894" i="1"/>
  <c r="G893" i="1"/>
  <c r="G892" i="1"/>
  <c r="G891" i="1"/>
  <c r="G890" i="1"/>
  <c r="G889" i="1"/>
  <c r="G888" i="1"/>
  <c r="G887" i="1"/>
  <c r="G886" i="1"/>
  <c r="G885" i="1"/>
  <c r="G884" i="1"/>
  <c r="G883" i="1"/>
  <c r="G882" i="1"/>
  <c r="G881" i="1"/>
  <c r="G880" i="1"/>
  <c r="G879" i="1"/>
  <c r="G878" i="1"/>
  <c r="G876" i="1"/>
  <c r="G875" i="1"/>
  <c r="G873" i="1"/>
  <c r="G872" i="1"/>
  <c r="G870" i="1"/>
  <c r="G868" i="1"/>
  <c r="G867" i="1"/>
  <c r="G865" i="1"/>
  <c r="G861" i="1"/>
  <c r="G859" i="1"/>
  <c r="G858" i="1"/>
  <c r="G856" i="1"/>
  <c r="G855" i="1"/>
  <c r="G854" i="1"/>
  <c r="G852" i="1"/>
  <c r="G851" i="1"/>
  <c r="G849" i="1"/>
  <c r="G847" i="1"/>
  <c r="G846" i="1"/>
  <c r="G844" i="1"/>
  <c r="G843" i="1"/>
  <c r="G842" i="1"/>
  <c r="G841" i="1"/>
  <c r="G838" i="1"/>
  <c r="G837" i="1"/>
  <c r="G836" i="1"/>
  <c r="G835" i="1"/>
  <c r="G834" i="1"/>
  <c r="G832" i="1"/>
  <c r="G831" i="1"/>
  <c r="G829" i="1"/>
  <c r="G828" i="1"/>
  <c r="G826" i="1"/>
  <c r="G824" i="1"/>
  <c r="G822" i="1"/>
  <c r="G821" i="1"/>
  <c r="G818" i="1"/>
  <c r="G816" i="1"/>
  <c r="G810" i="1"/>
  <c r="G809" i="1"/>
  <c r="G808" i="1"/>
  <c r="G807" i="1"/>
  <c r="G801" i="1"/>
  <c r="G800" i="1"/>
  <c r="G799" i="1"/>
  <c r="G797" i="1"/>
  <c r="G794" i="1"/>
  <c r="G792" i="1"/>
  <c r="G791" i="1"/>
  <c r="G790" i="1"/>
  <c r="G789" i="1"/>
  <c r="G788" i="1"/>
  <c r="G787" i="1"/>
  <c r="G786" i="1"/>
  <c r="G785" i="1"/>
  <c r="G784" i="1"/>
  <c r="G783" i="1"/>
  <c r="G782" i="1"/>
  <c r="G775" i="1"/>
  <c r="G774" i="1"/>
  <c r="G769" i="1"/>
  <c r="G768" i="1"/>
  <c r="G767" i="1"/>
  <c r="G766" i="1"/>
  <c r="G762" i="1"/>
  <c r="G748" i="1"/>
  <c r="G747" i="1"/>
  <c r="G746" i="1"/>
  <c r="G745" i="1"/>
  <c r="G744" i="1"/>
  <c r="G743" i="1"/>
  <c r="G741" i="1"/>
  <c r="G721" i="1"/>
  <c r="G720" i="1"/>
  <c r="G716" i="1"/>
  <c r="G714" i="1"/>
  <c r="G713" i="1"/>
  <c r="G712" i="1"/>
  <c r="G711" i="1"/>
  <c r="G710" i="1"/>
  <c r="G709" i="1"/>
  <c r="G708" i="1"/>
  <c r="G707" i="1"/>
  <c r="G704" i="1"/>
  <c r="G703" i="1"/>
  <c r="G702" i="1"/>
  <c r="G701" i="1"/>
  <c r="G700" i="1"/>
  <c r="G699" i="1"/>
  <c r="G698" i="1"/>
  <c r="G697" i="1"/>
  <c r="G696" i="1"/>
  <c r="G695" i="1"/>
  <c r="G694" i="1"/>
  <c r="G693" i="1"/>
  <c r="G692" i="1"/>
  <c r="G691" i="1"/>
  <c r="G690" i="1"/>
  <c r="G689" i="1"/>
  <c r="G688" i="1"/>
  <c r="G687" i="1"/>
  <c r="G686" i="1"/>
  <c r="G685" i="1"/>
  <c r="G684" i="1"/>
  <c r="G683" i="1"/>
  <c r="G682" i="1"/>
  <c r="G681" i="1"/>
  <c r="G680" i="1"/>
  <c r="G676" i="1"/>
  <c r="G675" i="1"/>
  <c r="G674" i="1"/>
  <c r="G671" i="1"/>
  <c r="G666" i="1"/>
  <c r="G663" i="1"/>
  <c r="G660" i="1"/>
  <c r="G659" i="1"/>
  <c r="G658" i="1"/>
  <c r="G657" i="1"/>
  <c r="G656" i="1"/>
  <c r="G655" i="1"/>
  <c r="G654" i="1"/>
  <c r="G653" i="1"/>
  <c r="G652" i="1"/>
  <c r="G651" i="1"/>
  <c r="G650" i="1"/>
  <c r="G645" i="1"/>
  <c r="G640" i="1"/>
  <c r="G635" i="1"/>
  <c r="G632" i="1"/>
  <c r="G627" i="1"/>
  <c r="G626" i="1"/>
  <c r="G625" i="1"/>
  <c r="G624" i="1"/>
  <c r="G623" i="1"/>
  <c r="G622" i="1"/>
  <c r="G621" i="1"/>
  <c r="G620" i="1"/>
  <c r="G619" i="1"/>
  <c r="G618" i="1"/>
  <c r="G617" i="1"/>
  <c r="G616" i="1"/>
  <c r="G615" i="1"/>
  <c r="G614" i="1"/>
  <c r="G613" i="1"/>
  <c r="G612" i="1"/>
  <c r="G610" i="1"/>
  <c r="G609" i="1"/>
  <c r="G608" i="1"/>
  <c r="G607" i="1"/>
  <c r="G606" i="1"/>
  <c r="G605" i="1"/>
  <c r="G604" i="1"/>
  <c r="G603" i="1"/>
  <c r="G602" i="1"/>
  <c r="G601" i="1"/>
  <c r="G600" i="1"/>
  <c r="G595" i="1"/>
  <c r="G590" i="1"/>
  <c r="G583" i="1"/>
  <c r="G582" i="1"/>
  <c r="G579" i="1"/>
  <c r="G576" i="1"/>
  <c r="G573" i="1"/>
  <c r="G572" i="1"/>
  <c r="G571" i="1"/>
  <c r="G566" i="1"/>
  <c r="G557" i="1"/>
  <c r="G548" i="1"/>
  <c r="G546" i="1"/>
  <c r="G545" i="1"/>
  <c r="G542" i="1"/>
  <c r="G540" i="1"/>
  <c r="G539" i="1"/>
  <c r="G538" i="1"/>
  <c r="G537" i="1"/>
  <c r="G536" i="1"/>
  <c r="G535" i="1"/>
  <c r="G534" i="1"/>
  <c r="G533" i="1"/>
  <c r="G528" i="1"/>
  <c r="G523" i="1"/>
  <c r="G514" i="1"/>
  <c r="G505" i="1"/>
  <c r="G498" i="1"/>
  <c r="G497" i="1"/>
  <c r="G494" i="1"/>
  <c r="G493" i="1"/>
  <c r="G492" i="1"/>
  <c r="G491" i="1"/>
  <c r="G490" i="1"/>
  <c r="G489" i="1"/>
  <c r="G488" i="1"/>
  <c r="G487" i="1"/>
  <c r="G484" i="1"/>
  <c r="G483" i="1"/>
  <c r="G476" i="1"/>
  <c r="G466" i="1"/>
  <c r="G465" i="1"/>
  <c r="G464" i="1"/>
  <c r="G461" i="1"/>
  <c r="G456" i="1"/>
  <c r="G453" i="1"/>
  <c r="G450" i="1"/>
  <c r="G449" i="1"/>
  <c r="G448" i="1"/>
  <c r="G447" i="1"/>
  <c r="G446" i="1"/>
  <c r="G445" i="1"/>
  <c r="G444" i="1"/>
  <c r="G441" i="1"/>
  <c r="G440" i="1"/>
  <c r="G439" i="1"/>
  <c r="G438" i="1"/>
  <c r="G437" i="1"/>
  <c r="G436" i="1"/>
  <c r="G435" i="1"/>
  <c r="G434" i="1"/>
  <c r="G433" i="1"/>
  <c r="G432" i="1"/>
  <c r="G430" i="1"/>
  <c r="G429" i="1"/>
  <c r="G427" i="1"/>
  <c r="G420" i="1"/>
  <c r="G413" i="1"/>
  <c r="G397" i="1"/>
  <c r="G383" i="1"/>
  <c r="G368" i="1"/>
  <c r="G355" i="1"/>
  <c r="G346" i="1"/>
  <c r="G337" i="1"/>
  <c r="G332" i="1"/>
  <c r="G327" i="1"/>
  <c r="A327" i="1"/>
  <c r="A332" i="1" s="1"/>
  <c r="A337" i="1" s="1"/>
  <c r="A346" i="1" s="1"/>
  <c r="A355" i="1" s="1"/>
  <c r="A368" i="1" s="1"/>
  <c r="A383" i="1" s="1"/>
  <c r="A397" i="1" s="1"/>
  <c r="A413" i="1" s="1"/>
  <c r="A420" i="1" s="1"/>
  <c r="A427" i="1" s="1"/>
  <c r="A429" i="1" s="1"/>
  <c r="A430" i="1" s="1"/>
  <c r="A432" i="1" s="1"/>
  <c r="A433" i="1" s="1"/>
  <c r="A434" i="1" s="1"/>
  <c r="A435" i="1" s="1"/>
  <c r="A436" i="1" s="1"/>
  <c r="A437" i="1" s="1"/>
  <c r="A438" i="1" s="1"/>
  <c r="A439" i="1" s="1"/>
  <c r="A440" i="1" s="1"/>
  <c r="A441" i="1" s="1"/>
  <c r="A444" i="1" s="1"/>
  <c r="A445" i="1" s="1"/>
  <c r="A446" i="1" s="1"/>
  <c r="A447" i="1" s="1"/>
  <c r="A448" i="1" s="1"/>
  <c r="A449" i="1" s="1"/>
  <c r="A450" i="1" s="1"/>
  <c r="A453" i="1" s="1"/>
  <c r="A456" i="1" s="1"/>
  <c r="A461" i="1" s="1"/>
  <c r="A464" i="1" s="1"/>
  <c r="A465" i="1" s="1"/>
  <c r="A466" i="1" s="1"/>
  <c r="A476" i="1" s="1"/>
  <c r="A483" i="1" s="1"/>
  <c r="A484" i="1" s="1"/>
  <c r="A487" i="1" s="1"/>
  <c r="A488" i="1" s="1"/>
  <c r="A489" i="1" s="1"/>
  <c r="A490" i="1" s="1"/>
  <c r="A491" i="1" s="1"/>
  <c r="A492" i="1" s="1"/>
  <c r="A493" i="1" s="1"/>
  <c r="A494" i="1" s="1"/>
  <c r="A497" i="1" s="1"/>
  <c r="A498" i="1" s="1"/>
  <c r="A505" i="1" s="1"/>
  <c r="A514" i="1" s="1"/>
  <c r="A523" i="1" s="1"/>
  <c r="A528" i="1" s="1"/>
  <c r="A533" i="1" s="1"/>
  <c r="A534" i="1" s="1"/>
  <c r="A535" i="1" s="1"/>
  <c r="A536" i="1" s="1"/>
  <c r="A537" i="1" s="1"/>
  <c r="A538" i="1" s="1"/>
  <c r="A539" i="1" s="1"/>
  <c r="A540" i="1" s="1"/>
  <c r="A542" i="1" s="1"/>
  <c r="G316" i="1"/>
  <c r="G295" i="1"/>
  <c r="G292" i="1"/>
  <c r="G285" i="1"/>
  <c r="G278" i="1"/>
  <c r="G273" i="1"/>
  <c r="G268" i="1"/>
  <c r="G263" i="1"/>
  <c r="G262" i="1"/>
  <c r="G261" i="1"/>
  <c r="G260" i="1"/>
  <c r="G259" i="1"/>
  <c r="G258" i="1"/>
  <c r="G257" i="1"/>
  <c r="G256" i="1"/>
  <c r="G253" i="1"/>
  <c r="G252" i="1"/>
  <c r="G251" i="1"/>
  <c r="G248" i="1"/>
  <c r="G247" i="1"/>
  <c r="G237" i="1"/>
  <c r="G236" i="1"/>
  <c r="G235" i="1"/>
  <c r="G234" i="1"/>
  <c r="G233" i="1"/>
  <c r="G229" i="1"/>
  <c r="G228" i="1"/>
  <c r="G227" i="1"/>
  <c r="G226" i="1"/>
  <c r="G225" i="1"/>
  <c r="G224" i="1"/>
  <c r="G223" i="1"/>
  <c r="G220" i="1"/>
  <c r="G215" i="1"/>
  <c r="G213" i="1"/>
  <c r="G208" i="1"/>
  <c r="G204" i="1"/>
  <c r="G200" i="1"/>
  <c r="G197" i="1"/>
  <c r="G192" i="1"/>
  <c r="G189" i="1"/>
  <c r="G184" i="1"/>
  <c r="G179" i="1"/>
  <c r="G175" i="1"/>
  <c r="G172" i="1"/>
  <c r="G167" i="1"/>
  <c r="G163" i="1"/>
  <c r="G160" i="1"/>
  <c r="G157" i="1"/>
  <c r="G151" i="1"/>
  <c r="G148" i="1"/>
  <c r="G145" i="1"/>
  <c r="G142" i="1"/>
  <c r="G137" i="1"/>
  <c r="G134" i="1"/>
  <c r="G132" i="1"/>
  <c r="G131" i="1"/>
  <c r="G130" i="1"/>
  <c r="G129" i="1"/>
  <c r="G128" i="1"/>
  <c r="G127" i="1"/>
  <c r="G126" i="1"/>
  <c r="G125" i="1"/>
  <c r="G124"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3" i="1"/>
  <c r="G92" i="1"/>
  <c r="G90" i="1"/>
  <c r="G89" i="1"/>
  <c r="G88" i="1"/>
  <c r="G87" i="1"/>
  <c r="G86" i="1"/>
  <c r="G85" i="1"/>
  <c r="G84" i="1"/>
  <c r="G83" i="1"/>
  <c r="G81" i="1"/>
  <c r="G80" i="1"/>
  <c r="G79" i="1"/>
  <c r="G77" i="1"/>
  <c r="G76" i="1"/>
  <c r="G75" i="1"/>
  <c r="G72" i="1"/>
  <c r="G69" i="1"/>
  <c r="G66" i="1"/>
  <c r="G63" i="1"/>
  <c r="G60" i="1"/>
  <c r="G57" i="1"/>
  <c r="G55" i="1"/>
  <c r="G50" i="1"/>
  <c r="G47" i="1"/>
  <c r="G42" i="1"/>
  <c r="G39" i="1"/>
  <c r="G30" i="1"/>
  <c r="G21" i="1"/>
  <c r="G17" i="1"/>
  <c r="A545" i="1" l="1"/>
  <c r="A546" i="1" s="1"/>
  <c r="A548" i="1" s="1"/>
  <c r="A557" i="1" s="1"/>
  <c r="A566" i="1" s="1"/>
  <c r="A571" i="1" s="1"/>
  <c r="A572" i="1" s="1"/>
  <c r="A573" i="1" s="1"/>
  <c r="A576" i="1" s="1"/>
  <c r="A579" i="1" s="1"/>
  <c r="A582" i="1" s="1"/>
  <c r="A583" i="1" s="1"/>
  <c r="A590" i="1" s="1"/>
  <c r="A595" i="1" s="1"/>
  <c r="A600" i="1" s="1"/>
  <c r="A601" i="1" s="1"/>
  <c r="A602" i="1" s="1"/>
  <c r="A603" i="1" s="1"/>
  <c r="A604" i="1" s="1"/>
  <c r="A605" i="1" s="1"/>
  <c r="A606" i="1" s="1"/>
  <c r="A607" i="1" s="1"/>
  <c r="A608" i="1" s="1"/>
  <c r="A609" i="1" s="1"/>
  <c r="A610" i="1" s="1"/>
  <c r="A612" i="1" s="1"/>
  <c r="A613" i="1" s="1"/>
  <c r="A614" i="1" s="1"/>
  <c r="A615" i="1" s="1"/>
  <c r="A616" i="1" s="1"/>
  <c r="A617" i="1" s="1"/>
  <c r="A618" i="1" s="1"/>
  <c r="A619" i="1" s="1"/>
  <c r="A620" i="1" s="1"/>
  <c r="A621" i="1" s="1"/>
  <c r="A622" i="1" s="1"/>
  <c r="A623" i="1" s="1"/>
  <c r="A624" i="1" s="1"/>
  <c r="A625" i="1" s="1"/>
  <c r="A626" i="1" s="1"/>
  <c r="A627" i="1" s="1"/>
  <c r="A632" i="1" s="1"/>
  <c r="A635" i="1" s="1"/>
  <c r="A640" i="1" s="1"/>
  <c r="A645" i="1" s="1"/>
  <c r="A650" i="1" s="1"/>
  <c r="A651" i="1" s="1"/>
  <c r="A652" i="1" s="1"/>
  <c r="A653" i="1" s="1"/>
  <c r="A654" i="1" s="1"/>
  <c r="A655" i="1" s="1"/>
  <c r="A656" i="1" s="1"/>
  <c r="A657" i="1" s="1"/>
  <c r="A658" i="1" s="1"/>
  <c r="A659" i="1" s="1"/>
  <c r="A660" i="1" s="1"/>
  <c r="A663" i="1" s="1"/>
  <c r="A666" i="1" s="1"/>
  <c r="A671" i="1" s="1"/>
  <c r="A674" i="1" s="1"/>
  <c r="A675" i="1" s="1"/>
  <c r="A676"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7" i="1" s="1"/>
  <c r="A708" i="1" s="1"/>
  <c r="A709" i="1" s="1"/>
  <c r="A710" i="1" s="1"/>
  <c r="A711" i="1" s="1"/>
  <c r="A712" i="1" s="1"/>
  <c r="A713" i="1" s="1"/>
  <c r="A714" i="1" s="1"/>
  <c r="A716" i="1" s="1"/>
  <c r="A720" i="1" s="1"/>
  <c r="A721" i="1" s="1"/>
  <c r="A741" i="1" s="1"/>
  <c r="A743" i="1" s="1"/>
  <c r="A744" i="1" s="1"/>
  <c r="A745" i="1" s="1"/>
  <c r="A746" i="1" s="1"/>
  <c r="A747" i="1" s="1"/>
  <c r="A748" i="1" s="1"/>
  <c r="A762" i="1" s="1"/>
  <c r="A766" i="1" s="1"/>
  <c r="A767" i="1" s="1"/>
  <c r="A768" i="1" s="1"/>
  <c r="A769" i="1" s="1"/>
  <c r="A774" i="1" s="1"/>
  <c r="A775" i="1" s="1"/>
  <c r="A782" i="1" s="1"/>
  <c r="A783" i="1" s="1"/>
  <c r="A784" i="1" s="1"/>
  <c r="A785" i="1" s="1"/>
  <c r="A786" i="1" s="1"/>
  <c r="A787" i="1" s="1"/>
  <c r="A788" i="1" s="1"/>
  <c r="A789" i="1" s="1"/>
  <c r="A790" i="1" s="1"/>
  <c r="A791" i="1" s="1"/>
  <c r="A792" i="1" s="1"/>
  <c r="A794" i="1" s="1"/>
  <c r="A797" i="1" s="1"/>
  <c r="A799" i="1" s="1"/>
  <c r="A800" i="1" s="1"/>
  <c r="A801" i="1" s="1"/>
  <c r="A807" i="1" s="1"/>
  <c r="A808" i="1" s="1"/>
  <c r="A809" i="1" s="1"/>
  <c r="A810" i="1" s="1"/>
  <c r="A816" i="1" s="1"/>
  <c r="A818" i="1" s="1"/>
  <c r="A821" i="1" s="1"/>
  <c r="A822" i="1" s="1"/>
  <c r="A824" i="1" s="1"/>
  <c r="A826" i="1" s="1"/>
  <c r="A828" i="1" s="1"/>
  <c r="A829" i="1" s="1"/>
  <c r="A831" i="1" s="1"/>
  <c r="A832" i="1" s="1"/>
  <c r="A834" i="1" s="1"/>
  <c r="A835" i="1" s="1"/>
  <c r="A836" i="1" s="1"/>
  <c r="A837" i="1" s="1"/>
  <c r="A838" i="1" s="1"/>
  <c r="A841" i="1" s="1"/>
  <c r="A842" i="1" s="1"/>
  <c r="A843" i="1" s="1"/>
  <c r="A844" i="1" s="1"/>
  <c r="A846" i="1" s="1"/>
  <c r="A847" i="1" s="1"/>
  <c r="A849" i="1" s="1"/>
  <c r="A851" i="1" s="1"/>
  <c r="A852" i="1" s="1"/>
  <c r="A854" i="1" s="1"/>
  <c r="A855" i="1" s="1"/>
  <c r="A856" i="1" s="1"/>
  <c r="A858" i="1" s="1"/>
  <c r="A859" i="1" s="1"/>
  <c r="A861" i="1" s="1"/>
  <c r="A865" i="1" s="1"/>
  <c r="A867" i="1" s="1"/>
  <c r="A868" i="1" s="1"/>
  <c r="A870" i="1" s="1"/>
  <c r="A872" i="1" s="1"/>
  <c r="A873" i="1" s="1"/>
  <c r="A875" i="1" s="1"/>
  <c r="A876"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9" i="1" s="1"/>
  <c r="A900" i="1" s="1"/>
  <c r="A901" i="1" s="1"/>
  <c r="A902" i="1" s="1"/>
  <c r="A903" i="1" s="1"/>
  <c r="A904" i="1" s="1"/>
  <c r="A905" i="1" s="1"/>
  <c r="A906" i="1" s="1"/>
  <c r="A907" i="1" s="1"/>
  <c r="A908" i="1" s="1"/>
  <c r="A909" i="1" s="1"/>
  <c r="A910" i="1" s="1"/>
  <c r="A911" i="1" s="1"/>
  <c r="A916" i="1" s="1"/>
  <c r="A928" i="1" s="1"/>
  <c r="A936" i="1" s="1"/>
  <c r="A939" i="1" s="1"/>
  <c r="A962" i="1" s="1"/>
  <c r="A971" i="1" s="1"/>
  <c r="A982" i="1" s="1"/>
  <c r="A983" i="1" s="1"/>
  <c r="A986" i="1" s="1"/>
  <c r="A987" i="1" s="1"/>
  <c r="A988" i="1" s="1"/>
  <c r="A989" i="1" s="1"/>
  <c r="A990" i="1" s="1"/>
  <c r="A991" i="1" s="1"/>
  <c r="A992" i="1" s="1"/>
  <c r="A993" i="1" s="1"/>
  <c r="A994" i="1" s="1"/>
  <c r="A995" i="1" s="1"/>
  <c r="A996" i="1" s="1"/>
  <c r="A997" i="1" s="1"/>
  <c r="A998" i="1" s="1"/>
  <c r="A999" i="1" s="1"/>
  <c r="A1001" i="1" s="1"/>
  <c r="A1003" i="1" s="1"/>
  <c r="A1005" i="1" s="1"/>
  <c r="A1006" i="1" s="1"/>
  <c r="A1007" i="1" s="1"/>
  <c r="A1008" i="1" s="1"/>
  <c r="A1009" i="1" s="1"/>
  <c r="A1012" i="1" s="1"/>
  <c r="A1013" i="1" s="1"/>
  <c r="A1014" i="1" s="1"/>
  <c r="A1015" i="1" s="1"/>
  <c r="A1016" i="1" s="1"/>
  <c r="A1017" i="1" s="1"/>
  <c r="A1025" i="1" s="1"/>
  <c r="A1027" i="1" s="1"/>
  <c r="A1028" i="1" s="1"/>
  <c r="A1033" i="1" s="1"/>
  <c r="A1037" i="1" s="1"/>
  <c r="A1038" i="1" s="1"/>
  <c r="A1039" i="1" s="1"/>
  <c r="A1040" i="1" s="1"/>
  <c r="A1041" i="1" s="1"/>
  <c r="A1042"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5" i="1" s="1"/>
  <c r="A1067" i="1" s="1"/>
  <c r="A1068" i="1" s="1"/>
  <c r="A1069" i="1" s="1"/>
  <c r="A1070" i="1" s="1"/>
  <c r="A1071" i="1" s="1"/>
  <c r="A1082" i="1" s="1"/>
  <c r="A1091" i="1" s="1"/>
  <c r="A1106" i="1" s="1"/>
  <c r="A1119" i="1" s="1"/>
  <c r="A1121" i="1" s="1"/>
  <c r="A1123" i="1" s="1"/>
  <c r="A1126" i="1" s="1"/>
  <c r="A1131" i="1" s="1"/>
  <c r="A1138" i="1" s="1"/>
  <c r="A1141" i="1" s="1"/>
  <c r="A1144" i="1" s="1"/>
  <c r="A1146" i="1" s="1"/>
  <c r="A1147" i="1" s="1"/>
  <c r="A1148" i="1" s="1"/>
  <c r="A1151" i="1" s="1"/>
  <c r="A1152" i="1" s="1"/>
  <c r="A1154" i="1" s="1"/>
  <c r="A1155" i="1" s="1"/>
  <c r="A1156" i="1" s="1"/>
  <c r="A1159" i="1" s="1"/>
  <c r="A1162" i="1" s="1"/>
  <c r="A1167" i="1" s="1"/>
  <c r="A1170" i="1" s="1"/>
  <c r="A1177" i="1" s="1"/>
  <c r="A1178" i="1" s="1"/>
  <c r="A1181" i="1" s="1"/>
  <c r="A1184" i="1" s="1"/>
  <c r="A1197" i="1" s="1"/>
  <c r="A1200" i="1" s="1"/>
  <c r="A1209" i="1" s="1"/>
  <c r="A1214" i="1" s="1"/>
  <c r="A1215" i="1" s="1"/>
  <c r="A1216" i="1" s="1"/>
  <c r="A1217" i="1" s="1"/>
  <c r="A1218" i="1" s="1"/>
  <c r="A1221" i="1" s="1"/>
  <c r="A1222" i="1" s="1"/>
  <c r="A1223" i="1" s="1"/>
  <c r="A1224" i="1" s="1"/>
  <c r="A1225" i="1" s="1"/>
  <c r="A1226" i="1" s="1"/>
  <c r="A1227" i="1" s="1"/>
  <c r="A1228" i="1" s="1"/>
  <c r="A1229" i="1" s="1"/>
  <c r="A1230" i="1" s="1"/>
  <c r="A1231" i="1" s="1"/>
  <c r="A1232" i="1" s="1"/>
  <c r="A1233" i="1" s="1"/>
  <c r="A1234" i="1" s="1"/>
  <c r="A1235" i="1" s="1"/>
  <c r="A1236" i="1" s="1"/>
  <c r="A1237" i="1" s="1"/>
  <c r="A1238" i="1" s="1"/>
  <c r="A1239" i="1" s="1"/>
  <c r="A1240" i="1" s="1"/>
  <c r="A1241" i="1" s="1"/>
  <c r="A1242" i="1" s="1"/>
  <c r="A1243" i="1" s="1"/>
  <c r="A1244" i="1" s="1"/>
  <c r="A1245" i="1" s="1"/>
  <c r="A1246" i="1" s="1"/>
  <c r="A1247" i="1" s="1"/>
  <c r="A1248" i="1" s="1"/>
  <c r="A1249" i="1" s="1"/>
  <c r="A1250" i="1" s="1"/>
  <c r="A1257" i="1" s="1"/>
  <c r="A1258" i="1" s="1"/>
  <c r="A1259" i="1" s="1"/>
  <c r="A1260" i="1" s="1"/>
  <c r="A1261" i="1" s="1"/>
  <c r="A1262" i="1" s="1"/>
  <c r="A1263" i="1" s="1"/>
  <c r="A1264" i="1" s="1"/>
  <c r="A1265" i="1" s="1"/>
  <c r="A1266" i="1" s="1"/>
  <c r="A1269" i="1" s="1"/>
  <c r="A1270" i="1" s="1"/>
  <c r="A1271" i="1" s="1"/>
  <c r="A1274" i="1" s="1"/>
  <c r="A1279" i="1" s="1"/>
  <c r="A1284" i="1" s="1"/>
  <c r="A1289" i="1" s="1"/>
  <c r="A1294" i="1" s="1"/>
  <c r="A1301" i="1" s="1"/>
  <c r="A1306" i="1" s="1"/>
  <c r="A1311" i="1" s="1"/>
  <c r="A1314" i="1" s="1"/>
  <c r="A1315" i="1" s="1"/>
  <c r="A1322" i="1" s="1"/>
  <c r="A1325" i="1" s="1"/>
  <c r="A1335" i="1" s="1"/>
  <c r="A1336" i="1" s="1"/>
  <c r="A1337" i="1" s="1"/>
  <c r="A1342" i="1" s="1"/>
  <c r="A1349" i="1" s="1"/>
  <c r="A1354" i="1" s="1"/>
  <c r="A1357" i="1" s="1"/>
  <c r="A1360" i="1" s="1"/>
  <c r="A1367" i="1" s="1"/>
  <c r="A1380" i="1" s="1"/>
  <c r="A1390" i="1" s="1"/>
  <c r="A1397" i="1" s="1"/>
  <c r="A1402" i="1" s="1"/>
  <c r="A1403" i="1" s="1"/>
  <c r="A1408" i="1" s="1"/>
  <c r="A1409" i="1" s="1"/>
  <c r="A1416" i="1" s="1"/>
  <c r="A1417" i="1" s="1"/>
  <c r="A1418" i="1" s="1"/>
  <c r="A1419" i="1" s="1"/>
  <c r="A1420" i="1" s="1"/>
  <c r="A1421" i="1" s="1"/>
  <c r="A1422" i="1" s="1"/>
  <c r="A1423" i="1" s="1"/>
  <c r="A1424" i="1" s="1"/>
  <c r="A1425" i="1" s="1"/>
  <c r="A1426" i="1" s="1"/>
  <c r="A1427" i="1" s="1"/>
  <c r="A1436" i="1" s="1"/>
  <c r="A1437" i="1" s="1"/>
  <c r="A1438" i="1" s="1"/>
  <c r="A1448" i="1" s="1"/>
  <c r="A1451" i="1" s="1"/>
  <c r="A1452" i="1" s="1"/>
  <c r="A1453" i="1" s="1"/>
  <c r="A1465" i="1" s="1"/>
  <c r="A1476" i="1" s="1"/>
  <c r="A1489" i="1" s="1"/>
  <c r="A1498" i="1" s="1"/>
  <c r="A1510" i="1" s="1"/>
  <c r="A1513" i="1" s="1"/>
  <c r="A1517" i="1" s="1"/>
  <c r="A1526" i="1" s="1"/>
  <c r="A1527" i="1" s="1"/>
  <c r="A1529" i="1" s="1"/>
  <c r="A1531" i="1" s="1"/>
  <c r="A1537" i="1" s="1"/>
  <c r="A1545" i="1" s="1"/>
  <c r="A1552" i="1" s="1"/>
  <c r="A1560" i="1" s="1"/>
  <c r="A1562" i="1" s="1"/>
  <c r="A1580" i="1" s="1"/>
  <c r="A1591" i="1" s="1"/>
  <c r="A1621" i="1" s="1"/>
  <c r="A1626" i="1" s="1"/>
  <c r="A1642" i="1" s="1"/>
  <c r="A1647" i="1" s="1"/>
  <c r="A1651" i="1" s="1"/>
  <c r="A1656" i="1" s="1"/>
  <c r="A1658" i="1" s="1"/>
  <c r="A1661" i="1" s="1"/>
  <c r="A1675" i="1" s="1"/>
  <c r="A1695" i="1" s="1"/>
  <c r="A1702" i="1" s="1"/>
  <c r="A1721" i="1" s="1"/>
  <c r="A1728" i="1" s="1"/>
  <c r="A1732" i="1" s="1"/>
  <c r="A1740" i="1" s="1"/>
  <c r="A1742" i="1" s="1"/>
  <c r="A1744" i="1" s="1"/>
  <c r="A1746" i="1" s="1"/>
  <c r="A1750" i="1" s="1"/>
  <c r="A1751" i="1" s="1"/>
  <c r="A1782" i="1" s="1"/>
  <c r="A1786" i="1" s="1"/>
  <c r="A1790" i="1" s="1"/>
  <c r="A1791" i="1" s="1"/>
  <c r="A1797" i="1" s="1"/>
  <c r="A1803" i="1" s="1"/>
  <c r="A1804" i="1" s="1"/>
  <c r="A1810" i="1" s="1"/>
  <c r="A1812" i="1" s="1"/>
  <c r="A1814" i="1" s="1"/>
  <c r="A1815" i="1" s="1"/>
  <c r="A1817" i="1" s="1"/>
  <c r="A1819" i="1" s="1"/>
  <c r="A1823" i="1" s="1"/>
  <c r="A1825" i="1" s="1"/>
  <c r="A1829" i="1" s="1"/>
  <c r="A1833" i="1" s="1"/>
  <c r="A1835" i="1" s="1"/>
  <c r="A1845" i="1" s="1"/>
  <c r="A1851" i="1" s="1"/>
  <c r="A1856" i="1" s="1"/>
  <c r="A1858" i="1" s="1"/>
  <c r="A1860" i="1" s="1"/>
  <c r="A1862" i="1" s="1"/>
  <c r="A1866" i="1" s="1"/>
  <c r="A1883" i="1" s="1"/>
  <c r="A1887" i="1" s="1"/>
  <c r="A1891" i="1" s="1"/>
  <c r="A1897" i="1" s="1"/>
  <c r="A1899" i="1" s="1"/>
  <c r="A1904" i="1" s="1"/>
  <c r="A1907" i="1" s="1"/>
  <c r="A1910" i="1" s="1"/>
  <c r="A1912" i="1" s="1"/>
  <c r="A1914" i="1" s="1"/>
  <c r="A1918" i="1" s="1"/>
  <c r="A1924" i="1" s="1"/>
  <c r="A1926" i="1" s="1"/>
  <c r="A1929" i="1" s="1"/>
  <c r="A1931" i="1" s="1"/>
  <c r="A1933" i="1" s="1"/>
  <c r="A1941" i="1" s="1"/>
  <c r="A1945" i="1" s="1"/>
  <c r="A1948" i="1" s="1"/>
  <c r="A1950" i="1" s="1"/>
  <c r="A1951" i="1" s="1"/>
  <c r="A1953" i="1" s="1"/>
  <c r="A1954" i="1" s="1"/>
  <c r="A1955" i="1" s="1"/>
  <c r="A1956" i="1" s="1"/>
  <c r="A1957" i="1" s="1"/>
  <c r="A1958" i="1" s="1"/>
  <c r="A1959" i="1" s="1"/>
  <c r="A1962" i="1" s="1"/>
  <c r="A1964" i="1" s="1"/>
  <c r="A1981" i="1" s="1"/>
  <c r="A1991" i="1" s="1"/>
  <c r="A1997" i="1" s="1"/>
  <c r="A2000" i="1" s="1"/>
  <c r="A2005" i="1" s="1"/>
  <c r="A2007" i="1" s="1"/>
  <c r="A2009" i="1" s="1"/>
  <c r="A2014" i="1" s="1"/>
  <c r="A2021" i="1" s="1"/>
  <c r="A2025" i="1" s="1"/>
  <c r="A2028" i="1" s="1"/>
  <c r="A2031" i="1" s="1"/>
  <c r="A2033" i="1" s="1"/>
  <c r="A2036" i="1" s="1"/>
  <c r="A2041" i="1" s="1"/>
  <c r="A2042" i="1" s="1"/>
  <c r="A2045" i="1" s="1"/>
  <c r="A2048" i="1" s="1"/>
  <c r="A2051" i="1" s="1"/>
  <c r="A2054" i="1" s="1"/>
  <c r="A2055" i="1" s="1"/>
  <c r="A2056" i="1" s="1"/>
  <c r="A2057" i="1" s="1"/>
  <c r="A2058" i="1" s="1"/>
  <c r="A2059" i="1" s="1"/>
  <c r="A2060" i="1" s="1"/>
  <c r="A2061" i="1" s="1"/>
  <c r="A2062" i="1" s="1"/>
  <c r="A2063" i="1" s="1"/>
  <c r="A2064" i="1" s="1"/>
  <c r="A2065" i="1" s="1"/>
  <c r="A2066" i="1" s="1"/>
  <c r="A2067" i="1" s="1"/>
  <c r="A2069" i="1" s="1"/>
  <c r="A2078" i="1" s="1"/>
  <c r="A2079" i="1" s="1"/>
  <c r="A2080" i="1" s="1"/>
  <c r="A2081" i="1" s="1"/>
  <c r="A2083" i="1" s="1"/>
  <c r="A2084" i="1" s="1"/>
  <c r="A2086" i="1" s="1"/>
  <c r="A2087" i="1" s="1"/>
  <c r="A2088" i="1" s="1"/>
  <c r="A2093" i="1" s="1"/>
  <c r="A2094" i="1" s="1"/>
  <c r="A2095" i="1" s="1"/>
  <c r="A2096" i="1" s="1"/>
  <c r="A2099" i="1" s="1"/>
  <c r="A2101" i="1" s="1"/>
  <c r="A2102" i="1" s="1"/>
  <c r="A2105" i="1" s="1"/>
  <c r="A2108" i="1" s="1"/>
  <c r="A2111" i="1" s="1"/>
  <c r="A2114" i="1" s="1"/>
  <c r="A2119" i="1" s="1"/>
  <c r="A212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Valentina Diago</author>
  </authors>
  <commentList>
    <comment ref="A316" authorId="0" shapeId="0" xr:uid="{00000000-0006-0000-0000-000001000000}">
      <text>
        <r>
          <rPr>
            <b/>
            <sz val="10"/>
            <color rgb="FF000000"/>
            <rFont val="Tahoma"/>
            <family val="2"/>
          </rPr>
          <t>Valentina Diago:</t>
        </r>
        <r>
          <rPr>
            <sz val="10"/>
            <color rgb="FF000000"/>
            <rFont val="Tahoma"/>
            <family val="2"/>
          </rPr>
          <t xml:space="preserve">
</t>
        </r>
        <r>
          <rPr>
            <sz val="10"/>
            <color rgb="FF000000"/>
            <rFont val="Tahoma"/>
            <family val="2"/>
          </rPr>
          <t>122 está vacio, esta es la 123</t>
        </r>
      </text>
    </comment>
    <comment ref="A2128" authorId="0" shapeId="0" xr:uid="{00000000-0006-0000-0000-000002000000}">
      <text>
        <r>
          <rPr>
            <b/>
            <sz val="10"/>
            <color rgb="FF000000"/>
            <rFont val="Tahoma"/>
            <family val="2"/>
          </rPr>
          <t>Valentina Diago:</t>
        </r>
        <r>
          <rPr>
            <sz val="10"/>
            <color rgb="FF000000"/>
            <rFont val="Tahoma"/>
            <family val="2"/>
          </rPr>
          <t xml:space="preserve">
</t>
        </r>
        <r>
          <rPr>
            <sz val="10"/>
            <color rgb="FF000000"/>
            <rFont val="Tahoma"/>
            <family val="2"/>
          </rPr>
          <t>Este documento empieza en la 733</t>
        </r>
      </text>
    </comment>
  </commentList>
</comments>
</file>

<file path=xl/sharedStrings.xml><?xml version="1.0" encoding="utf-8"?>
<sst xmlns="http://schemas.openxmlformats.org/spreadsheetml/2006/main" count="19682" uniqueCount="10279">
  <si>
    <t xml:space="preserve">EMPRESA O PERSONA </t>
  </si>
  <si>
    <t>OBSERVACIÓN REALIZADA</t>
  </si>
  <si>
    <t>DOCUMENTO O SECCIÓN QUE SE OBSERVA</t>
  </si>
  <si>
    <t>TIPO DE OBSERVACIÓN (TÉCNICA, JURÍDICA, FINANCIERA, ETC.)</t>
  </si>
  <si>
    <t>RESPUESTA DE LA ENTIDAD</t>
  </si>
  <si>
    <t xml:space="preserve">QUE OBSERVA </t>
  </si>
  <si>
    <t>LEONARDO ARÉVALO CRUZ, PAVIMENTOS COLOMBIA S.A.S.</t>
  </si>
  <si>
    <t>1. En el Documento de proyecto al pliego de condiciones numeral 1.7 Cuarto de Información de Referencia la Entidad especifica que los interesados podrán revisar la información de Referencia de manera virtual en el enlace que aparece en este numeral, sin embargo una vez revisado el link, este no tiene acceso y aparece el siguiente mensaje de error:</t>
  </si>
  <si>
    <t xml:space="preserve">Numeral 1.7 del Proyecto de Pliego de Condiciones </t>
  </si>
  <si>
    <t xml:space="preserve">La entidad informa al interesado que en el documento “ACCESO AL CUARTO DE INFORMACIÓN DE REFERENCIA”, subido a la plataforma del SECOP I, el 07.04.2020, se encuentra el link para el sharepoint con dicha información de referencia. El link se encuentra en funcionamiento y se puede consultar la información en su totalidad. 
De igual manera se incluye el link del cuarto de datos a continuación: https://anionline-my.sharepoint.com/:f:/g/personal/cdatosani02_ani_gov_co/EslXe6ayJ55PiZWYrSYGc24B367_s7v1-Bp-wOEyEKefcQ?e=XWfQDi
</t>
  </si>
  <si>
    <t>SUPERFICIES COLOMBIA S.A.S.</t>
  </si>
  <si>
    <t>Así las cosas, solicitamos muy comedidamente a la Entidad realizar nuevamente la verificación del link y volverlo a publicar para realizar la revisión de la información pertinente para el análisis del proyecto,</t>
  </si>
  <si>
    <t xml:space="preserve">SOFÍA BUITRAGO DUQUE, </t>
  </si>
  <si>
    <t xml:space="preserve">Solicito por favor información sobre el proyecto MALLA VIAL DEL VALLE DEL CAUCA: ACCESOS CALI-PALMIRA, me gustaría saber la fecha estimada en que saldrá a licitación cada unidad funcional en especial el componente de interventoría. </t>
  </si>
  <si>
    <t xml:space="preserve">Información general </t>
  </si>
  <si>
    <t>Se aclara al interesado que el Proceso de Selección resultará en la Adjudicación de un (1) Contrato de Concesión que incluye todas las Unidades Funcionales señaladas, sin que exista un Proceso de Selección para cada una de ellas. Lo mismo ocurrirá para el Contrato de Interventoría. 
El objeto del Contrato de Concesión a adjudicar será el otorgamiento de una concesión que, bajo el esquema de Asociación Público Privada en los términos de la Ley 1508 de 2012, permita llevar a cabo la financiación, elaboración de estudios y diseños definitivos, gestión ambiental, gestión predial y, gestión social, construcción, rehabilitación, operación y mantenimiento del proyecto Nueva Malla Vial del Valle del Cauca – Corredor Accesos Cali y Palmira.
Para efectos de consultar la información del proceso, se aclara que la misma se encuentra publicada en el SECOP, en la convocatoria Proceso VJ-VE-APP-IPB-001-2020. Dentro de la misma se encuentra, el documento “ACCESO AL CUARTO DE INFORMACIÓN DE REFERENCIA”. De igual manera, a continuación se incluye el link del proceso: https://www.contratos.gov.co/consultas/detalleProceso.do?numConstancia=20-19-10660579
Adicionalmente, se informa al interesado que la Entidad actualmente se encuentra estructurando el proceso de interventoría el cual será publicado próximamente con el fin de que su adjudicación permita la participación del interventor en la ejecución de Contrato de Concesión.</t>
  </si>
  <si>
    <t>INTEGRAL INGENIEROS CONSULTORES</t>
  </si>
  <si>
    <t>Se estima que la duración de las obras sea de cinco años y medio, incluido un año de preconstrucción. La concesión será por un periodo de 29 años.</t>
  </si>
  <si>
    <t>RICHARD HOEFLINGER, STRABAG S.A.S.</t>
  </si>
  <si>
    <t>RICHARD HOEFLINGER, identificado como aparece al pie de mi firma, en representación de STRABAG S.A.S. por medio del presente escrito solicito respetuosamente se aplace la fecha para realizar observaciones al Proyecto de Pliego de Condiciones de la Licitación de la referencia.</t>
  </si>
  <si>
    <t xml:space="preserve">Numeral 2.3 del Pliego de Condiciones </t>
  </si>
  <si>
    <t>De acuerdo con las observaciones presentadas por los Interesados y con el fin de otorgar plazo prudencial para la revisión de los Documentos del Proceso de Contratación, se modificó el cronograma a través de los Avisos Modificatorios publicados en el SECOP</t>
  </si>
  <si>
    <t xml:space="preserve">Cronograma del Proceso </t>
  </si>
  <si>
    <t>Formulo la presente solicitud teniendo en consideración que los documentos de la Licitación fueron publicados al final del día del 6 de abril de 2020 a las 6:46pm y el plazo previsto en el Proyecto de Pliego de Condiciones para formular preguntas es el próximo 22 abril de 2020. Nótese que entre una y otra fecha tan solo hay 10 días hábiles, lo no corresponde a un tiempo razonable para que los interesados puedan revisar los extensos y complejos documentos de la Licitación, más aun teniendo en cuenta que la ANI ha señalado un nuevo modelo de contrato de concesión para el Proyecto.</t>
  </si>
  <si>
    <t>Adicionalmente, las circunstancias actuales relacionadas con el COVID-19 en el país hacen que los actores del mercado en infraestructura se encuentren enfocados en solucionar las complejas problemáticas en los proyectos en los que participan y por lo tanto un plazo tan extremadamente corto para formular observaciones afecta directamente la posibilidad de revisar en detalle los documentos de la Licitación y por lo tanto la eventual participación y pluralidad de oferentes en la misma.</t>
  </si>
  <si>
    <t>Finalmente, la ANI debe considerar que por el momento no es posible realizar visitas de campo, lo cual limita ampliamente la posibilidad de formular observaciones a los documentos de la Licitación.</t>
  </si>
  <si>
    <t>En estos términos solicitamos respetuosamente que se amplié el plazo como mínimo hasta el 11 de mayo de 2020 para formular observaciones al Proyecto de Pliego de Condiciones y demás documentos de la Licitación.</t>
  </si>
  <si>
    <t>VIVIAN LEIGHTON, COWI A/S</t>
  </si>
  <si>
    <t xml:space="preserve">Información General </t>
  </si>
  <si>
    <t xml:space="preserve">JAIRO GIL MONTERO, </t>
  </si>
  <si>
    <t xml:space="preserve">Somos una organización que nos dedicamos a la fabricación, comercialización y mantenimiento de basculas para camiones. Tenemos más de 20 años de experiencia, estamos certificados y contamos con reconocimiento nacional, principalmente en el sector portuario y carbonero. </t>
  </si>
  <si>
    <t>La Entidad informa al interesado que las condiciones y reglas de participación en el Proceso de Selección se encuentran publicados en el SECOP, en la convocatoria Proceso VJ-VE-APP-IPB-001-2020. 
Así mismo, la Entidad aclara que corresponde a cada interesado evaluar la forma y estructura de participación en el Proceso de Selección de acuerdo con las condiciones establecidas en el Pliego de Condiciones.</t>
  </si>
  <si>
    <t xml:space="preserve">BASCOSTA </t>
  </si>
  <si>
    <t>Es nuestro interés poder vincularnos al suministro de estos equipos en los proyectos 5G.</t>
  </si>
  <si>
    <t>Quisiéramos saber cómo podemos participar?</t>
  </si>
  <si>
    <t>Si debemos hacerlo por medio de un proponente, como podemos saber cuáles son las empresas que están participando?</t>
  </si>
  <si>
    <t>Valoramos mucho la atención y tiempo dedicado a darle respuesta a esta misiva.</t>
  </si>
  <si>
    <t xml:space="preserve">SUSANA SANTAMARIA, </t>
  </si>
  <si>
    <t>Me dirijo a ustedes en referencia a la información facilitada en el cuarto de datos del Proceso VJ-VE-APP-IPB-001-2020. Según el Estudio de Tráfico (Doc. 0AI) facilitado, se llevó a cabo una extensa campaña de trabajo de campo de Aforos Vehiculares, Encuestas Origen-Destino, Encuestas de Preferencia Declarada, Estudios de Velocidades y Tiempos de Recorrido.</t>
  </si>
  <si>
    <t xml:space="preserve">Estudio de tráfico </t>
  </si>
  <si>
    <t xml:space="preserve">Técnica </t>
  </si>
  <si>
    <t xml:space="preserve">La entidad informa al interesado que en la carpeta 0AI2 del cuarto de datos se encuentran los anexos del estudio de tráfico realizado. 
En la carpeta CII4123 se encuentra el Estudio de Tráfico y Demanda que reúne los resultados de los Aforos Vehiculares (Sección 1.2.3), Encuestas de Origen Destino (Sección 1.2.2), Encuestas de Preferencia Declarada (Sección 1.2.6), Estudios de Velocidades y Tiempos Recorridos (Sección 1.2.4). Esta información estará disponible a título meramente informativo acorde con las condiciones de la Sección 1.7 Cuarto de Información de Referencia del Pliego de Condiciones. </t>
  </si>
  <si>
    <t>DIADRO CONSULTING ESPAÑA</t>
  </si>
  <si>
    <t xml:space="preserve"> Dada la situación actual, me preguntaba si van a proporcionar estos datos. Con un formato de manera que puedan ser utilizados para desarrollar un modelo de redes.  </t>
  </si>
  <si>
    <t>RICHARD HOEFLINGER, identificado como aparece al pie de mi firma, en representación de STRABAG S.A.S. por medio del presente escrito reitero respetuosamente nuestra solicitud elevada el pasado 14 de abril en la que se solicitó el aplazamiento de la fecha para realizar observaciones al Proyecto de Pliego de Condiciones de la Licitación de la referencia.</t>
  </si>
  <si>
    <t>Como es de público conocimiento el día de ayer 20 de abril de 2020, el Gobierno Nacional anunció que las medidas del aislamiento preventivo obligatorio se extenderán hasta el 11 de mayo, lo cual hace imposible estudiar adecuadamente los documentos de la Licitación, mucho menos hacer visitas o inspecciones al proyecto objeto de la Licitación y de hecho, hace imposible que se lleve a cabo la audiencia de aclaraciones al pliego de condiciones y audiencia de riesgos prevista precisamente para el 11 de mayo de acuerdo con el cronograma previsto en el numeral 2.2. del Proyecto de Pliego de Condiciones de la Licitación.</t>
  </si>
  <si>
    <t>En este sentido, solicitamos respetuosamente que se amplié el plazo para formular observaciones al Proyecto de Pliego de Condiciones y demás documentos de la Licitación y que en consecuencia se aplacen todas las actividades subsecuentes previstas en el numeral 2.2. del proyecto de pliego de condiciones de la Licitación como mínimo en 1 mes calendario.</t>
  </si>
  <si>
    <t>Destacamos que la ANI el día de ayer modificó, por ejemplo, la Invitación a Precalificar No VJ-VE-IP-001-2019 cuyo objeto es la adjudicación de un contrato relativo al Rio Magdalena, ajustando el cronograma de la misma en más de seis semanas en muchas de las actividades de dicho proceso de selección. En este mismo sentido solicitamos que la ANI proceda frente a la Licitación.</t>
  </si>
  <si>
    <t>Finalmente reiteramos que los documentos de la Licitación fueron publicados al final del día del 6 de abril de 2020 a las 6:46pm y el plazo previsto en el Proyecto de Pliego de Condiciones para formular preguntas vence mañana 22 abril de 2020. Nótese que entre una y otra fecha tan solo hay 10 días hábiles, lo no corresponde a un tiempo razonable para que los interesados puedan revisar los extensos y complejos documentos de la Licitación (más de 1000 páginas de documentos), con mayor razón si se tiene en cuenta que la ANI ha señalado un nuevo modelo de contrato de concesión.</t>
  </si>
  <si>
    <t xml:space="preserve">EFREN ANGELINO SANDOVAL MORA, GRODCO </t>
  </si>
  <si>
    <t>De la manera más atenta y teniendo en cuenta en Colombia dentro del área de la construcción son muy pocas las empresas que tienen un Patrimonio neto mayor a 200 mil millones de pesos, con el fin de aumentar la participación de empresas nacionales, solicitamos a la ANI se reduzca el patrimonio neto requerido en el numeral 4.3.4 -d -i, del valor solicitado de 232.600.000.000 a 175.000.000.000, es decir, se aplique una reducción del 25%.</t>
  </si>
  <si>
    <t>Numeral 4.3.4 del Pliego de Condiciones</t>
  </si>
  <si>
    <t xml:space="preserve">Financiera </t>
  </si>
  <si>
    <t>Esta reducción que no afecta la seguridad financiera del proyecto, la cual está también respaldada en un cupo de crédito considerable y las pólizas, además de que sobre el patrimonio total, de 581.400.000.000 no se solicita cambio alguno y por ende no se impacta de ninguna manera el riesgo del proyecto pero sí se permite una mayor participación de empresas nacionales.</t>
  </si>
  <si>
    <t xml:space="preserve">ARTURO ALEJANDRO PACHECO, </t>
  </si>
  <si>
    <t>Debido a la situación de la pandemia COVID - 19, se solicita  que la audiencia de aclaracion de pliegos y riesgos sea transmitida por webinar -  considerando las restricciones de viajes para las empresas que estan en otros paises</t>
  </si>
  <si>
    <t>Proyecto Pliego de Condiciones / 2.3Cronograma de Licitación Pública</t>
  </si>
  <si>
    <t xml:space="preserve">De acuerdo con lo establecido por el artículo 1 del Decreto 537 de 2020, las audiencias públicas que deban desarrollarse en procesos de selección podrán adelantarse a través de medios electrónicos durante el tiempo que dure la Emergencia Sanitaria decretada por el Ministerio de Salud y Protección Social, garantizando el acceso a los proponentes, entes de control y cualquier ciudadano interesado. Teniendo en cuenta lo anterior, y en la medida en que la Emergencia Sanitaria continúe con posterioridad al 30 de mayo del año en curso y/o se mantengan las restricciones de aglomeraciones decretadas por el Gobierno Nacional, la audiencia podrá realizarse a través de medios electrónicos.
En todo caso, aun cuando la referida audiencia se lleve a cabo de forma presencial, con el fin de permitir el acceso a personas que puedan verse limitadas para participar de forma directa, se informa al interesado que la audiencia será transmitida a través de un webinar cuyos datos de acceso serán publicados con la debida antelación.
</t>
  </si>
  <si>
    <t>GRAÑA Y MONTERO S.A.A.</t>
  </si>
  <si>
    <t>Debido a la situación de la pandemia COVID - 19, se solicita una  ampliación de plazo de todo el cronograma, teniendo en cuenta que visitas a la zona no se podran hacer en los proximos 2 meses y elaborar una oferta sin conocer la zona es dificil.</t>
  </si>
  <si>
    <t>Respecto al cálculo de retribución, se solicita ampliar la explicación del alcance de la Explotación comercial</t>
  </si>
  <si>
    <t>Contrato Parte Especial / 4.3 Cálculo de la retribución</t>
  </si>
  <si>
    <t>Los Ingresos por Explotación Comercial son un término definido en la Minuta Parte General, en la Sección 1.94, a su vez los servicios adicionales estàn definidos en la Sección 1,163.</t>
  </si>
  <si>
    <t>Se consulta si una paralización futura por COVID - 19 se considerará como Fuerza Mayor</t>
  </si>
  <si>
    <t>Contrato Parte General / 1.79 Fuerza Mayor</t>
  </si>
  <si>
    <t>Se consulta si existiera alguna paralización social futura como caso COVID19, si hay alguna garantia al concesionario para tener ingresos dado que no habria mayor recaudo.</t>
  </si>
  <si>
    <t>Anexo 22 Matriz de Riesgos / Comercial</t>
  </si>
  <si>
    <t>Se solicita explicar de manera más detallada como se fijará la estructura  tarifaría en la mencionada Resolución de Peajes.</t>
  </si>
  <si>
    <t>Contrato Parte General / 1.158 Resolución de Peaje</t>
  </si>
  <si>
    <t>Si bien no se cuenta con la Resolución de Peajes, la Sección 4.2 (b) de la Minuta Parte Especial establece que la estructura tarifaria vigente se mantendrá y será actualizada año a año con la inflación del año inmediatamente anterior en la manera que la fórmula de la Sección lo resuelve.</t>
  </si>
  <si>
    <t>Contrato Parte Especial / 4.2 Estructura Tarifaria</t>
  </si>
  <si>
    <t>LUIS LEONARDO LEAL MURILLO, FCC CONSTRUCCIÓN, 22/04/2020</t>
  </si>
  <si>
    <t>La descripción del Anexo 22 y del Anexo 23 coincide. Favor de aclarar.</t>
  </si>
  <si>
    <t>PROYECTO DE PLIEGO DE CONDICIONES     1.4.1 (d) (xxvi) y (xxvii)</t>
  </si>
  <si>
    <t>Jurídica Contratación</t>
  </si>
  <si>
    <t>Se aclara al interesado que se trata de anexos diferentes el Anexo 22 corresponde a la Matriz de Riesgos del Proyecto y el Anexo 23 corresponde a la Matriz de Riesgos del Proceso de Selección, este último corresponde a la Matriz propuesta por el Manual para la Identificación y Cobertura del Riesgo en los Procesos de Contratación de Colombia Compra Eficiente.</t>
  </si>
  <si>
    <t>Solicitamos tengan la consideración de aplazar la fecha de entrega de la oferta prevista para el 6 de agosto de 2020 un mínimo de sesenta (60) días, debido a la gran cantidad de información del proyecto que se ha de revisar, analizar y elaborar para poder presentar una oferta adecuada y atendiendo a las circunstancias excepcionales en que nos encontramos fruto de la pandemia del COVID19.</t>
  </si>
  <si>
    <t>PROYECTO DE PLIEGO DE CONDICIONES     2.3 Cronograma de la licitación pública</t>
  </si>
  <si>
    <t>Se solicita comedidamente en pro de la pluralidad de proponentes que se elimine el requisito del que trata el numeral 5.6 PUNTAJE ADICIONAL OFERENTES CON TRABAJADORES EN CONDICIÓN DE DISCAPACIDAD, esto puesto que entra en evidente contradicción con principio de reciprocidad y el trato nacional, puesto que una empresa extrajera sin operación en Colombia evidentemente no tiene como demostrar vinculación de personal en situación de discapacidad a través de certificado expedido por el Ministerio de Trabajo de Colombia</t>
  </si>
  <si>
    <t>PROYECTO DE PLIEGO DE CONDICIONES</t>
  </si>
  <si>
    <t xml:space="preserve">Se informa al interesado que el requisito contenido en el numeral 5.6 correspondiente al “Puntaje Adicional Oferentes con Trabajadores en Condición de Discapacidad” se incluyó en cumplimiento de lo previsto por el Decreto 392 de 2018 que reglamenta los incentivos en procesos de contratación en favor de personas con discapacidad. 
Por su parte, se informa al interesado que, de acuerdo con concepto de Colombia Compra Eficiente, los proponentes extranjeros interesados en participar en Procesos de Contratación y obtener el puntaje adicional establecido en el Decreto 392 de 2018, deberán incluir en su nómina a personas en situación de discapacidad vinculadas laboralmente según el ordenamiento jurídico colombiano y solicitar el certificado en el Ministerio del Trabajo. En este caso, el certificado será expedido con la información allegada por el empleador al momento de la solicitud, sin que para el mismo existan mecanismos de reciprocidad en ese aspecto (CCE - Respuesta a consulta # 4201813000007574).
En esta medida, se informa al interesado que no se acepta su observación, toda vez que no existe una restricción específica para los proponentes extranjeros, toda vez que los mismos podrán acreditar este requisito de acuerdo con lo establecido por la ley.  
</t>
  </si>
  <si>
    <t>5.6 PUNTAJE ADICIONAL OFERENTES CON TRABAJADORES EN CONDICIÓN DE DISCAPACIDAD</t>
  </si>
  <si>
    <t>El método de evaluación definido en el Pliego de Condiciones se considera demasiado complejo. Se propone una simplificación escogiendo tan solo uno de las formas de evaluación que se recogen en este apartado.</t>
  </si>
  <si>
    <t>PROYECTO DE PLIEGO DE CONDICIONES     8.5 Evaluación del sobre nº 2</t>
  </si>
  <si>
    <t>Financiera</t>
  </si>
  <si>
    <t>Se le informa al interesado que el método de evaluación definido en el Pliego de Condiciones incluye un paso adicional cuyo objetivo es descartar ofertas artificialmente bajas de manera que el sorteo se realice sobre una muestra de ofertas competitivas y dentro del margen del mercado. Por tal razón su observación  no es procedente.</t>
  </si>
  <si>
    <t>Se considera un plazo insuficiente y se propone ampliar a 30 días hábiles</t>
  </si>
  <si>
    <t>PROYECTO DE PLIEGO DE CONDICIONES     9.3.1 Constitución de la SPV</t>
  </si>
  <si>
    <t xml:space="preserve">Se informa al interesado que no se acoge su observación. La ANI considera que el plazo previsto para la constitución del SPV es suficiente y razonable toda vez que coincide con los plazos usualmente requeridos para adelantar este trámite.  </t>
  </si>
  <si>
    <t>Este plazo es incompatible con el fijado en el calendario de la licitación así como con el plazo fijado para la constitución de la SPV. Favor de aclarar.</t>
  </si>
  <si>
    <t>PROYECTO DE PLIEGO DE CONDICIONES     9.4.1 Suscripción del contrato</t>
  </si>
  <si>
    <t>Se propone ampliar el plazo a 30 días hábiles.</t>
  </si>
  <si>
    <t>Se propone incluir "por causas imputables al Oferente".</t>
  </si>
  <si>
    <t>PROYECTO DE PLIEGO DE CONDICIONES     9.4.2 Suscripción del contrato</t>
  </si>
  <si>
    <t xml:space="preserve">Se informa al interesado que la Entidad no considera necesario hacer la referida aclaración. La Adjudicación al Oferente calificado en segundo lugar sólo procederá en el evento en que el SPV no firme el Contrato por causas imputables a él mismo.   </t>
  </si>
  <si>
    <t>CONTRATO DE CONCESIÓN PARTE GENERAL     1.21 Beneficiario Real</t>
  </si>
  <si>
    <t>Se informa al interesado que no se acepta su observación. La definición de Beneficiario real coincide con las definiciones legales incluidas en el artículo 6.1.1.1.3 del Decreto 2555 de 2010 y el artículo 23 de la Ley 1508 de 2012. De acuerdo con la definición legal, se entiende que las matrices y subordinadas  se encuentran incluidas como  Beneficiario Real toda vez que cumplen con las condiciones previstas para serlo.</t>
  </si>
  <si>
    <t>Se debe incluir una definición de Caducidad del Contrato.</t>
  </si>
  <si>
    <t>CONTRATO DE CONCESIÓN      Capítulo 1 y Sección 17.2 (a) (i) Caducidad del Contrato</t>
  </si>
  <si>
    <t xml:space="preserve">No se acoge su observación consistente en la inclusión de una definición de caducidad, teniendo en cuenta la figura de la caducidad se encuentra regulada en la Ley, y tiene desarrollo en la jurisprudencia. 
De acuerdo con la Sección 11.1 del Contrato Parte General , si se presenta algún incumplimiento de las obligaciones a cargo del Concesionario establecidas en el Contrato, que afecte de manera grave y directa la ejecución del mismo, de manera tal que evidencie que pueda conducir a su paralización o se presentan las causales previstas en las leyes 40 de 1993, 80 de 1993, 418 de 1997 prorrogada por la Ley 1738 de 2014 , 610 de 2000 y demás normas aplicables, la ANI, por medio de acto administrativo debidamente motivado, podrá decretar la caducidad del Contrato y ordenar su liquidación en el estado en que se encuentre.
</t>
  </si>
  <si>
    <t>Se solicita incluir definición y desarrollo de la afectación del cambio de ley aplicable durante la ejecución del Contrato de Concesión.</t>
  </si>
  <si>
    <t>CONTRATO DE CONCESIÓN      Capítulo 1 y Capítulo 19 Cambio de Ley Aplicable</t>
  </si>
  <si>
    <t xml:space="preserve">Se informa al interesado que, de acuerdo con lo previsto por la Sección 13.2(xxviii) los efectos favorables y/o desfavorables derivados de los cambios en la Ley Aplicable, con excepción de la cobertura dada al riesgo de Cambio Tributario y cambio en Especificaciones Técnicas, definidos en las Secciones 13.3(o) y 13.3(p), respectivamente, son un riesgo asumido por el Concesionario. Por tal motivo su observación no es procedente. </t>
  </si>
  <si>
    <t>Se sugiere incluir expresamente los cambios de norma no solo debido a modificaciones en la ley tributaria que impongan cargas adicionales a las Especificaciones Técnicas vigentes al momento de presentar la Oferta.</t>
  </si>
  <si>
    <t>CONTRATO DE CONCESIÓN      1.22 y 3.16 Cambio Tributario</t>
  </si>
  <si>
    <t>Se informa al interesado que la definición de Cambio Tributario contempla la imposición de nuevos tributos o la eliminación o variación de los existentes, respecto de los vigentes al momento de la presentación de la Oferta, que en forma directa y en su efecto acumulado, impacte positiva o negativamente el costo de ejecución del
Contrato para el Concesionario. 
Por su parte, los efectos favorables y/o desfavorables derivados de los cambios en la Ley Aplicable, con excepción de la cobertura dada al riesgo de Cambio Tributario y cambio en Especificaciones Técnicas, definidos en las Secciones 13.3(o) y 13.3(p), respectivamente, son un riesgo asumido por el Concesionario</t>
  </si>
  <si>
    <t>Se debe definir quiénes integrarán el Comité Fiduciario, toda vez que es el Comité quien impartirá las instrucciones a la Fiduciaria.</t>
  </si>
  <si>
    <t>CONTRATO DE CONCESIÓN      1.30 Comité Fiduciario</t>
  </si>
  <si>
    <t>FINANCIERA</t>
  </si>
  <si>
    <t xml:space="preserve">Se informa al interesado que el Comité Fiduciario es el organismo encargado de vigilar e impartir instrucciones a la Fiduciaria para el desarrollo del objeto del Patrimonio Autónomo, sus reglas de conformación y facultades estarán determinadas en el Contrato de Fiducia Mercantil. Dichas reglas serán establecidas de común acuerdo entre el Concesionario y la Fiduciaria. 
En todo caso, de acuerdo con lo establecido en el Contrato, la ANI asistirá a todas y cada una de las sesiones que efectúe el Comité Fiduciario con voz, pero sin voto en la toma de decisiones que allí se sometan a consideración. </t>
  </si>
  <si>
    <t>Se solicita añadir en la definición de Fuerza Mayor la declaración de pandemias.</t>
  </si>
  <si>
    <t>CONTRATO DE CONCESIÓN      1.79 Fuerza Mayor</t>
  </si>
  <si>
    <t>Se sugiere cambiar la definición por la siguiente propuesta:</t>
  </si>
  <si>
    <t>CONTRATO DE CONCESIÓN      1.94 Ingresos por Explotación Comercial</t>
  </si>
  <si>
    <t>La Entidad considera que la redacción propuesta puede generar confusiones que la redacción actual no genera, por lo que no se considera procedente su observación.</t>
  </si>
  <si>
    <t>Incluir definición genérica de Recursos. “son los Recursos de Deuda y los Recursos de Patrimonio”. En consecuencia, se debe incluir mayúsculas en “Recursos” en la Sección de Declaraciones y Garantías 2.6(a)(x).</t>
  </si>
  <si>
    <t>CONTRATO DE CONCESIÓN       Recursos</t>
  </si>
  <si>
    <t xml:space="preserve">Se informa al interesado que el uso de los recursos regulado en la Sección 2.6(a)(x) hace referencia expresa al tipo de recursos que se refiere, incluyendo los Recursos de Deuda, Recursos de Patrimonio y aquellos recursos provenientes de la Retribución. Incluir una definición genérica de Recursos como el interesado la propone a lo largo del documento puede generar confusión al lector. En esta medida, no se acepta su observación. 
</t>
  </si>
  <si>
    <t>Se propone ampliar el plazo para la Suscripción del Acta de inicio a 45 días hábiles</t>
  </si>
  <si>
    <t>CONTRATO DE CONCESIÓN</t>
  </si>
  <si>
    <t>TÉCNICA</t>
  </si>
  <si>
    <t>Se informa al interesado que no se acepta su observación. La ANI considera que el plazo de 30 Días Hábiles para la suscripción del Acta de Inicio del Contrato es suficiente y se compadece con las necesidades del Proyecto.</t>
  </si>
  <si>
    <t>2.3 (b)</t>
  </si>
  <si>
    <t>Se propone ampliar el plazo para la presentación de la Garantía Única y que ésta no se requiera para iniciar la ejecución del Contrato, toda vez que para dicho momento estará aún vigente la Garantía de Seriedad de la Oferta. En ese mismo sentido, se debe incluir que la ANI, si la Garantía de Seriedad de la Oferta se encontrare vigente, la deberá restituir, sin haberla afectado.</t>
  </si>
  <si>
    <t>CONTRATO DE CONCESIÓN      2.3(b)(i) Perfeccionamiento del Contrato e Inicio de la Ejecución</t>
  </si>
  <si>
    <t xml:space="preserve">Se informa al interesado que no se acepta su observación. El artículo 41 de la Ley 80 de 1993 modificado por el artículo 23 de la Ley 1150 de 2007 establece que para la ejecución del contrato se requerirá la aprobación de la garantía. 
Particularmente, se aclara al interesado que la Garantía de Seriedad de la Oferta no cubre el incumplimiento de las obligaciones contractuales. De acuerdo con lo señalado por el artículo 2.2.1.2.3.1.6. del Decreto 1082 de 2015, la Garantía de Seriedad de la Oferta, como su nombre lo dice, cubre entre otros, la sanción derivada del incumplimiento de la oferta y la falta de otorgamiento por parte del proponente seleccionado de la garantía de cumplimiento del contrato.
</t>
  </si>
  <si>
    <t>Se debe acortar el plazo para la suscripción del Contrato de Interventoría.</t>
  </si>
  <si>
    <t>CONTRATO DE CONCESIÓN      2.3(b)(v) Perfeccionamiento del Contrato e Inicio de la Ejecución</t>
  </si>
  <si>
    <t xml:space="preserve">Se informa al interesado que no se acepta su observación. La ANI considera que el plazo establecido para la firma del Contrato de Interventoría es suficiente y se ajusta a las necesidades del Proyecto, toda vez que se trata de una condición necesaria para el inicio de ejecución del Contrato de Concesión.
</t>
  </si>
  <si>
    <t>El pago de las comisiones a los estructuradores no debe ser una condición precedente sino que se debe hacer en un plazo contado a partir de la firma del Acta de Inicio.</t>
  </si>
  <si>
    <t>CONTRATO DE CONCESIÓN      2.3.(b)(vi) Perfeccionamiento del Contrato e Inicio de la Ejecución</t>
  </si>
  <si>
    <t>Se precisa al observante que el pago de la Comisión de Éxito no es una condición precedente para la suscripción del acta de Inicio. De igual manera es pertinente señalar que el pago esta comisión hace parte de las obligaciones ya adquiridas con el Estructurador Integral de conformidad con Contrato de Consultoría No. 490 de 2017.</t>
  </si>
  <si>
    <t>Eliminar la declaración de que el Concesionario no está en proceso concursal o Acuerdo de Reestructuración, en razón a que es una nueva sociedad de propósito especial.</t>
  </si>
  <si>
    <t>CONTRATO DE CONCESIÓN      2.6(a)(i) Creación y Existencia</t>
  </si>
  <si>
    <t>No se acoge la observación presentada. La declaración incluida en el Contrato aplica no solo para el momento de su suscripción, sino en general durante el tiempo en que se mantenga vigente el vínculo contractual.</t>
  </si>
  <si>
    <t>Toda vez que se exige que el Concesionario tenga un Objeto Único y se haya constituido como una nueva empresa, no tiene sentido las declaraciones del numeral 2.6(a)(i) en el sentido de que no se encuentran procesos concursales.</t>
  </si>
  <si>
    <t>CONTRATO DE CONCESIÓN      2.6(a)(ii) Objeto Único</t>
  </si>
  <si>
    <t>Se solicita incluir un numeral adicional "Elaboración del Contrato: que El Contrato refleja de forma adecuada los términos y condiciones contenidos en los Pliegos de Condiciones y en los Documentos de Precalificación. Que la ANI hizo las modificaciones que a su juicio fueron necesarias conforme a los comentarios recibidos en la etapa de Licitación. Declara asimismo que en el presente Contrato no existen apartes confusos ni contradicciones entre sus términos y condiciones."</t>
  </si>
  <si>
    <t>CONTRATO DE CONCESIÓN      2.6(b)(vi) Elaboración del Contrato</t>
  </si>
  <si>
    <t xml:space="preserve">Se informa al interesado que no se acepta su observación. Las declaraciones y garantías de la ANI incluyen que la suscripción del contrato se lleva a cabo en desarrollo de las competencias de la ANI. Se entiende que el Contrato refleja de forma adecuada los términos y condiciones del Proceso de Selección. Así mismo, se aclara al interesado que cualquier confusión o contradicción entre los términos y condiciones del Contrato de Concesión deberá resolverse de acuerdo con las reglas de interpretación contenidas en el mismo y aquellas previstas por la Ley Aplicable. En esta medida, la ANI no considera necesario incluir la declaración propuesta.  
</t>
  </si>
  <si>
    <t>Si una vez acreditado el Cierre Financiero, no se diere inicio a la Fase de Construcción, por causas no imputables al Concesionario, la ANI reconocerá al Concesionario los costos y gastos financieros derivados de la acreditación del Cierre Financiero desde la ocurrencia de la acreditación hasta la firma del Acta de Inicio de la Fase de Construcción.</t>
  </si>
  <si>
    <t>CONTRATO DE CONCESIÓN      3.8 Cierre Financiero</t>
  </si>
  <si>
    <t>Se debe aclarar que el incumplimiento de alguno de los prestamistas, no genera el incumplimiento del Concesionario.</t>
  </si>
  <si>
    <t>En la Sección 3.8(h) de la Minuta Parte General se establece que es una obligación del Concesionario financiar el Proyecto y si el prestamista incumpliese o se retirase del Proyecto el Concesionario deberá asegurar la consecución de los recursos adicionales; por lo que el incumplimiento del Prestamista no servirá de excusa para el incumplimiento de las obligaciones del Concesionario y no podrá reclamar Evento Eximente de Responsabilidad.</t>
  </si>
  <si>
    <t>Se debe aclarar que si la financiación es a través de Bonos, la obligación de notificación recae cuando se cambia el Representante de los tenedores de los Bonos.</t>
  </si>
  <si>
    <t>CONTRATO DE CONCESIÓN      3.10(c) Registro de los Prestamistas</t>
  </si>
  <si>
    <t xml:space="preserve">Se informa al interesado que de acuerdo con la Sección 3.10 (a), para el caso de colocaciones en el mercado de capitales, bastará con la identificación del administrador o agente estructurador de la colocación, así como del representante de los tenedores. Cualquier cambio en los Prestamistas, o en el administrador o agente estructurador de la colocación o en el representante de los tenedores para el caso de colocaciones en el mercado de capitales, deberá ser notificado a la ANI de acuerdo con lo previsto en la Sección 3.10 (c). En esta medida, no se considera necesario hacer la aclaración sugerida, por tal motivo no procede su observación. </t>
  </si>
  <si>
    <t>CONTRATO DE CONCESIÓN      3.12 (e) (viii) Efectos de la Toma de Posesión</t>
  </si>
  <si>
    <t>Seguros</t>
  </si>
  <si>
    <t>seguros</t>
  </si>
  <si>
    <t>En el subnumeral (7) se debe precisar que la cesión de las Licencias y Permisos la debe hacer el Concesionario, siempre que ello sea viable jurídicamente.</t>
  </si>
  <si>
    <t>CONTRATO DE CONCESIÓN      3.12(e)(vii) Efectos de la Toma de Posesión</t>
  </si>
  <si>
    <t>La Entidad no acoge su solicitud, en la medida que la cesión de la titularidad de las Licencias y Permisos es un trámite contemplado en la Ley Aplicable, por lo que la cesión tiene viabilidad jurídica.</t>
  </si>
  <si>
    <t>Se debe incluir expresamente que la ANI, se obliga a suscribir el Contrato de Fiducia Mercantil en calidad de Fideicomitente y Beneficiario, una vez vencido el plazo para hacer comentarios o solicitudes de modificaciones.</t>
  </si>
  <si>
    <t>CONTRATO DE CONCESIÓN      3.13 Contrato de Fiducia Mercantil</t>
  </si>
  <si>
    <t xml:space="preserve">Se informa al interesado que no se acepta su observación. De acuerdo con lo previsto por el artículo 24 de la Ley 1508 de 2012, los recursos públicos y todos los recursos que se manejen en el proyecto deberán ser administrados a través de un patrimonio autónomo constituido por el contratista -Concesionario-, integrado por todos los activos y pasivos presentes y futuros vinculados al proyecto. 
La ANI no tiene la calidad de fideicomitente, sin embargo, cuenta con la potestad de exigir la información que estime necesaria, la cual le deberá ser entregada directamente a la solicitante por el administrador del patrimonio autónomo, en los plazos y términos que se establezca en el Contrato.
</t>
  </si>
  <si>
    <t>Proponemos eliminar la última frase del literal (a), relacionada con los efectos de la inclusión de obligaciones, en la medida en que el Contrato de Fiducia es revisado y comentado por la ANI.</t>
  </si>
  <si>
    <t>CONTRATO DE CONCESIÓN      3.15 (a) Términos y condiciones de obligatoria inclusión en el Contrato de Fiducia Mercantil</t>
  </si>
  <si>
    <t>Se informa al interesado que no se acepta su observación, toda vez que es obligación del Concesionario incorporar las obligaciones de la Fiduciaria del Contrato de Concesión en el Contrato de Fiducia en su calidad de Fideicomitente. En esta medida, el Concesionario responderá frente a la ANI si la falta de incorporación de esas obligaciones causa perjuicios a la ANI.</t>
  </si>
  <si>
    <t>Se debe eliminar el requisito del 25% de los miembros independientes de la Junta Directiva, toda vez que al Concesionario no se le aplica la disposición del artículo 44 de la Ley 964 de 2005.</t>
  </si>
  <si>
    <t>CONTRATO DE CONCESIÓN      4.2 (dd) (i) (8) Principales Obligaciones del Concesionario durante la Fase Previa</t>
  </si>
  <si>
    <t xml:space="preserve">Se informa al interesado que el requisito establecido en la Sección 4.2 (dd)(i)(8) de la Parte General que exige indicar el procedimiento de selección de los miembros de junta directiva que debe incluir al menos el 25% de miembros independiente no fue incluido con base en el artículo 44 de la Ley 964 de 2005 toda vez que esta norma únicamente aplica para los emisores de valores. 
La razón de inclusión de este requerimiento desde los proyectos de Cuarta Generación,  se debe a una buena práctica de gobierno corporativo adoptado por la entidad y busca que dentro de la junta directiva del Concesionario exista al menos un 25% de miembros que no sean empleados, directivos ni contratistas del Concesionario, de los accionistas del Concesionario ni de ninguno de los Beneficiarios Reales con el fin de tener una mayor objetividad en la toma de decisiones buscando siempre la transparencia en las negociaciones y el bienestar de la sociedad. 
Dicho lo anterior, se informa al interesado que no se acepta su observación. 
</t>
  </si>
  <si>
    <t>Proponemos incluir un nuevo literal en relación con la obligación de entregar toda la información jurídica y técnica relacionada con los Predios. Así mismo se debe aclarar que los impuestos, tasas y contribuciones derivadas de los Predios no están en cabeza del Concesionario.</t>
  </si>
  <si>
    <t>CONTRATO DE CONCESIÓN      7.1 Gestión Predial</t>
  </si>
  <si>
    <t>La información de los Predios depende de los Estudios de Detalle a desarrollar por el Concesionario, por lo tanto no  procede la solicitud.
Respecto a la disponibilidad de información predial, el Cuarto de Información de Referencia incluye los estudios de factibilidad para los Predios Requeridos para nueva construcción y ampliaciones, y para ampliar la información de antecedentes del proyecto se incluirá en el Cuarto de Información de Referencia la reversión del contrato 005 de 1999.
Se aclara al interesado que el Concesionario tendrá a su cargo los costos definidos en el Contrato, en especial por lo dispuesto en el Capítulo VII de la Parte General y la Sección 8.3 del Apéndice Técnico 7, los cuales no incluyen impuestos prediales de los predios a ser adquiridos.</t>
  </si>
  <si>
    <t>Se debe incluir que las diferencias en relación con los efectos, deben ser resueltas por el Amigable Componedor.</t>
  </si>
  <si>
    <t>CONTRATO DE CONCESIÓN      4.8 Retraso en el Plan de Obras</t>
  </si>
  <si>
    <t>Se propone reducir los plazos de los literales c) a Veinte (20) Días y d) a Treinta (30) Días.</t>
  </si>
  <si>
    <t>CONTRATO DE CONCESIÓN      4.9 (c ) y (d) Procedimiento para Solicitar Ampliación del Plazo del Plan de Obras</t>
  </si>
  <si>
    <t xml:space="preserve"> Se informa al interesado que no se acepta su observación. La ANI considera que los plazos previstos en la Sección 4.9 (c) y 4.9 (d) son razonables y se compadecen con las necesidades del Proyecto. En todo caso, se informa al interesado que estos plazos son plazos máximos por lo que podrán ser inferiores en ejecución del Contrato.
</t>
  </si>
  <si>
    <t>Aclarar que hay lugar a las multas, siempre y cuando los incumplimientos no se deriven de incumplimientos de la ANI.</t>
  </si>
  <si>
    <t>CONTRATO DE CONCESIÓN      10.1(a) Multas o Sanciones</t>
  </si>
  <si>
    <t>Se informa al interesado que no se acepta su observación. Las multas previstas en la Parte Especial se causarán en el evento en que exista un hecho de incumplimiento imputable al Concesionario en ejecución del Contrato y la imposición de las mismas se regirá de acuerdo con lo señalado en el artículo 86 de la Ley 1474 de 2011 o las normas que lo modifiquen, complementen o sustituyan.</t>
  </si>
  <si>
    <t>No se puede descontar el monto de las Multas, toda vez que se desmejora la garantía o la condición del Prestamista.</t>
  </si>
  <si>
    <t>CONTRATO DE CONCESIÓN      10.3(a) Pago de las Multas o Sanciones</t>
  </si>
  <si>
    <t>Las multas y sanciones se causarán en el evento en que exista un hecho de incumplimiento imputable al Concesionario en ejecución del Contrato y la imposición de estas se regirá de acuerdo con lo señalado en el artículo 86 de la Ley 1474 de 2011 o las normas que lo modifiquen, complementen o sustituyan. Tanto las condiciones y garantías pactadas con el Prestamista como el cumplimiento del Contrato son obligación del Concesionario, de manera que el pago de las multas o sanciones no debe afectar la ejecución de sus responsabilidades. Se precisa igualmente que es viable descontar de los valores que se deban al concesionario lo que este adeude por concepto de multas o sanciones, y la razón está en la figura de la compensación la cual opera por el solo ministerio de ley (art. 1715 C.C.)  siempre que dos personas sean deudoras entre sí, y siempre y cuando se cumplan los requisitos allí exigidos</t>
  </si>
  <si>
    <t>Se debe aplicar que los mayores costos o plazos derivados de la Modificación Unilateral deberán ser asumidos por ANI.</t>
  </si>
  <si>
    <t>CONTRATO DE CONCESIÓN      11.3(a) Otras Cláusulas Excepcionales al Derecho Común</t>
  </si>
  <si>
    <t>No se considera acertado el entendimiento del observante, toda vez que una Modificación Unilateral no implica necesariamente un mayor costo o plazo del Contrato. Será en ejecución del contrato cuando se determinen los efectos de la aplicación de una Modificación Unilateral la cual en todo caso se dará en aplicación de lo establecido por la Ley 80 de 1993 articulo 16 y en la Ley 1508 de 2012 articulo 13</t>
  </si>
  <si>
    <t>CONTRATO DE CONCESIÓN      11.3(b) Otras Cláusulas Excepcionales al Derecho Común</t>
  </si>
  <si>
    <t>Se informa al interesado que no se acepta su observación. De acuerdo con lo establecido por el artículo 15 de la Ley 80 de 1993, si durante la ejecución del contrato surgen discrepancias entre las Partes sobre la interpretación de algunas de sus estipulaciones que puedan conducir a la paralización o a la afectación grave del servicio público que se pretende satisfacer con el objeto contratado, la entidad estatal, si no se logra acuerdo, interpretará en acto administrativo debidamente motivado, las estipulaciones o cláusulas objeto de la diferencia.</t>
  </si>
  <si>
    <t>Se debe reducir el plazo para la vigencia de la póliza de Calidad de Bienes y Equipos Suministrados, de 5 a 2 años.</t>
  </si>
  <si>
    <t>CONTRATO DE CONCESIÓN      12.6(d) Garantía Única de Cumplimiento.</t>
  </si>
  <si>
    <t xml:space="preserve">Se informa al interesado que no se acepta su observación. De acuerdo con el artículo 2.2.1.2.3.1.16 del Decreto 1082 de 2015, en lo que respecta a la garantía de calidad de los bienes, la Entidad Estatal debe determinar el valor y el plazo de la garantía de acuerdo con el objeto, el valor, la naturaleza, las obligaciones contenidas en el contrato, la garantía mínima presunta y los vicios ocultos.
En esta medida, la ANI puede fijar libremente la vigencia del amparo y su plazo mínimo debe cubrir el lapso en que, de acuerdo con la legislación civil o comercial, el contratista debiera responder por la garantía mínima presunta y por vicios ocultos. De acuerdo con lo anterior, la Entidad considera que el plazo establecido es razonable y suficiente. </t>
  </si>
  <si>
    <t>Se debe eliminar el literal (e), toda vez que el Concesionario no puede garantizar la infraestructura revertida, cuando ya no está en el control de Concesionario el mantenimiento y uso adecuado de la infraestructura revertida.</t>
  </si>
  <si>
    <t>CONTRATO DE CONCESIÓN      12.6(e) Garantía Única de Cumplimiento.</t>
  </si>
  <si>
    <t>CONTRATO DE CONCESIÓN      12.7(a)(iii) Garantía de Responsabilidad Extracontractual.</t>
  </si>
  <si>
    <t>La razón de requerir un seguro de responsabilidad civil deriva del riesgo de causar daños a terceros o empleados, por lo tanto la suma asegurada debe guardar coherencia con el nivel de riesgo de causar ese tipo de daños, que en este caso, siendo construcción pesada una actividad peligrosa y que involucra exponer a gran cantidad de personas en el servicio y en la obra, la suma requerida se ha fijado según los parámetros del decreto 1082 de 2015,  en su articulo l articulo 2.2.1.2.3.1.17. Suficiencia del seguro de responsabilidad civil numeral 5 por un monto de 75.000 SMMLV. este valor ha sido requerido en todos los proyectos desde la primera ola de APPs y ningún concesionario ha reportado dificultades al momento de suscribirlo, y algunos, en ejercicio de sus propios análisis de riesgo han adquirido la póliza por valores incluso superiores . no se acepta la observación</t>
  </si>
  <si>
    <t>Se debe circunscribir el riesgo del concesionario el momento de presentación de la oferta</t>
  </si>
  <si>
    <t>CONTRATO DE CONCESIÓN      13.1 (a) Ecuación Contractual</t>
  </si>
  <si>
    <t>Se informa al interesado que no se acepta su observación. El Concesionario asume los riesgos asignados a su cargo a través del Contrato de Concesión y sus obligaciones toda vez que, con la presentación de la Oferta, declara que entiende y conoce el alcance de las obligaciones del contrato, efectuó la valoración de riesgos que le fueron asignados y entiende que está en capacidad de asumir y administrar tales riesgos. 
De igual manera, en las partes que se considera procedente ya ha sido regulado que corresponde a la situación de presentación de la oferta, para tal efecto ver las Secciones 1.17 Aportes ANI de la Parte General, 1.22 Cambio tributario, 1.116 Nuevas vías públicas, 1.152 Recaudo de peaje, 4.12 (e) Conflicto con la Ley Aplicable, y la Sección 2.1 Estudios y diseños del Apéndice Técnico 3.</t>
  </si>
  <si>
    <t>El riesgo debe ser del Concesionario solo si la diferencia en las fechas de la entrega de la infraestructura son por causas ajenas a la ANI.</t>
  </si>
  <si>
    <t>CONTRATO DE CONCESIÓN      13.2(a)(xiii) Riesgos Asociados al Concesionario</t>
  </si>
  <si>
    <t xml:space="preserve">El riesgo asociado de los efectos desfavorables referente a la variación de costos asociados a cantidades de obra para la realización de túneles con o sin soporte (parcial) por riesgo geológico debe recaer en cabeza de la ANI. </t>
  </si>
  <si>
    <t>Se solicita incluir como riesgo de la ANI los efectos favorables o desfavorables en el cumplimiento de plazos derivados de las afecciones por terceros en los términos de Gestión Predial, Redes y obtención de Licencias y permisos.</t>
  </si>
  <si>
    <t>13.3 Riesgos de la ANI.</t>
  </si>
  <si>
    <t>Se debe incluir como evento eximente la obtención tardía de la obtención de las Licencias y Permisos, por causas no imputables al Concesionario.</t>
  </si>
  <si>
    <t>CONTRATO DE CONCESIÓN      14.2 Eventos Eximentes de Responsabilidad</t>
  </si>
  <si>
    <t xml:space="preserve">Se aclara al interesado que el contrato contempla dentro de su estructura distintos eventos de fuerza mayor y eventos eximentes de responsabilidad, dentro los cuales se considera que abarca de manera general eventos del tipo mencionados en la observación. Adicionalmente en la sección 13.3 se encuentra contemplado como riesgo público un evento de esta naturaleza y Dicha disposición ya se encuentra en la Fuerza Mayor Ambiental desarrollada en la Sección 8.1 (h)  </t>
  </si>
  <si>
    <t>Se debe eliminar los actos terroristas y terrorismo.</t>
  </si>
  <si>
    <t>CONTRATO DE CONCESIÓN      14.2 (h) (ii) Evento Eximente de Responsabilidad</t>
  </si>
  <si>
    <t>CONTRATO DE CONCESIÓN      14.3 Indemnidad</t>
  </si>
  <si>
    <t>Se propone que se incluya como requisito de selección de los Amigables Componedores que hayan ejercido su profesión por un término no menor a diez (10) años.</t>
  </si>
  <si>
    <t>CONTRATO DE CONCESIÓN      15.1 Amigable Componedor</t>
  </si>
  <si>
    <t>Se informa al interesado que no se acepta su observación. La ANI considera que los requisitos exigidos para elaborar la lista de Amigables Componedores, dentro de los cuales se incluye contar con experiencia profesional específica de 8 años en contratación estatal y/o proyectos de infraestructura, resulta suficiente y propende por la idoneidad de cada uno de los candidatos.</t>
  </si>
  <si>
    <t>Se solicita incluir un límite máximo a los honorarios de los árbitros.</t>
  </si>
  <si>
    <t>CONTRATO DE CONCESIÓN      15.3  Arbitraje Internacional</t>
  </si>
  <si>
    <t>Se debe aclarar que las fórmulas resultan aplicables incluso en los casos de terminación anticipada por caducidad o terminación unilateral.</t>
  </si>
  <si>
    <t>CONTRATO DE CONCESIÓN      18.3(a) Fórmulas de Liquidación del Contrato</t>
  </si>
  <si>
    <t xml:space="preserve">Se informa al interesado que de acuerdo con lo establecido por la Sección 18.3 (a), en el caso en que ocurra la Terminación Anticipada del Contrato, se causarán los pagos entre las Partes que resulten de las fórmulas incluidas en la presente Sección 18.3. En los demás casos de terminación del Contrato, en la liquidación se compensarán las sumas causadas en virtud de la ejecución del Contrato que estén pendientes de pago entre las Partes, para efectos de determinar los saldos a ser pagados por las Partes.
De acuerdo con lo anterior, no se considera procedente su observación. </t>
  </si>
  <si>
    <t xml:space="preserve"> En la medida en que la sumas por concepto de liquidación se corresponden con una obligación derivada de la aplicación de las fórmulas de retribución, entendemos que el plazo para el pago deberían ser 22 días conforme se establece en la Cláusula 3.1(e).</t>
  </si>
  <si>
    <t>CONTRATO DE CONCESIÓN      18.4(b)(i) Pago de las Sumas por Concepto de Liquidación.</t>
  </si>
  <si>
    <t>Se solicita que la ANI solamente pueda solicitar el cambio de los subcontratistas cuando el Concesionario haya incumplido cualquiera de sus obligaciones del Contrato y/o sus Apéndices que haga parte del contrato del respectivo subcontratista.</t>
  </si>
  <si>
    <t>CONTRATO DE CONCESIÓN      19.5 (b) Subcontratistas</t>
  </si>
  <si>
    <t xml:space="preserve">Se informa al interesado que la ANI podrá solicitar la sustitución de los subcontratistas cuando, a su juicio, éstos no cumplan con las calidades mínimas necesarias para la ejecución de las labores subcontratadas. Esto permite a la Entidad controlar que la ejecución de las labores subcontratas se lleve a cabo por individuos con las calidades mínimas necesarias para no afectar el desarrollo adecuado del Proyecto con el fin de evitar incumplimientos al Contrato. En esta medida, se informa al interesado que no se acepta su observación. </t>
  </si>
  <si>
    <t>Los importes fijados para los diferentes amparos son muy elevados con respecto al valor del contrato y a los estándares de mercado en este tipo de proyectos. En particular, los importes de los amparos de cumplimiento durante la fase de Operación y Mantenimiento y los amparos de responsabilidad civil.</t>
  </si>
  <si>
    <t>CONTRATO DE CONCESIÓN PARTE ESPECIAL Capítulo VII Garantías</t>
  </si>
  <si>
    <t>Estos importes son muy elevados considerando el volumen anual de la operación. Solicitamos reconsiderar el cálculo de las garantías y reducir dichos importes.</t>
  </si>
  <si>
    <t>Se propone modificar la cláusula en el sentido que el Concesionario deberá recibir la infraestructura existente libre de cargas (físicas y jurídicas) y libre de afecciones a terceros. En caso contrario el Concesionario se reserva el derecho de observar dicha entrega y de reclamar las afecciones tanto en coste como en Plazo.</t>
  </si>
  <si>
    <t xml:space="preserve">Se informa al interesado que no se acepta su observación. El Concesionario asume los riesgos asignados a su cargo a través del Contrato de Concesión y sus obligaciones, toda vez que, con la presentación de la Oferta, declara que entiende y conoce el alcance de las obligaciones del contrato, efectuó la valoración de riesgos que le fueron asignados y entiende que está en capacidad de asumir y administrar tales riesgos. De igual forma dentro de las Principales Obligaciones del Concesionario durante la Fase de Preconstrucción se encuentra la de Recibir la infraestructura del Proyecto en concesión, en la fecha que señale la ANI, incluyendo las Estaciones de Peaje, las Estaciones de Pesaje y toda aquella infraestructura asociada, en el estado en el que esta se encuentre sin objeción alguna y asumir, desde su recibo, todas las obligaciones de resultado que se prevén en el presente Contrato y sus Apéndices.(Sección 4.2 (a) Parte General)
Aunado a lo anterior, respecto a las invasiones que puedan presentarse dentro del Corredor del Proyecto, de acuerdo con lo establecido 3.12(a)(v) de la Parte General esta es una obligación a cargo del Concesionario. Por lo tanto, las medidas necesarias de defensa,  protección y saneamiento que deberá tomar el Concesionario para liberar o evitar la invasión del Corredor son las fijadas en la Ley Aplicable, este debe ser asumido por el privado, por ser éste quien se encuentra en tenencia de la vía y. por lo tanto, detenta, en virtud de las actividades y obligaciones surgidas del Contrato, la guarda jurídica y física de los bienes de la Concesión. En consecuencia, es quien ha de iniciar las acciones administrativas y policivas pertinentes para impedir o hacer cesar la respectiva invasión.
</t>
  </si>
  <si>
    <t>PARTE ESPECIAL</t>
  </si>
  <si>
    <t xml:space="preserve">3.6 (b), (e)  </t>
  </si>
  <si>
    <t>PROINDESA S.A.S., 22/04/2020</t>
  </si>
  <si>
    <t>Teniendo en cuenta que con la definición de un porcentaje determinado a cargo del Concesionario no se tiene certeza alguna sobre el monto que le correspondería asumir y que finalmente es la ANI quien bajo su liderazgo adoptaría las decisiones relativas a los compromisos de las consultas, se solicita respetuosamente definir un tope o monto máximo del valor a asumir por parte del Concesionaria el cual podría destinarse a una subcuenta particular para este fin.</t>
  </si>
  <si>
    <t>Parte general, Sección 8.1.(d)</t>
  </si>
  <si>
    <t>Adicionalmente se debe precisar que el concesionario asumirá el 50%, solo por una consulta sobreviniente que se presente; en caso de presentarse adicionales las asumirá la entidad.</t>
  </si>
  <si>
    <t>“En cualquier momento durante la ejecución del Contrato, el Concesionario deberá llevar a cabo, bajo el liderazgo de la ANI, la(s) nueva(s) consulta(s) previa(s) con las comunidades étnicas y afrodescendientes que sean certificadas (…)</t>
  </si>
  <si>
    <t>Los costos que se generen como consecuencia de la Gestión Social y Ambiental para adelantar esta(s) nueva(s) consulta(s) previa(s) serán asumidos en su totalidad por el Concesionario. Los compromisos derivados de dichos acuerdos que sean protocolizados serán asumidos por las Partes en proporciones iguales (cincuenta por ciento 50%) (…)”</t>
  </si>
  <si>
    <t>Teniendo en cuenta los plazos perentorios de la etapa de pre-construcción (12 meses), el 150% adicional propuesto en la minuta del contrato para tipificar la fuerza mayor ambiental, es excesivo, dado que podría llegar a una duración por este motivo de la etapa de pre-construcción hasta de 15 meses. Consideramos que el plazo se debe ajustar al 100% del término que legalmente o por reglamentación interna tenga la entidad sin que exceda en ningún caso la duración de la fase de pre-construcción.</t>
  </si>
  <si>
    <t>Parte General 8.1 (h)</t>
  </si>
  <si>
    <t>Igualmente, el plazo para tipificar la fuerza mayor ambiental cuando sobreviene una consulta previa, se debe contar a partir de la solicitud que realice el Concesionario al Ministerio del Interior.</t>
  </si>
  <si>
    <t>“Fuerza Mayor Ambiental. Habrá Fuerza Mayor Ambiental si ocurriese cualquiera de los siguientes eventos: (i) Si transcurriere más de un ciento cincuenta por ciento (150%) adicional del tiempo máximo establecido por la Ley Aplicable para la expedición o modificación de la Licencia Ambiental, (en caso de requerirse dicha licencia) de Licencias y Permisos ambiental – según sea el caso-, sin que la Autoridad Ambiental expida el acto administrativo que otorgue o niegue la solicitud. (…)”</t>
  </si>
  <si>
    <t>Sírvase indicar cuáles son los requisitos a los que hace referencia el Proyecto de pliego de condiciones, Capítulo V, numeral 5.3.3 (b).</t>
  </si>
  <si>
    <t>Proyecto de pliego de condiciones, Capítulo V, numeral 5.3.3 (b)</t>
  </si>
  <si>
    <t>Se informa al interesado que los requisitos a los que hace referencia la Sección 5.3.3(b) del Pliego de Condiciones se refieren a los requisitos de la Oferta de Mano de Obra Local. Esto es, el ofrecimiento de contratar dentro de la estructura del personal del Proyecto, personal calificado y no calificado procedente de la zona de influencia de éste, entendida únicamente para estos efectos como los municipios afectos al mencionado Proyecto que deberá ser presentado en el Sobre No. 1 diligenciando el Anexo 12 en su totalidad.</t>
  </si>
  <si>
    <t>“El Oferente que no presente Oferta Mano de Obra Local o presentándola no cumpla con todos y cada uno de los requisitos señalados en este Pliego de Condiciones se le asignarán cero (0) puntos.”</t>
  </si>
  <si>
    <t>Favor aclarar si en lugar del numeral 19.14, Ajustes por solicitud del interventor, debería ser en su lugar el 19.15 Prelación de documentos.</t>
  </si>
  <si>
    <t>Apéndice técnico 6 – Gestión ambiental, Capítulo II, numeral 3.1 (b)</t>
  </si>
  <si>
    <t>“La aplicación de este Apéndice deberá ser efectuada en concordancia con lo establecido en la Parte General y Especial del Contrato. En todo caso, de presentarse alguna contradicción entre lo previsto en este Apéndice y los demás documentos contractuales, se atenderá a lo previsto en el numeral 19.14 de la Parte General.”</t>
  </si>
  <si>
    <t>Favor indicar los casos en que, si es posible que los procesos de revisión de la interventoría y de revisión de la ANI sean paralelos, con el objeto de optimizar los tiempos y minimizar de esta manera su impacto en los cronogramas de gestión predial.</t>
  </si>
  <si>
    <t>Parte General, Capítulo VII, numeral 7.2 Recursos para la Adquisición de Predios y Compensaciones Socioeconómicas</t>
  </si>
  <si>
    <t xml:space="preserve"> (f) (iii) -</t>
  </si>
  <si>
    <t>“En el evento que la ANI</t>
  </si>
  <si>
    <t>tenga objeciones a la cuenta de cobro aprobada por la Interventoría, se correrán de nuevo los términos establecidos en las Secciones 7.2(f)(ii) y</t>
  </si>
  <si>
    <t>7.2(f)(iii).”</t>
  </si>
  <si>
    <t>Apéndice técnico 8 – Social, Capítulo I</t>
  </si>
  <si>
    <t xml:space="preserve">Se informa al interesado que se acepta su observación y se hará el ajuste correspondiente en los documentos definitivos. La referencia contenida en el CAPÍTULO I del Apéndice Técnico 8 hace referencia al numeral 19.15 del Contrato Parte General correspondiente al orden de prelación de documentos.  </t>
  </si>
  <si>
    <t>En el entendimiento de que es necesario estimar a nivel de la oferta el valor de los predios a adquirir y sus compensaciones socioeconómicas, así como, la presentación de un programa de adquisición predial al cabo de 210 días desde el acta de inicio, se solicita suministrar información predial relacionada con las obras de reversión especial (a. Salida Palmira-Pradera con construcción de doble calzada, y, b.  Intersección Sameco), así como obras del factor de calidad (vía Caloto –Villa Rica), cuya información no está disponible en el cuarto de datos del proceso</t>
  </si>
  <si>
    <t xml:space="preserve">Parte General, Capítulo XIII – Ecuación contractual y asignación de riesgos, numeral 13.2. Riesgos asignados al Concesionario. (ii) </t>
  </si>
  <si>
    <t>Se informa al interesado que de acuerdo con los estudios de estructuración los tramos: Salida Palmira - Pradera y la Intersección SAMECO, NO tienen Predios Requeridos, dado que las intervenciones proyectadas se espera que se desarrollen sobre franjas de terreno disponibles. 
La información de estudios y diseños existentes del tramo Villarica - Caloto será incorporada al Cuarto de Información de Referencia.</t>
  </si>
  <si>
    <t>“Salvo por las coberturas a cargo de la ANI expresamente previstas en el presente contrato, los efectos favorables y/o desfavorables derivados de las variaciones en el Valor Estimado de Predios (incluyendo expropiación) y Compensaciones Socioeconómicas.”</t>
  </si>
  <si>
    <t>En los tramos urbanos y en los que el instrumento de ordenación aplicable esté definido, la franja y sección vial debe cumplir con lo dispuesto en el POT del municipio o su instrumento equivalente. Para el resto de tramos, entiéndase tramos rurales, se debe de cumplir las especificaciones de la sección vial de la Ley 105 de 1993.</t>
  </si>
  <si>
    <t>Apéndice Técnico 1, Alcance del proyecto, Capítulo IV Infraestructura proyectada, numerales 4.2, 4.3, 4.4, 4.5, 4.6 y 4.7</t>
  </si>
  <si>
    <t>Técnico</t>
  </si>
  <si>
    <t>“Cumplimiento de especificaciones de Ley 105 de 1993 (s/n)</t>
  </si>
  <si>
    <t>Sí, el trazado y la Franja debe cumplir lo dispuesto en el POT municipal y contar con la aprobación de la autoridad municipal.”</t>
  </si>
  <si>
    <t>Sírvase indicar qué ocurre si el interventor no se pronuncia con respecto a la no objeción de los estudios de trazado y diseño geométrico y/o los estudios de detalle dentro del plazo indicado en el numeral 6.2 (a)</t>
  </si>
  <si>
    <t>Parte General, Capítulo VI, numeral 6.2 (a) y (c)</t>
  </si>
  <si>
    <t xml:space="preserve">Antes que nada, es importante anotar que, de acuerdo con lo previsto por la Sección 6.2, la comunicación del Interventor en relación los Estudios de Trazado y Diseño Geométrico y los Estudios de Detalle no se entenderá como aprobación o desaprobación de los mismos y, en consecuencia, no servirá de excusa al Concesionario para el no cumplimiento de los resultados requeridos en las Especificaciones Técnicas. 
Las observaciones presentadas por el Interventor al Concesionario en relación con los Estudios de Trazado y Diseño Geométrico y los Estudios de Detalle se entenderán como consideraciones técnicas formuladas a manera de recomendación con el fin de obtener los resultados exigidos en el Contrato, especialmente los contenidos en sus Especificaciones Técnicas. 
En todo caso, si el Interventor no se pronuncia dentro del plazo previsto en la Sección 6.2(a) se entenderá que no tiene observaciones a  los Estudios de Trazado y Diseño Geométrico y los Estudios de Detalle, por lo que se entendería como No Objetado.
</t>
  </si>
  <si>
    <t>“(a) El Interventor analizará los Estudios de Trazado y Diseño Geométrico y los Estudios de Detalle, para lo cual contará con un plazo máximo de cuarenta y cinco (45) Días contados a partir del Día de la entrega de los mismos.</t>
  </si>
  <si>
    <t>( c ) Las observaciones presentadas por el Interventor al Concesionario a propósito de los Estudios de Trazado y Diseño Geométrico y de los Estudios de Detalle, son consideraciones técnicas formuladas a manera de recomendación con el objeto de conseguir los resultados exigidos en el Contrato, en especial los contenidos en las Especificaciones Técnicas.”</t>
  </si>
  <si>
    <t>Favor indicar si para determinar el valor de las Obras Menores debe también incluirse un acuerdo previo para las cantidades y no solo para los precios.</t>
  </si>
  <si>
    <t>Parte General, Capítulo XIX, numeral 19.1</t>
  </si>
  <si>
    <t>“Obras menores: requeridas por las autoridades nacionales, departamentales o municipales (ver definición) que no estén requeridas en ninguna otra parte (apéndice técnico, licencia ambiental o acuerdos con comunidades étnicas). El concesionario debe financiarlas, operarlas y mantenerlas. Previamente, se requiere acuerdo con la interventoría de los precios unitarios. Las obras menores no pueden modificar sustancialmente el alcance del proyecto.”</t>
  </si>
  <si>
    <t xml:space="preserve">Apéndice técnico 6 – Gestión ambiental, Capítulo IX, numerales (a) y (b) </t>
  </si>
  <si>
    <t>“(a) Dentro de lo siguientes quince (15) días hábiles después de suscrita el Acta de Inicio de la Etapa de Preconstrucción El Concesionario deberá adelantar los trámites necesarios para la cesión total de las licencias ambientales existentes en los corredores descritos en el Apéndice Técnico 1. Así mismo deberá obtener la cesión de los demás actos administrativos asociados a esta tales como Resolución de Levantamientos de Veda Nacional y Regional, sin limitarse a ellos.</t>
  </si>
  <si>
    <t>(b) El Concesionario, a su cuenta y riesgo asume la totalidad de las obligaciones contenidas en la Resoluciones que otorgan las licencias ambientales al igual que las de los otros actos administrativos asociados a estas.”</t>
  </si>
  <si>
    <t>Favor indicar cuál es la diferencia entre las obligaciones pendientes de cumplimiento y las obligaciones ambientales por ejecutar.</t>
  </si>
  <si>
    <t>Parte Especial, Capítulo  3, numeral 3.6 (h)</t>
  </si>
  <si>
    <t>Sírvase entregar los documentos que soportan el costo de las actividades de las obligaciones ambientales pendientes de cumplimiento y de las obligaciones ambientales por ejecutar.</t>
  </si>
  <si>
    <t>“El desarrollo de las obligaciones ambientales pendientes de cumplimiento y obligaciones por</t>
  </si>
  <si>
    <t>ejecutar establecidas en el Apéndice Técnico 6, deberá iniciar desde la suscripción del Acta de</t>
  </si>
  <si>
    <t>Inicio o la expedición de la Orden de Inicio”</t>
  </si>
  <si>
    <t>Se solicita confirmar las coordenadas de origen y destino definidas para el tramo Cali – Palmira.</t>
  </si>
  <si>
    <t xml:space="preserve">Apéndice Técnico 1 Alcance del Proyecto, Numeral 4.1, Tabla 5, UF 2 Tramo Cali-Palmira. </t>
  </si>
  <si>
    <t>Se confirma el entendimiento del interesado respecto a las coordenadas mencionadas y serán aclaradas en los documentos definitivos</t>
  </si>
  <si>
    <t>“Destino:</t>
  </si>
  <si>
    <t>Este  1074971,0372</t>
  </si>
  <si>
    <t>Norte  891669,1127”</t>
  </si>
  <si>
    <t xml:space="preserve">Apéndice Técnico 1 Alcance del Proyecto, Numeral 4.3, Unidad Funcional 2, Tabla 11. </t>
  </si>
  <si>
    <t>Se informa al interesado que su apreciación es correcta. Las especificaciones definidas en la tabla 11 corresponden a las características de entrega del tramo.</t>
  </si>
  <si>
    <t>“Título de la tabla: “Características Geométricas y técnicas para vías a cielo abierto UF2”</t>
  </si>
  <si>
    <t>Se solicita confirmar si la intervención a desarrollar es la construcción de una nueva calzada en este tramo de 940 metros.</t>
  </si>
  <si>
    <t>Apéndice Técnico 1 Alcance del Proyecto, Numeral 4.7, Tabla 25 Infraestructura de Reversión Especial, Tramo salida Palmira – Pradera.</t>
  </si>
  <si>
    <t>Se informa al interesado que la intervención a desarrollar es la construcción de la doble calzada en ese tramo de 940 metros, desde el punto en el que termina la doble calzada existente hasta la intersección Buldozer. Esto se puede materializar ampliando la plataforma existente en ambos márgenes para conformar la doble calzada utilizando la franja de derecho de vía reservada para tal fin por el municipio.</t>
  </si>
  <si>
    <t>“Intervención Prevista: Construcción de Doble Calzada.  Observaciones:</t>
  </si>
  <si>
    <t>Continuación de la doble calzada existente hasta la Intersección Buldozer.</t>
  </si>
  <si>
    <t xml:space="preserve">Incluye el Mejoramiento de la intersección Buldozer.” </t>
  </si>
  <si>
    <t>Debido a que los indicadores O7 y O8 no están determinados, sírvase definirlos en los términos mostrados para los demás indicadores según el capítulo 3 del Apéndice 4 – Indicadores de disponibilidad, seguridad, calidad y nivel de servicio.</t>
  </si>
  <si>
    <t>Apéndice técnico 2 – Condiciones para la operación y mantenimiento, numeral 3.3.3.1</t>
  </si>
  <si>
    <t>Se informa al interesado que durante la estruturación no se identificaron alcances de construcción de tuneles. Pero igualmente, se incluiran en el Apendice Tecnico 4 los indicadores O7 y O8, ya que el futuro concesionario podria encontrar como optimización al diseño la construcción de algun tunel, y deberá tener referenciado los indicadores para medición. Los documentos modificados se presentaran con los Pliegos de Condiciones definitivos.</t>
  </si>
  <si>
    <t xml:space="preserve">“El Concesionario será responsable de cumplir con las obligaciones que en materia de atención de incidentes, accidentes y emergencias se establecen en la presente sección, así como respecto de los equipos y sistemas mínimos para tales efectos, sin perjuicio de su obligación de cumplir con los Indicadores que para la atención de accidentes, incidentes y emergencias se definen en el Apéndice Técnico 4.” </t>
  </si>
  <si>
    <t>Sírvase confirmar si el valor del VPIP está determinado para el contrato o si el indicado de Dos Billones Setecientos Ochenta Y Cuatro Mil Seiscientos Cinco Millones Setecientos Noventa Y Seis Mil Cuatrocientos Cuarenta Y Nueve Pesos ($2.784.605.796.449) es una cifra meramente indicativa, toda vez que allí deberá constar el valor de la oferta económica del oferente seleccionado.</t>
  </si>
  <si>
    <t>Parte especial, Capítulo II, numeral 1.194</t>
  </si>
  <si>
    <t>Financiero</t>
  </si>
  <si>
    <t xml:space="preserve">Se confirma el entendimiento del interesado en cuanto al VPIP que está en los pliego corresponde al monto máximo de oferta económica, el cual será reemplazado por el monto de la Oferta Económica del Oferente que resulte adjudicatario. </t>
  </si>
  <si>
    <t>“Para este Proyecto se entenderá por VPIP: es el valor presente del Recaudo Proyecto calculado a la Fecha de Inicio del Contrato expresado en Pesos del Mes de Referencia.</t>
  </si>
  <si>
    <t>El VPIP equivale a Dos Billones Setecientos Ochenta Y Cuatro Mil Seiscientos Cinco Millones Setecientos Noventa Y Seis Mil Cuatrocientos Cuarenta Y Nueve Pesos ($2.784.605.796.449) en valor presente de la Fecha de Inicio y expresado en Pesos del Mes de Referencia en valor presente de la Fecha de Inicio y expresado en Pesos del Mes de Referencia.”</t>
  </si>
  <si>
    <t>Dado el incremento en la paridad dólar peso (USD/COP) en los últimos meses, los desembolsos más recientes de los créditos están siendo castigados al momento de convertirlos a pesos. Esto dado que la tasa de conversión usada es la TRM de la fecha de suscripción del contrato de crédito.</t>
  </si>
  <si>
    <t>Pliego de condiciones</t>
  </si>
  <si>
    <t>Se sugiere que se convierta cada desembolso individualmente usando la TRM del día en cuestión.</t>
  </si>
  <si>
    <t>Numerales 4.2.6 y 6.5.2</t>
  </si>
  <si>
    <t xml:space="preserve">Una vez convertidos a pesos, se procedería a realizar la conversión a constantes del mes de referencia usando la formula estipulada en los pliegos de referencia. </t>
  </si>
  <si>
    <t>Nótese que, aunque la fecha del(los) cierre(s) financiero(s) debe(n) estar incluida(s) desde el primero de enero de 1993 y hasta antes la Fecha de Cierre del Proceso de Selección, los desembolsos, en todo caso, deben haberse efectuado antes de la Fecha de Cierre de la presente Licitación Pública. En todo caso, solamente se tendrá en cuenta como monto acreditable el valor desembolsado antes de la Fecha de Cierre de la presente Licitación Pública y no el valor del cierre financiero total.</t>
  </si>
  <si>
    <t>Para los valores expresados en moneda Dólar se tomará, para todos los efectos como tasa de referencia la TRM certificada por la Superintendencia Financiera de Colombia para la fecha de suscripción del respectivo documento contentivo de la obligación dineraria … Para la acreditación de la Experiencia en Inversión, la tasa de referencia que se toma como base para la conversión del (de los) desembolso(s) de dólar a pesos colombianos, corresponde a la TRM de la fecha de suscripción del documento contentivo de la obligación dineraria, es decir la fecha del cierre financiero, entendida esta como la fecha en que suscribió el contrato de financiación o el contrato de colocación.</t>
  </si>
  <si>
    <t xml:space="preserve">Validar si el proceso descrito podría tardar los 40 días hábiles y solicitar su revisión dado que 2 meses calendario supondrían un obstáculo para la liquidez del proyecto. </t>
  </si>
  <si>
    <t>Apéndice Financiero 2 Numeral 2.3.1</t>
  </si>
  <si>
    <t xml:space="preserve">Se aclara al interesado que la Entidad considera que los plazos establecidos son suficientes y razonables, y no deberían generar un impacto de liquidez mencionado, en la medida que los mismos pueden preverse y adelantarse para efectos de mitigar este efecto. </t>
  </si>
  <si>
    <t>La ANI tendrá [15] Días Hábiles contados a partir de la radicación de la Solicitud de Cesión Especial para (i) emitir la Certificación de Cesión Especial de Retribución de la respectiva Unidad Funcional, la cual estará condicionada a la suscripción de la respectiva Acta de Terminación de la Unidad Funcional o Acta de Terminación Parcial de Unidad Funcional; (ii) requerir información adicional al Concesionario; o (iii) rechazar la Solicitud de Cesión Especial de la Retribución, lo cual ocurrirá cuando no se cumplan los requisitos señalados en el presente Apéndice.</t>
  </si>
  <si>
    <t>En el escenario señalado en el numeral (ii) del párrafo anterior, el Concesionario tendrá [10] Días Hábiles contados a partir del recibo de la solicitud de información adicional para entregar dicha información o dar las explicaciones que considere procedentes. Una vez entregada la información adicional, la ANI tendrá [5] Días Hábiles para emitir la Certificación de Cesión Especial de Retribución de la respectiva Unidad Funcional o para rechazar la Solicitud de Cesión Especial de Retribución.</t>
  </si>
  <si>
    <t>Si la ANI no se pronuncia dentro de los plazos señalados en la presente Sección, se entenderá que la Solicitud de Cesión Especial de Retribución ha sido aceptada, pero en todo caso, la respectiva autorización de la ANI estará condicionada a la suscripción de la respectiva Acta de la Terminación de Unidad Funcional o Acta de Terminación Parcial de Unidad Funcional.</t>
  </si>
  <si>
    <t>En cualquiera de los escenarios de rechazo por parte de la ANI, las Partes podrán reunirse dentro de los [10] Días Hábiles contados a partir del recibo de la notificación del rechazo o del vencimiento del plazo para el pronunciamiento de la ANI para discutir las circunstancias que motivaron el mismo e intentar llegar a un acuerdo que permita la emisión de la Certificación de Cesión Especial de Retribución. Si, por cualquier razón, las Partes no logran reunirse o no logran llegar a un acuerdo al respecto, el Concesionario estará facultado para acudir a los mecanismos de solución de controversias previstos en Capítulo XV del Contrato.</t>
  </si>
  <si>
    <t>Sírvase confirmar si el riesgo comercial en etapa preoperativa está en cabeza del concesionario.</t>
  </si>
  <si>
    <t>Contrato de Concesión Parte general 3.4 (b)</t>
  </si>
  <si>
    <t xml:space="preserve">Se aclara al interesado, que su entendimiento es correcto,   el Soporte de Ingreso que asegurará el estado aplicará únicamente en las condiciones y plazos establecidos en la cláusula observada lo cual por defecto se encuentra comprendido en la etapa de operación y mantenimiento,  hasta la fecha que así se disponga en el Contrato Parte Especial. </t>
  </si>
  <si>
    <t>“Para cada periodo de doce (12) Meses consecutivos contados desde la suscripción de la última Acta de Terminación de Unidad Funcional -es decir desde el inicio de la Etapa de Operación y Mantenimiento-, si el valor del Recaudo de Peaje acumulado de los doce (12) Meses anteriores a dicho periodo es inferior al valor 𝑉𝑆𝐼𝑖 definido en la Parte Especial, la ANI pagará al Concesionario el Soporte de Ingresos de ese periodo (“𝑆𝐼𝑖”) teniendo en cuenta lo siguiente”</t>
  </si>
  <si>
    <t xml:space="preserve">Respetuosamente solicitamos a la entidad aclararla justificación legal de la referencia a la figura del “levantamiento del velo corporativo” de que trata el citado numeral. Lo anterior, considerando que conforme a la ley 1258 de 2008 la aplicación de esta figura le corresponde a otra autoridad administrativa (Superintendencia de Sociedades) bajo un trámite y unas causales señaladas expresamente en la ley.  </t>
  </si>
  <si>
    <t>El numeral 7.4 del Proyecto de Pliego de Condiciones establece lo siguiente:</t>
  </si>
  <si>
    <t xml:space="preserve">“Los proponentes, con la presentación de su propuesta, aceptan levantar el velo corporativo cuando quiera que ello sea necesario para la verificación de la inexistencia de cualquier conflicto de interés, inhabilidad y/o incompatibilidad, actos de corrupción, colusión y aquellos que afecten la libre y leal competencia, en expresa aplicación del Principio de Transparencia como lineamiento íntegro de la contratación pública y de la actuación de los particulares ante la Entidad.  </t>
  </si>
  <si>
    <t>CINTRA INFRAESTRUCTURAS COLOMBIA, S.A.S., 22/04/2020</t>
  </si>
  <si>
    <t xml:space="preserve">De acuerdo con la Sección 4.4.1 del Pliego de Condiciones, la Experiencia en Inversión y la Capacidad Financiera se podrá acreditar con la experiencia de (i) sus sociedades controladas (directa o indirectamente), (ii) de sus Matrices, o (iii) de sociedades controladas por sus Matrices. Para estos efectos, se deberá acreditar una situación de control entre el Oferente o cualquiera de sus Integrantes, según sea el caso, y sus correspondientes Matrices y/o sociedades controladas.  </t>
  </si>
  <si>
    <t>Proyecto de Pliego de Condiciones - Sección 4.4.1</t>
  </si>
  <si>
    <t>Jurídica</t>
  </si>
  <si>
    <t xml:space="preserve">Su entendimiento es incorrecto. La Sección 4.4.2 (a) del Proyecto de Pliego de Condiciones establece que el control debe ser directo para poder acreditar Capacidad Financiera y Experiencia en Inversión a través de las matrices o de sociedades controladas por sus matrices en los términos señalados en el Proyecto de Pliego de Condiciones. 
Por lo tanto, se aclara que en el proceso de selección se tendrá en cuenta únicamente la presunción de control directo establecida en el numeral 1 del artículo 261 del Código de Comercio Colombiano. 
</t>
  </si>
  <si>
    <t xml:space="preserve">Entendemos que para los supuestos previstos en los numerales (ii) y (iii) de la Sección 4.4.1 del Pliego de Condiciones, el control puede ser directo e indirecto. Por favor confirmar si nuestro entendimiento es correcto. De ser el caso, sugerimos a su vez aclarar el texto del pliego en este sentido. </t>
  </si>
  <si>
    <t xml:space="preserve">El Cuarto de Información de Referencia incluye un estudio de tráfico (documento 0AI01) en cuyo Capítulo 1 (ESTUDIOS DE CAMPO) se decribe una serie de estudios de campo realizados como soporte del estudio de tráfico. Dichos estudios de campo incluyen aforos vehiculares, encuestas origen-destino, encuestas de preferencia declarada y estudios de velocidades y tiempos de recorrido. Solicitamos de la manera más atenta la incorporación de las bases de datos correspondientes a los estudios de campo mencionados al Cuarto de Información de Referencia. </t>
  </si>
  <si>
    <t>Proyecto de Pliego de Condiciones - Sección 1.7</t>
  </si>
  <si>
    <t>Técnica - Cuarto de Información Referencial</t>
  </si>
  <si>
    <t>La entidad informa al interesado que en la carpeta 0AI2 se encuentran los anexos del estudio de tráfico realizado. 
Se complementará el cuarto de datos con la información para poder ser utilizada en análisis de tráfico. Se aclara que esta información estará disponible a título meramente informativo acorde con las condiciones de la Sección 1.7 Cuarto de Información de Referencia del Pliego de Condiciones.</t>
  </si>
  <si>
    <t>El estudio de tráfico incluido en el Cuarto de Información de Referencia (documento 0AI01) se apoya en un modelo de simulación de tráfico desarrollado en el software Emme3. Solicitamos de la manera más atenta la incorporación de dicho modelo  al Cuarto de Información de Referencia, incluyendo todos sus componentes: zonificación, redes actual y futuras, matrices actual y futuras, funciones de coste y parámetros de asignación.</t>
  </si>
  <si>
    <t>La entidad informa al interesado que en la carpeta 0AI2 se encuentran los anexos del estudio de tráfico realizado, incluido los componentes en mención que se incorporaron al modelo de simulación de tráfico. Se aclara que esta información estará disponible a título meramente informativo acorde con las condiciones de la Sección 1.7 Cuarto de Información de Referencia del Pliego de Condiciones.</t>
  </si>
  <si>
    <t xml:space="preserve">Solicitamos de la manera más atenta la incoporación al Cuarto de Información de Referencia de los datos históricos de tráfico, tarifas e ingresos por meses y categorías tarifarias correspondientes a cada una de las ocho estaciones de peaje del proyecto, desde la fecha de entrada en operación hasta el mes más reciente disponible. </t>
  </si>
  <si>
    <t>La entidad informa al interesado que en la carpeta 0AI2 se encuentran los anexos del estudio de tráfico realizado. Se aclara que esta información estará disponible a título meramente informativo acorde con las condiciones de la Sección 1.7 Cuarto de Información de Referencia del Pliego de Condiciones. Así mismo, el proponente en su debida diligencia deberá dirigirse al INVIAS, quien es la entidad que actualmente está cargo de su operación de las estaciones de peaje, para obtener los datos históricos de noviembre del 2018 a la fecha.</t>
  </si>
  <si>
    <t>Se pide la inclusión en el Cuarto de Información de Referencia de información histórica de los costes de la Concesión existente.</t>
  </si>
  <si>
    <t>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t>
  </si>
  <si>
    <t>Se pide la inclusión en el Cuarto de Información de Referencia de información histórica de los medios de pago en las plazas de peaje de la Concesión existente.</t>
  </si>
  <si>
    <t>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Sin embargo, para la consulta referida, deberá dirigirse al INVIAS que es la entidad que actualmente está cargo de la operación de las estaciones peajes.</t>
  </si>
  <si>
    <t>Se pide la inclusión en el Cuarto de Información de Referencia de la siguiente información relativa a las plazas de peaje existentes: número de vías y tipos y año en el que se realizó la última reposición de sistemas en cada plaza. Asimismo, se pide también el año de la última reposición de los sistemas ITS.</t>
  </si>
  <si>
    <t>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Sin embargo, para la consulta referida a la situación actual, deberá dirigirse al INVIAS que es la entidad que actualmente está cargo de la operación de las estaciones peajes.</t>
  </si>
  <si>
    <t>De la manera mas atenta se solicita se incluya la siguiente información en el cuarto de datos del proyecto:</t>
  </si>
  <si>
    <t>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La entidad a cargo de los tramos es INVIAS desde noviembre de 2018.</t>
  </si>
  <si>
    <t>- PAGAs de operación y mantenimiento elaborados por el anterior concesionario y que sigan vigentes</t>
  </si>
  <si>
    <t>- Licencias ambientales emitidas para el anterior concesionario que sigan vigentes</t>
  </si>
  <si>
    <t>- Permisos y autorizaciones sectoriales emitidas para el anterior concesionario y que sigan vigentes</t>
  </si>
  <si>
    <t>Documentos F.1.1.1 y F2.1.1.1  y resto de  documentacion del Cuarto de Información de Referencia respecto a F1y F2 son iguales y referentes al mismo Corredor y mismo tramo cuando en realidad son 2 UF diferentes.</t>
  </si>
  <si>
    <t>Se hará la aclaración en el Cuarto de Información de Referencia y su índice.</t>
  </si>
  <si>
    <t>Cuarto de Datos</t>
  </si>
  <si>
    <t xml:space="preserve">La situación actual en relación con el COVID-19 impone restricciones relacionadas con la movilidad, no sólo a nivel internacional sino a nivel nacional e incluso el posible aislamiento de algunas ciudades colombianas. Es crítico y fundamental que los oferentes tengan la posibilidad de hacer una prospección y visita de terreno, así como estudios de campo de tráfico, por lo que rogamos consideren que los plazos del concurso público deben adaptarse y tener en cuenta estas circunstancias. Al tratarse de un concurso internacional, entendemos que se debe garantizar la posibilidad de que actores tanto nacionales como internacionales participen. Lo anterior se solicita en aras de la competitividad de la oferta. </t>
  </si>
  <si>
    <t>Proyecto de Pliego de Condiciones - Sección 1.8 y Sección 2.3.</t>
  </si>
  <si>
    <t xml:space="preserve">De acuerdo con las observaciones presentadas por los Interesados y con el fin de otorgar plazo prudencial para la revisión de los Documentos del Proceso de Contratación, se modificó el cronograma a través de los Avisos Modificatorios publicados en el SECOP </t>
  </si>
  <si>
    <t>100. </t>
  </si>
  <si>
    <t xml:space="preserve">El Proyecto de Pliego de Condiciones y el contrato de concesión (Parte General y Parte Especial) incluyen cambios respecto a los proyectos 4G que es necesario analizar con detenimiento. También se ha observado que existen diferencias entre la Parte General publicada con el Proyecto de Pliego de Condiciones y la publicada en la página web de la ANI durante el mes de marzo 2020. De la manera más atenta posible, solicitamos se conceda un mayor plazo para que los interesados puedan hacer observaciones al Proyecto de Pliego de Condiciones por tratarse del primer proyecto que sale a licitación bajo este nuevo esquema. </t>
  </si>
  <si>
    <t>101. </t>
  </si>
  <si>
    <t>El cronograma de la licitación incluye una serie de hitos presenciales (audiencias publicas) que por la coyuntura actual podrían dificultar la asistencia. De la manera más atenta se solicita a la ANI que dé la posibilidad de asistir a esas reuniones de manera telemática.</t>
  </si>
  <si>
    <t>Proyecto de Pliego de Condiciones - Sección 2.3</t>
  </si>
  <si>
    <t xml:space="preserve">De acuerdo con lo establecido por el artículo 1 del Decreto 537 de 2020, las audiencias públicas que deban desarrollarse en procesos de selección podrán adelantarse a través de medios electrónicos durante el tiempo que dure la Emergencia Sanitaria decretada por el Ministerio de Salud y Protección Social, garantizando el acceso a los proponentes, entes de control y cualquier ciudadano interesado. Teniendo en cuenta lo anterior, y en la medida en que la Emergencia Sanitaria continúe con posterioridad al 30 de mayo del año en curso y/o se mantengan las restricciones de aglomeraciones decretadas por el Gobierno Nacional, la audiencia podrá realizarse a través de medios electrónicos.
En todo caso, aun cuando la referida audiencia se lleve a cabo de forma presencial, con el fin de permitir el acceso a personas que puedan verse limitadas para participar de forma directa, se informa al interesado que la audiencia será transmitida a través de un webinar cuyos datos de acceso serán publicados con la debida antelación.
</t>
  </si>
  <si>
    <t>102. </t>
  </si>
  <si>
    <t>Solicitamos no llimitar la participación de Reaseguradores dado que el mercado local en sus contratos automáticos de reaseguro no cuenta con la capacidad suficiente para respaldar éste tipo de proyectos, en especial para la Etapa Contractual del proceso una vez celebrado el Contrato de Concesión, sugerimos eliminar “(ii). En el caso de reaseguros facultativos, el reasegurador deberá contar con la siguiente calificación de riesgo mínima en la escala de largo plazo aplicable en el REACOEX: (1) Standard &amp; Poor’s: A; (2) A. M. Best: a; (3) Duff and Phelps / Fitch Ratings: A; (4) Moody’s: Aa3.” levantando las restricciones de acceso al mercado de Reaseguro Facultativo, claro está manteniendo lo definido por la Superintendencia Financiera de Colombia respecto del Registro de REACOEX.</t>
  </si>
  <si>
    <t xml:space="preserve">Proyecto de Pliego de Condiciones - Sección 4.1.14 (a) (i) </t>
  </si>
  <si>
    <t xml:space="preserve">La calificación de Reacoex es el mínimo legal que hasta la fecha no ha sido modificado y sigue siendo el requerido para los reaseguros automáticos. Para los reaseguros facultativos se hace una exigencia diferente, como quiera que son colocaciones específicas y sin que necesariamente tengan la tradición de llevar varios años de experiencia en el mercado colombiano de manera sostenida, como suele ocurrir con los reaseguros automáticos. Por este motivo se hace una exigencia de mejor calificación de riesgo. Así las cosas se acepta la observación parcialmente, para dejar establecido que si se trata de un reasegurador con vigencia inferior a dos años en el REACOEX, se exigirá que su nivel de riesgos esté en el siguiente nivel por encima de lo requerido en el REACOEX. </t>
  </si>
  <si>
    <t>Lo anterior, teniendo en cuenta que debido a la sitiación actual de COVID-19 las calificaciiones de las diferenes Aseguradoras y Reaseguradores se pueden ver afectadas y no cumplir con las propuestos actualmente en el prepliego. Adicionalmente, sugerimos tener en ceutna que a efectos de la inscripción en el REACOEX de entidades reaseguradoras del exterior, se considerarán admisibles las calificaciones internacionales de fortaleza financiera vigentes, que no tengan más de 12 meses de antigüedades realizadas por las siguientes agencias y calificaciones:</t>
  </si>
  <si>
    <t>Agencia calificadora</t>
  </si>
  <si>
    <t>Calificación mínima admisible</t>
  </si>
  <si>
    <t>Standard &amp; Poor´s BBB-</t>
  </si>
  <si>
    <t>A.M. Best B+</t>
  </si>
  <si>
    <t>Fitch  BBB-</t>
  </si>
  <si>
    <t>Moody´s Baa3</t>
  </si>
  <si>
    <t>103. </t>
  </si>
  <si>
    <t>solicitamos eliminar el siguiente texto: “Adicionalmente, deberá venir acompañada de una certificación expedida por el asegurador en la que  declare las condiciones de la colocación de la garantía (según el  modelo que se adjunta al presente Pliegos como Anexo 21).”. Lo anterior por considerarse redundante ya que la Superintendencia Financiera de Colombia regula ya la materia de colocación de reaseguros de las compañías de seguros.</t>
  </si>
  <si>
    <t>104. </t>
  </si>
  <si>
    <t>En la Sección 4.1.14 (a)(v)(1) se establece que: “Las garantías deberán cumplir con los requisitos señalados para cada una de ellas en el Decreto 1082 de 2015 (Parte 2 Título 1 Capítulo 2 Sección 3 Subsección 1, 2, 3 y 4), según se modifique o adicione. Las garantías, cualquiera que sea su naturaleza, deberán estar constituidas con Bancos Aceptables”.</t>
  </si>
  <si>
    <t>Proyecto de Pliego de Condiciones - Sección 4.1.14 (a) (v) (1)</t>
  </si>
  <si>
    <t>Lo anterior, puede generar confusiones ya que se está generalizando a Bancos Aceptables como entidad para su constitución según la garantía que se escoja, cabe precisar que los Incisos (i) (ii) (iii) (iv) son clases de garantías según lo indicado en el decreto  Decreto 1082 de 2015, Artículo 2.2.1.2.3.1.2 sin embargo para la clase de garantía inciso (1) Contrato de seguro contenido en una póliza  no es aplicable lo indicado Bancos Aceptables. Se sugiere precisar y detallar que el inciso (v) (1) no es aplicable para la garantía suscrita por medio de Contrato de seguro contenido en una póliza.</t>
  </si>
  <si>
    <t>105. </t>
  </si>
  <si>
    <t>Se solicita de la manera más atenta se aclare si el personal de los contratistas de la concesionaria y de los subcontratistas de los contratistas de la concesionaria computan a los efectos del cálculo del porcentaje del Personal Cualificado y No Cualificado de la Zona de Influencia del Proyecto.</t>
  </si>
  <si>
    <t>Proyecto de Pliego de Condiciones - Sección 5.3</t>
  </si>
  <si>
    <t>106. </t>
  </si>
  <si>
    <t>Se solicita de la manera más atenta se indiquen cuáles son los municipios afectos a la zona de influencia del proyecto, a los efectos de la Oferta de Mano de Obra Local.</t>
  </si>
  <si>
    <t>107. </t>
  </si>
  <si>
    <t>Según la Sección 5.4.2.(b) entendemos que los servicios prestados por un Oferente proveniente de un Estado con los cuales Colombia tenga Acuerdos Comerciales se considera Oferente de servicios nacionales, y en este caso, el puntaje del criterio Incentivo a la Industria Nacional y Reciprocidad se calcularía según la Sección 5.4.5.(a).</t>
  </si>
  <si>
    <t>Proyecto de Pliego de Condiciones - Sección 5.4.5.(b)</t>
  </si>
  <si>
    <t xml:space="preserve">No se acoge su solicitud. De acuerdo con lo previsto por la Sección 5.4.2(b) del Proyecto de Pliego de Condiciones, se considerarán Oferentes de servicios nacionales los provenientes de Estados con los cuales exista un Acuerdo Comercial o con los cuales no exista un Acuerdo Nacional pero respecto de los cuales el Ministerio de Relaciones Exteriores haya certificado que los Oferentes gozan de trato nacional. 
En línea con lo anterior, los servicios ofrecidos por Oferentes extranjeros que no estén cobijados por los eventos previstos en la Sección 5.4.2. (a), (b) y (c) del Proyecto de Pliego de Condiciones, no se entenderán servicios de origen nacional y, en consecuencia, el puntaje será otorgado de acuerdo con lo establecido en el numeral 5.4.5. (b) correspondiente a la Oferta de incorporación de bienes nacionales. En otras palabras, cuando los Oferentes extranjeros logren acreditar reciprocidad, se entenderá que sus servicios son nacionales y por lo tanto se otorgará el puntaje de acuerdo con lo establecido por el numeral 5.4.5. (a) del Pliego de Condiciones.
</t>
  </si>
  <si>
    <t>En este sentido, se solicita de la manera más atenta la siguiente modificación del proyecto de pliego de condiciones para evitar confusión:</t>
  </si>
  <si>
    <t>108. </t>
  </si>
  <si>
    <t>Se establece que la ANI puede prorrogar el plazo de presentación de ofertas hasta la mitad del incialmente señalado. Aclarar cuál es el plazo inicialmente señalado.</t>
  </si>
  <si>
    <t xml:space="preserve">Esta regulación corresponde a lo dispuesto por el artículo 30 numeral 5 de la Ley 80 de 1993, el cual señala: “(…) 5o. El plazo de la licitación o concurso, entendido como el término que debe transcurrir entre la fecha a partir de la cual se pueden presentar propuestas y la de su cierre, se señalará en los pliegos de condiciones o términos de referencia, de acuerdo con la naturaleza, objeto y cuantía del contrato. 
 Cuando lo estime conveniente la entidad interesada, de oficio o a solicitud de un número plural de posibles oferentes, dicho plazo se podrá prorrogar antes de su vencimiento, por un término no superior a la mitad del inicialmente fijado. En todo caso no podrán expedirse adendas dentro de los tres (3) días anteriores en que se tiene previsto el cierre del proceso de selección, ni siquiera para extender el término del mismo. La publicación de estas adendas sólo se podrá realizar en días hábiles y horarios laborales.
(…)”
Se aclara que el plazo inicialmente fijado será el definido en el cronograma publicado con el pliego de condiciones definitivo.
</t>
  </si>
  <si>
    <t>109. </t>
  </si>
  <si>
    <t xml:space="preserve">El criterio de adjudicación de la oferta económica impide que los consorcios que participan en la licitación sepan de qué manera pueden poner su oferta más competitiva. Dicho criterio depende de un sorteo por el cual puede ser adjudicada al consorcio que oferte el menor valor o a un valor intermedio sin forma de saber a priori cuál es el criterio que se va a seguir. A efectos prácticos, esto hace que la oferta se adjudique de manera aleatoria entre los consorcios presentados. Este método no solo dificulta el proceso de licitación para los oferentes, sino que además tampoco beneficia de ninguna manera a la propia ANI. Proponemos que el criterio de adjudicación de la oferta sea a aquél consorcio que oferte el VPIP más bajo que cumpla con el criterio de límite inferior (90% de la media con mediana de las ofertas hábiles). En tal sentido, proponemos utilizar la metodología que se usó para la adjudicación de todo el programa 4G para la asignación del puntaje de la Oferta Económica (i.e. metodología única de cálculo utilizando el criterio del Menor Valor), la cual (i) es conocida por el mercado, (ii) incentiva propuestas competitivas entre los oferentes, (iii) elimina o disminuye el alea de la adjudicación para los proponentes y (iv) probó ser una herramienta eficaz para evitar eventuales situaciones de colusión. </t>
  </si>
  <si>
    <t>Proyecto de Pliego de Condiciones - Sección 8.5</t>
  </si>
  <si>
    <t xml:space="preserve">Se aclara al interesado que el planteamiento de las fórmulas son consistentes con los lineamiento establecidos por Colombia Compra Eficiente, en tal sentido la entidad considera que las mismas respetan las características de un proceso licitatorio de este tipo. Adicionalmente, la aleatoriedad de las fórmulas no generan un incentivo a una baja rigurosidad en los estudios de los proponentes pues no es posible prever un puntaje con propuestas ineficientes. </t>
  </si>
  <si>
    <t>110. </t>
  </si>
  <si>
    <t>En el apartado 4.1.14.a, se dan tres (3) opciones para presentar la Garantía de Seriedad de la oferta, pero posteriormente, se desarrolla una cuarta; iv) Carta de Crédito Stand-By. ¿Es válida también esta cuarta opción o únicamente son validas las tres primeras opciones?.</t>
  </si>
  <si>
    <t>Proyecto de Pliego de Condiciones - Sección 4.1.14.a</t>
  </si>
  <si>
    <t xml:space="preserve">Se informa al interesado que la Garantía de Seriedad de la Oferta podrá presentarse a través de (i) contrato de seguro contenido en una póliza, (ii) Patrimonio Autónomo, (iii) Garantía Bancaria o (iv) Carta de Crédito Stand-By. 
De acuerdo con lo anterior, se hará la aclaración correspondiente en el literal (a) del numeral 4.1.14. en los documentos definitivos. 
 </t>
  </si>
  <si>
    <t>111. </t>
  </si>
  <si>
    <t xml:space="preserve"> Hacemos referencia a las obras que el Concesionario deberá ofertar dentro del factor de calidad, las cuales hacen parte del alcance del contrato, y sobre las que se indica lo siguiente: “…Los Riesgos asociados a las obras que se oferten como Factor de Calidad se regularan conforme a lo dispuesto en la distribución de riesgos prevista en las Secciónes 13.2 y 13.3 de la Parte General del Contrato y en la Sección  3.11 Riesgos Específicos del Proyecto por Factor de Calidad de la Parte Especial del Contrato…”, lo anterior quiere decir, que los riesgos de  compensaciones socioambientales, compensaciones socioeconómicas, traslado de redes, y predios, serán asignados 100% al Concesionario. Agradecemos sea replanteada esta consideración y el tratamiento sea de acuerdo a lo enunciado en los Secciónes: 7.2 Literal a, Sub Secciónes (i) (ii) (iii), 8.1 Literal c, Sub Literal c, Sub Sección III, 8.2 Literal e, del Contrato Parte General. </t>
  </si>
  <si>
    <t>Proyecto de Pliego de Condiciones - Sección 5.5.4. Evaluación Factor de Calidad Obras adicionales</t>
  </si>
  <si>
    <t>Se aclara al interesado que se ha analizado su observación pero se considera que no es procedente, dado que al tratarse de intervenciones de mejoramiento y rehabilitación sobre vías secundarias y terciarias existentes, que no contemplan la compra de predios ni traslado de redes, los riesgos son significativamente menores que el resto del Corredor del Proyecto. Teniendo en cuenta lo anterior, la asignación de riesgos se mantiene conforme lo expuesto en el proceso licitatorio. Por lo que le corresponderá al proponente, en lo referido a la oferta correspondiente al Factor de Calidad evaluar el manejo de riesgos prediales, socioambientales y de redes de acuerdo con lo previsto en el Contrato Parte General.</t>
  </si>
  <si>
    <t>112. </t>
  </si>
  <si>
    <t xml:space="preserve">Factor de Calidad: “… Este puntaje será asignado al Oferente que oferte su uso en una longitud continua igual o mayor al diez por ciento (10%) de la longitud de cada una de las Unidades Funcionales que conforman el Proyecto, longitud establecida en la tabla N°3 del Apéndice Técnico 1, quien oferte menos del diez por ciento (10%) de la longitud que conforman las Unidades Funcionales del Proyecto, tendrá cero (0) puntos. Observación: Agradecemos que este requerimiento se haga sobre el 10% del volumen de mezcla requerido para intervenir cada una de las unidades funcionales. La Obligación persiste en la etapa de Operación y Mantenimiento en los mantenimientos mayores?      </t>
  </si>
  <si>
    <t xml:space="preserve">Proyecto de Pliego de Condiciones - Sección 5.5.4. - Evaluación Factor de Calidad Obras adicionales. </t>
  </si>
  <si>
    <t>113. </t>
  </si>
  <si>
    <t>Revisada la Información publicada en el Cuarto de Información de Referencia indicado en el Pliego de Condiciones vemos que no se encuentra publicado el detalle del CAPEX del proyecto, por lo que agradecemos publicarlo. Lo anterior, teniendo en cuenta lo indicado en el Sección en mención: “…el Cuarto de Información de Referencia, sólo pretende facilitar el acceso a la información que reposa en los archivos de ANI. Por lo tanto, los estudios y conceptos estarán disponibles a título meramente informativo,..”</t>
  </si>
  <si>
    <t xml:space="preserve">Proyecto de Pliego de Condiciones - Sección 1.7 CUARTO DE INFORMACIÓN DE REFERENCIA. </t>
  </si>
  <si>
    <t xml:space="preserve">El detalle del CAPEX del Proyecto hace parte del modelo financiero, y de acuerdo con la Ley 1508 de 2012, el modelo financiero estatal tendrá reserva legal. Razón por la cual no se publicará en el cuarto de datos. </t>
  </si>
  <si>
    <t>114. </t>
  </si>
  <si>
    <t>Agradecemos sea publicada los diseños de las Obras correspondientes al factor de Calidad.</t>
  </si>
  <si>
    <t>Se incluirá, en el Cuarto de Información de Referencia (carpeta g), la información, esta información estará disponible a título meramente informativo acorde con las condiciones de la Sección 1.7 Cuarto de Información de Referencia del Pliego de Condiciones</t>
  </si>
  <si>
    <t>115. </t>
  </si>
  <si>
    <t>De conformidad con la sección 2.6 (a) (x) se limita el uso de los recursos provenientes de los Giros de Equity y Recursos de Deuda única y exclusivamente para la ejecución de las obligaciones previstas en el Contrato, desconociendo de esa forma que dichos recursos podrán así mismo ser utilizados para retribuir a los Sponsors por las inversiones realizadas en el Proyecto.</t>
  </si>
  <si>
    <t>Parte General del Contrato de Concesión - Sección 2.6(a)(x)</t>
  </si>
  <si>
    <t>En esa medida solicitamos que se aclare la declaración para establecer que, sujeto a los requisitos que se establecen en el Contrato de Concesión y/o siempre que hubiere autorización de los Prestamistas, los recursos de Deuda podrán ser usados así mismo para pagar la deuda subordinada y/o retribuir equity de los accionistas.</t>
  </si>
  <si>
    <t>Lo anterior es consistente con esquemas de refinanciación, recap, cash-out y/o similares en este tipo de proyectos y la practica evidenciada en proyecto 4G.</t>
  </si>
  <si>
    <t>116. </t>
  </si>
  <si>
    <t>En la Minuta de la Parte General del Contrato de Concesión se establece lo siguiente:</t>
  </si>
  <si>
    <t>Parte General del Contrato de Concesión - Sección 3.4(d)</t>
  </si>
  <si>
    <t>3.4(d) Si a la Fecha de Terminación de la Etapa de Operación y Mantenimiento el Concesionario no ha obtenido el VPIP, la ANI reconocerá y pagará al Concesionario el saldo no devengado del VPIP, conforme a la fórmula especificada en la Sección 18.3(d) de esta Parte General. 3.4(d) Si a la Fecha de Terminación de la Etapa de Operación y Mantenimiento el Concesionario no ha obtenido el VPIP, la ANI no reconocerá al Concesionario el saldo no devengado del VPIP y, consecuentemente, la ANI no hará reconocimiento alguno, ni se entenderá que ofrecerá garantía alguna al Concesionario que permita eliminar o mitigar los efectos causados por la no obtención del VPIP, conforme a lo establecido en la Sección 13.2(a)(xviii) de esta Parte General.</t>
  </si>
  <si>
    <t xml:space="preserve">El Proyecto MVVC no tiene SIi, y en consecuencia el riesgo tráfico es 100% del Concesionario. Ahora bien, teniendo en cuenta las circunstancias actuales y los efectos que ha generado la emergencia económica y social por Covid-19, es posible que las proyecciones de tráfico resulten incorrectas. En efecto, se estima que el volumen de trafico a nivel nacional se reduzca sustancialmente, incluso post-Covid. En aras de lo anterior, es fundamental que la prognosis de tráfico del proyecto se actualice de manera tal que identifique el impacto generado por el Covid-19, o en su defecto que se incorpore el SIi.  </t>
  </si>
  <si>
    <t>117. </t>
  </si>
  <si>
    <t>La Sección 3.8 de la Minuta de la Parte General del Contrato de Concesión establece que:</t>
  </si>
  <si>
    <t xml:space="preserve">Parte General del Contrato de Concesión - Sección 3.8 (a) </t>
  </si>
  <si>
    <t>"(a) El(los) Cierre(s) Financiero(s) del Proyecto, según se defina en la Parte Especial y de acuerdo con los valores que allí se indican, será(n) acreditado(s) mediante la presentación a la ANI de los siguientes documentos (sin perjuicio de aquellos otros documentos y requisitos adicionales que se puedan solicitar en la Parte Especial), según corresponda a la modalidad de financiación escogida por el Concesionario, dentro del plazo establecido en la Parte Especial:  (…) (i) Préstamos Bancarios: El Concesionario deberá aportar a) el contrato de crédito suscrito y/o b) un compromiso en firme sobre la financiación emitido por el Prestamista (o el banco líder, agente administrador o similar, en caso de créditos sindicados)o o el agente de manejo del crédito (...)".</t>
  </si>
  <si>
    <t xml:space="preserve">En los contratos 4G, en lugar de solictar "un compromiso en firme sobre la financiación", se solicitaba una certificación emitida por los Prestamistas. Al respecto, solicitamos volver al lenguaje 4G, toda vez que  (i) el mercado ya conoce el estandar y los requisitos de acreditación de cierre financiero; (ii) la práctica ha evidenciado que el plazo inicial de 12 meses no es un plazo en el que razonablemente pueda obtenerse un compromiso "en firme", pero si en el que se ha podido obtener la certificación solicitada en 4G; (iii) facilita a todos los interesados utilizar precedentes que ya han sido de recibo para la ANI; y (iv) el nuevo requsito que se introdujo de presentar con posterioridad los contratos de creditos o un certificación en ese sentido, complementa la acreditación original de cierre financiero de 4G y protege el interés de la entidad resolviendo la preocupación de no tener un plazo máximo para la firma del contrato de crédito.   </t>
  </si>
  <si>
    <t>118. </t>
  </si>
  <si>
    <t xml:space="preserve">Parte General del Contrato de Concesión - Sección 3.8 (c) </t>
  </si>
  <si>
    <t>"(c) (...) En el caso que el Concesionario opte por presentar en el plazo del Cierre Financiero el compromiso en firme indicado en la Sección 3.8(a)(i)(b) de esta Parte General, el Concesionario tendrá un plazo de nueve (9) Meses contados desde la fecha de suscripción del Acta de Inicio de la Fase de Construcción para presentar el contrato de crédito suscrito. Una vez se encuentre debidamente legalizado el contrato de crédito o su documento equivalente de acuerdo a cada modalidad prevista en la Sección 3.8(a), deberá informarse a la ANI y a la Interventoría y se deberán remitir los documentos solicitados en la Sección de la presente Sección a la ANI en un tiempo no mayor a quince (15) Días Hábiles."</t>
  </si>
  <si>
    <t>Respuetuosamente solicitamos</t>
  </si>
  <si>
    <t>1) ampliar el plazo de 9 meses a 18 meses. Lo anterior, teniendo en cuenta la experiencia en los cierres financieros de 4G demostró que el cierre financiero y firma de los contratos de crédito es un proceso complejo (en el que intervienen una multiplicidad de entidades financieras)  que en ningún caso se ha obtenido en menos de 12 a 24 meses desde la fecha de acreditación original de cierre financiero.</t>
  </si>
  <si>
    <t xml:space="preserve">2) Eliminar el requisito de entregar el contrato de crédito pues se trata de documentos confidenciales y sensibles. Como alternativa sugerimos admitir una certificación de los Prestamistas en la cual manifiesten que el Contrato de Crédito se suscribió.  </t>
  </si>
  <si>
    <t>119. </t>
  </si>
  <si>
    <t>Parte General del Contrato de Concesión - Sección 3.12 (a) y (d)</t>
  </si>
  <si>
    <t>3.12 (a) Los Prestamistas tendrán derecho a tomar posesión del Proyecto cuando: (…) (iii) Cuando la ANI les notifique que pueden ejercer tal derecho ante el acaecimiento de una inhabilidad sobreviniente en los términos del artículo 9 de la Ley 80 de 1993.</t>
  </si>
  <si>
    <t>(…) (d) Procedimiento para la Toma de Posesión (…) (viii) Acaecida una inhabilidad sobreviniente en los términos del artículo 9 de la Ley 80 de 1993 (i) sin que los Prestamistas ejerzan su derecho a tomar posesión del Proyecto en los términos señalados en la Sección 3.12(a)(iii) de esta Parte General; o (ii) habiendo ejercido tal derecho la ANI no autorizare al nuevo Concesionario en los términos de la Sección 3.12(f) de esta Parte General, se terminará el presente Contrato siguiendo los lineamientos del artículo 9 de la Ley 80 de 1993 que obliga a la renuncia a la ejecución del mismo, de acuerdo a lo estipulado en el presente Contrato. En caso de que los Prestamistas decidan no ejercer la toma de posesión, o de que la ANI no apruebe el nuevo Concesionario, en los términos de la Sección 3.12(f) de esta Parte General, se entenderá que no ha sido posible ceder el presente Contrato en los términos del artículo 9 de la Ley 80 de 1993, y por tanto, se entenderá que se renuncia al mismo.</t>
  </si>
  <si>
    <t xml:space="preserve">Solicitamos aclarar que, en caso de la renuncia a la ejecución del Contrato derivada de una inhabilidad sobreviniente, el Contrato se liquidará de conformidad con las fórmulas de pago por terminación que se establecen en la Sección 18.3. </t>
  </si>
  <si>
    <t>120. </t>
  </si>
  <si>
    <t>La Sección 4.4 (f) de la Minuta de la Parte General del Contrato de Concesión establece como una de las Condiciones Precedentes para el Inicio de la Fase de Construcción: “Haber efectuado el Concesionario el(los) Cierre(s) Financiero(s), según corresponda en los términos de la Sección 3.8 de esta Parte General, y efectuado los Giros de Equity previstos para ser desembolsados en la Fase de Preconstrucción.”</t>
  </si>
  <si>
    <t>Parte General del Contrato de Concesión - Secciones 4.4 (f), 3.8</t>
  </si>
  <si>
    <t>Se informa al interesado, que su entendimiento es correcto, respecto al cumplimiento de la condición precedente para el Inicio de la Etapa de Construcción.</t>
  </si>
  <si>
    <t xml:space="preserve">Entendemos que habiendo certificado el cierre financiero en los terminos de la Sección 3.8 (a) de la Parte General con una certificación o compromiso de los Prestamistas se entiende cumplida la condición precedente para el inicio de la Fase de Construcción, sin que sea necesaria la entrega o firma de los contratos de crédito a la que se refiere la sección 3.8 (c). Dicho de otra manera la condición precedente para el inicio de construcción esta proyectada para cumplirse a los 12 meses y no a los 21 meses que se sumarian conforme a la cláusula 3.8(c).    Por favor confirmar nuestro entendimiento. </t>
  </si>
  <si>
    <t>121. </t>
  </si>
  <si>
    <t>Parte General del Contrato de Concesión - Sección 4.10 (c), (e), (k) y (m)</t>
  </si>
  <si>
    <t>4.10 (c) Con la presentación de la solicitud, el Concesionario acepta que por cada Día de plazo adicional utilizado para terminar la Unidad Funcional, se generará un valor a favor de la ANI por el monto previsto para el efecto en la Parte Especial multiplicado por el número de Días efectivamente utilizado por cada Unidad Funcional de conformidad con las Sección 4.10(e) siguiente de esta Parte General y se pagará en la forma establecida en la Sección 4.10(k) de esta Parte General.</t>
  </si>
  <si>
    <t>(e) El Concesionario deberá indicar en su solicitud de plazo adicional, el número de Días en que quiere ampliar el plazo máximo de ejecución por cada Unidad Funcional, adjuntando el ajuste al Plan de Obras de acuerdo con la solicitud de plazo adicional para cada Unidad Funcional, así como la modificación (…)</t>
  </si>
  <si>
    <t>(k) El Concesionario pagará el valor a favor de la ANI por el plazo adicional con los siguientes mecanismos, para lo cual dejará constancia de la opción seleccionada en cada solicitud de plazo adicional: (…) ii) Un pago en efectivo por parte del Concesionario a la Subcuenta Excedentes ANI, dentro de los diez (10) Días siguientes a la Notificación de la aceptación del plazo adicional efectivamente utilizado, en el monto establecido en la Sección 4.10(c) de esta Parte General.</t>
  </si>
  <si>
    <t>(…) (m) El pago resultante del valor a favor de la ANI será girado a la Subcuenta Excedentes ANI y quedará a disposición de la ANI para los fines que este Contrato establece para dicha Subcuenta. Los valores a favor de la ANI no serán objeto de devolución en ninguna circunstancia al Concesionario, ni siquiera en el caso en que no llegue a requerir el plazo que solicitó.</t>
  </si>
  <si>
    <t>La Minuta de Contrato 5G publicada por la ANI orignalmente estableció la siguiente redacción:</t>
  </si>
  <si>
    <t>(c) Con la presentación de la solicitud, el Concesionario acepta que por cada Día de plazo adicional utilizado para terminar la Unidad Funcional, se generará un valor a favor de la ANI por el monto previsto para el efecto en la Parte Especial multiplicado por el número de Días efectivamente utilizado por cada Unidad Funcional de conformidad con las Sección 4.10(e) siguiente de esta Parte General y se pagará en la forma establecida en la Sección 4.10(k) de esta Parte General.</t>
  </si>
  <si>
    <t>(e) El Concesionario deberá indicar en su solicitud de plazo adicional, adjuntando el ajuste al Plan de Obras de acuerdo con la solicitud de plazo adicional para cada Unidad Funcional, así como la modificación (…)</t>
  </si>
  <si>
    <t>(k) El Concesionario pagará el valor a favor de la ANI por el plazo adicional con los siguientes mecanismos, para lo cual dejará constancia de la opción seleccionada en cada solicitud de plazo adicional: (…) ii) Un pago en efectivo por parte del Concesionario a la Subcuenta Excedentes ANI, dentro de los diez (10) Días siguientes al vencimiento del plazo adicional por parte de la ANI, en el monto establecido en la Sección 4.10(c) de esta Parte General.</t>
  </si>
  <si>
    <t>(…) (m) El pago resultante del valor a favor de la ANI será girado a la Subcuenta Excedentes ANI y quedará a disposición de la ANI para los fines que este Contrato establece para dicha Subcuenta.</t>
  </si>
  <si>
    <t xml:space="preserve">solicitamos volver a la redacción de la minuta 5G publicada originalmente que limita el valor de la deducción de la Retribución al equivalente a los días efectivamente utilizados y no a todo el plazo adicional sin sanciones solicitado y así evitar que se genere un enriquecimiento sin causa en favor de la entidad.  Adicionalmente, consideramos más adecuado un plazo de 30 días (en vez de 60 días) para solicitar el Plazo Adicional, por lo que solicitamos modificar dicho término. </t>
  </si>
  <si>
    <t>De las Secciónes 7.2 (e), 8.1 (c) (iii)  y 8.2 (e) de la Minuta de la Parte General del Contrato de Concesión se tiene que, si el Valor Estimado de (i) Predios, (ii) Compensaciones Socioambientales y/o (iii) Redes llegare a ser insuficiente como consecuencia de la(s) modificación(es) que haya efectuado de manera voluntaria el Concesionario al Estudio de Factibilidad de Trazado y Diseño Geométrico, dicho sistema de bandas no aplicará. El Concesionario asumirá estos sobrecostos de forma exclusiva, en las condiciones establecidas en la Sección 6.3 de la Parte General (Modificaciones y Adecuaciones a los Estudios de Factibilidad de Trazado y Diseño Geométrico).</t>
  </si>
  <si>
    <t>Parte General del Contrato de Concesión - Secciónes 6.3, 7.2 (e), 8.1 (c) (iii)  y 8.2 (e), 13.3 (f)</t>
  </si>
  <si>
    <t>Adicionalmente, la Sección 13.3 (f) de la Minuta de la Parte General del Contrato de Concesión establece como uno de los riesgos a cargo de la ANI  "Los sobrecostos asociados a los cambios de diseño, en cuanto a que la asunción de este riesgo conlleva los efectos favorables y/o desfavorables de la realización de obras no previstas en este Contrato, siempre que i) sean decididos autónoma y exclusivamente por la ANI, o ii) como consecuencia del trámite de Licencias o Permisos ambientales por razones no imputables al Concesionario".</t>
  </si>
  <si>
    <t>1) En la medida en que el Estudio de Trazado y Diseño Geométrico es presentado por el Concesionario (y no objetado por la Interventoría), solicitamos aclarar si la modificación voluntaria a la que hace referencia la Sección 6.3, es una modificación a dichos Estudios de Trazado que hubieren sido no objetados por la Interventoría.  De lo contrario, se solicita aclarar (a) cuál es el trazado original contra el cual se determinaría la modificación del Concesionaria; o (b) si el trazado geométrico que se incorpora como parte de los estudios previos, es de obligatorio cumplimiento para el Concesionario.</t>
  </si>
  <si>
    <t xml:space="preserve">2) Si el Estudio de Factibilidad de Trazado y Diseño Geométrico es obligatorio y/o cualquier cambio al mismo implica que se pierde el beneficio de la distribución de riesgo, no parece entonces razonable que se solicite al Concesionario presentar Estudios de Trazado y Diseño Geométrico, que en todo caso no podrán diferir de los elaborados por la entidad en prefactibilidad.  </t>
  </si>
  <si>
    <t>3) Parecería que la eliminación del riesgo compartido es inconveniente, pues en la práctica un ajuste al trazado está fundado en una solución técnica, y en todo caso sujeto a la no objeción de la Interventoría.</t>
  </si>
  <si>
    <t xml:space="preserve">4) Se solicita aclarar si la pérdida del beneficio de riesgo compartido se determinaría exclusivamente para el sector o tramo especifico en el que se hubiere modificado el Estudio de Factibilidad de Trazado y Diseño Geométrico y como se determinaría el mismos, o si la pérdida del sistema de bandas sería para sobrecostos que se generen a lo largo de todo el Proyecto.          </t>
  </si>
  <si>
    <t>Parte General del Contrato de Concesión - Sección 7.1 (f)</t>
  </si>
  <si>
    <t>7.1 (f) (…) Si pasados ciento ochenta (180) Días contados desde la suscripción del Acta de Terminación de la Unidad Funcional o del Acta de Terminación Parcial de Unidad Funcional, según corresponda, el Concesionario no acredita la totalidad de la(s) Oferta(s) Formal(es) de Compra de Predios o las solicitudes de Cesión de Predios o Adjudicación de Predios de los Predios Requeridos para una Unidad Funcional, se seguirá el siguiente procedimiento: (i) Se aplicará una Deducción por Índice de Cumplimiento Predial a la Retribución por Unidad Funcional en cada periodo de pago de Retribución hasta por doce (12) Meses (…). (ii) A partir del vencimiento de los doce (12) Meses señalados en la Sección 7.1(f)(i) anterior o en cualquier momento, después de cumplida la obligación que dio origen a la Retención de la Retribución o Compensación Especial de que trata la Sección anterior, el Concesionario deberá acreditar la adquisición de la totalidad de los Predios Requeridos para la Unidad Funcional. Por consiguiente, vencido este término sin que el Concesionario acredite la adquisición de la totalidad de los Predios Requeridos para la Unidad Funcional, se aplicará una Deducción por Índice de Cumplimiento Predial aplicable a la Retribución o Compensación Especial de la respectiva Unidad Funcional hasta doce (12) Meses (…) (iii) La ANI realizará la Retención de la Retribución o de la Compensación Especial de la respectiva Unidad Funcional de manera parcial y durante el tiempo en que persista el incumplimiento, –después de aplicado el Índice de Cumplimiento y el Índice de Cumplimiento Predial (…)  Los valores Retenidos serán entregados al Concesionario una vez se demuestre la adquisición de la totalidad de los Predios Requeridos en dicha Unidad Funcional.</t>
  </si>
  <si>
    <t xml:space="preserve">Solicitamos que se aclare el lenguaje de esta Sección. Por tratarse de deducciones y descuentos a la Retribución sugerimos precisar los conceptos y procedimiento. </t>
  </si>
  <si>
    <t>Parte General del Contrato de Concesión - Sección 8.1 (c)</t>
  </si>
  <si>
    <t xml:space="preserve">El cambio respecto del esquema de distribución de remanentes que incorporaron los contratos 4G genera un desincentivo al uso eficiente de los recursos, por lo que se solicita respetuosamente volver al esquema 60/40 de los contratos 4G -tal y como se evidencia en el aparte marcado arriba-. </t>
  </si>
  <si>
    <t>Parte General del Contrato de Concesión - Sección 8.1 (d)</t>
  </si>
  <si>
    <t>8.1 (d) En cualquier momento durante la ejecución del Contrato, el Concesionario deberá llevar a cabo, bajo el liderazgo de la ANI, la(s) nueva(s) consulta(s) previa(s) con las comunidades étnicas y afrodescendientes que sean certificadas por Autoridad Estatal competente o reconocidas mediante fallo judicial en firme en el área de influencia del Proyecto con posterioridad a la apertura del Proceso de Selección. Los costos que se generen como consecuencia de la Gestión Social y Ambiental para adelantar esta(s) nueva(s) consulta(s) previa(s) serán asumidos en su totalidad por el Concesionario. Los compromisos derivados de dichos acuerdos que sean protocolizados, serán asumidos por las Partes en proporciones iguales (cincuenta por ciento 50%), simultáneamente, siempre y cuando no se originen con ocasión de lo previsto en la Sección 6.3  de esta Parte General. El reconocimiento de la porción a cargo de la ANI establecido en la presente Sección se efectuará aplicando lo previsto en la Sección 19.1 de esta Parte General. Lo anterior en línea con lo establecido en la Sección de esta Parte General.</t>
  </si>
  <si>
    <t>1) En línea con la observación No. 14 anterior, debe eliminarse la referencia a la modificación de los Estudios de Prefactibilidad de Trazado y Diseño Geométrico.</t>
  </si>
  <si>
    <t>2) En la medida en que la práctica ha evidenciado que el surgimiento de consultas previas durante la ejecución del Contrato es un riesgo cuya probabilidad de ocurrencia o materialización es alta, Se solicita (a) establecer un Subcuenta Nuevas Consultas y presupuesto para este riesgo y (b) incorporar el mecanismo de bandas 100/120/200. Lo anterior es fundamental para la bancabilidad del Proyecto, ya que siendo un riesgo tan sensible y de ocurrencia probable, es necesario para Sponsors y Prestamistas determinar la exposición máxima del Concesionario (deudor de la financiación).</t>
  </si>
  <si>
    <t xml:space="preserve">3) En la medida en que la aparición de una nueva consulta es un hecho imprevisible para el Concesionario, pues ha sido la ANI quien ha analizado y surtido las consultas previas necesarias en su condición de Estructurador, el acaecimiento de una nueva consulta debe considerarse de manera automática como un Evento de Fuerza Mayor, de manera que no exista discusión entre el Concesionario, la ANI y el Interventor en ese sentido. En tal sentido, solicitamos que esta consideración se agregue a la respectiva Sección. </t>
  </si>
  <si>
    <t>Parte General del Contrato de Concesión - Sección 17.2 (f)</t>
  </si>
  <si>
    <t>17.2 (f) En caso de no existir mutuo acuerdo para que procedan las causales previstas en las Secciónes 17.2(b)(i) y 17.2(b)(iii) se deberá acudir al Amigable Componedor para que apruebe la respectiva terminación anticipada del Contrato.</t>
  </si>
  <si>
    <t>solicitamos modificar el lenguaje como se establece a continuación:</t>
  </si>
  <si>
    <t>17.2 (f) En caso de no existir mutuo acuerdo para que procedan las causales previstas en las Secciónes 17.2(b)(i) y 17.2(b)(iii) se deberá acudir al Amigable Componedor para que determine si acaeció o no la causal de terminación anticipada del Contrato.</t>
  </si>
  <si>
    <t xml:space="preserve">Es fundamental aclarar el lenguaje y/o eliminar la aprobación de la terminación anticipada por parte del Amigable Componedor. El Amigable Componedor puede pronunciarse sobre la existencia o no del EER y/o el alcance de las obligaciones suspendidas. Sin embargo, ello no puede confundirse con una aprobación o potestad del Amigable Componedor para autorizar o no la terminación.Este tema es crítico para los prestamistas, pues la causal de terminación, una vez acaecida la misma, debe ser objetiva y la terminación del contrato no puede estar sujeta a la aprobación por parte de un Amigable Componedor o un Tribunal.    </t>
  </si>
  <si>
    <t>En caso de terminación anticipada por decisión unilateral de la Administración lo habitual en proyectos concesionales en el mercado internacional es que la compensación que deba pagar la Administración sea el valor de mercado del activo en el momento de dicha terminación (“Fair Market Value”, "FMV") en lugar de calcular el valor de liquidacion mediante una fórmula prefijada por la Administración. El FMV lo calcularía un experto independiente aceptable para las Partes. Todo anterior se establece en aras de que en ningún caso se pueda dar un enriquecimiento ilícito de la Administración mediante aprovechamiento ventajoso de las fórmulas de liquidación en casos en los que, por ejemplo, sea conveniente para la Administración rescatar la concesión.</t>
  </si>
  <si>
    <t>Parte General del Contrato de Concesión - Sección 17.2.(c) y Sección 18.3.(f)</t>
  </si>
  <si>
    <t>De la manera más atenta se solicita a la ANI que el Contrato 5G sea revisado para que la liquidacion correspondiente a terminación anticipada del Contrato por decisión unilateral de la ANI (sección 17.2.(c)) siga los estándares habituales internacionales, y el valor de liquidación en este escenario sea el mayor valor resultante entre (i) el FMV el momento de la terminación y (ii) la fórmula de liquidación de la Sección 18.3.(f). En este sentido, se solicita que la sección 18.3.(f) para el escenario terminación de decisión unilateral de la ANI también incluya la metodología siguiente en relación al cálculo del FMV:</t>
  </si>
  <si>
    <t>"El FMV se establecerá en un importe igual a la suma de (i) el equity en la concesionaria, (ii) el saldo vivo de las deudas subordinadas de accionistas al precio que ambos pudieran ser vendidos bajo criterio de mercado abierto asumiendo las siguientes hipótesis:</t>
  </si>
  <si>
    <t>a) la venta de la concesionaria se realiza asumiendo que no existe un incumplimiento por parte de la ANI o un escenario de terminación unilateral por parte de la ANI,</t>
  </si>
  <si>
    <t>b) la venta se realiza siguiendo un criterio de negocio en marcha (going concern basis),</t>
  </si>
  <si>
    <t>c) la venta asume que no existen restricciones en la transferencia del equity ni de la deuda subordinada de accionistas, y</t>
  </si>
  <si>
    <t>d) para el resto de las hipótesis se tiene en cuenta la situación real de la concesión en el momento de dicha valoración.</t>
  </si>
  <si>
    <t>y (iii) el saldo vivo de la deuda de terceros, (iv) los costes de ruptura o traspaso, según sea el caso, de los contratos financieros, y (v) los costes de ruptura o traspaso, según sea el caso, de los contratos que la Concesionaria tenga con terceros para el cumplimiento de las obligaciones establecidas en el Contrato.</t>
  </si>
  <si>
    <t>La determinación del FMV la calculará un experto independiente elegido de mutuo acuerdo entre las Partes, y el cálculo se hará siguiendo la metodología definida en esta sección."</t>
  </si>
  <si>
    <t>La Minuta de la Parte General del Contrato de Concesión establece en la Sección 17.2 que el Contrato terminará anticipadamente:</t>
  </si>
  <si>
    <t>Parte General del Contrato de Concesión - Sección 17.2 (d)(e), 18.3(f)</t>
  </si>
  <si>
    <t>(d) Por solicitud del Concesionario si se presenta mora superior a sesenta (60) Días en el pago de cualquier obligación dineraria a cargo de ANI, siempre que el valor pendiente de pago sea superior al definido en la Parte Especial. Se entenderá que hay mora de la ANI sólo desde cuando de conformidad con lo previsto en la Sección 3.6 de esta Parte General, procedan intereses de mora a cargo de la ANI.</t>
  </si>
  <si>
    <t>(e) Por la declaratoria judicial de terminación del Contrato debidamente ejecutoriada, por causas imputables a la ANI.</t>
  </si>
  <si>
    <t>De la manera más atenta posible se solicita a la ANI que el Contrato 5G sea revisado para que el valor de liquidación del Contrato para las causales de terminación por causas imputables a la ANI descritas anteriormente, siga los estándares habituales internacionales y el valor de liquidación en este escenario sea el mayor valor resultante entre (i) el FMV el momento de la terminación y (ii) la fórmula de liquidación de la Sección 18.3.(f) de la Parte General según sea el caso. La inclusión del concepto de FMV y el cambio de fórmula de liquidación a la 18.3.(f) respecto a las contempladas en el Contrato (18.3.(c), 18.3.(d) y 18.3.(e)) buscan proteger al Concesionario de una eventual situación en que la Administración tenga interés en rescatar la concesión y decida incumplir sus obligaciones bajo el contrato de concesión de manera que el valor de liquidación del Contrato sea más bajo que el aplicable en caso de terminación por decisión unilateral de la ANI.</t>
  </si>
  <si>
    <t>En este sentido, se solicita que el valor de liquidación en caso de terminación anticipada por las causas establecidas en la sección 17.2.(d) y 17.2.(e) sea el mayor valor resultante entre (i) el FMV el momento de la terminación y (ii) la fórmula de liquidación de la Sección 18.3.(f), y que la sección 18.3.(f) también incluya la metodología siguiente en relación al cálculo del FMV:</t>
  </si>
  <si>
    <t>La determinación del FMV la calculará un experto independiente elegido de mutuo acuerdo entre las Partes, y el cálculo se hará siguiendo la metodología definida en esta sección"</t>
  </si>
  <si>
    <t>La cláusula de terminación por declaratoria de Terminación Unilateral con base en la aplicación del numeral 1º del artículo 17 de la Ley 80 de 1993 incluye la terminación unilateral de la ANI por motivos de interés general (sección 17.2.(b)(ii)).</t>
  </si>
  <si>
    <t>Parte General del Contrato de Concesión - Sección 17.2 (b)(ii)</t>
  </si>
  <si>
    <t>De la manera más atenta posible se solicita a la ANI que el Contrato 5G sea revisado para que el valor de liquidación del Contrato para la causal de terminación de la sección 17.2.(b)(ii) considere el mayor valor resultante entre (i) el FMV el momento de la terminación y (ii) la fórmula de liquidación de la Sección 18.3.(f) de la Parte General. La inclusión del concepto de FMV y el cambio de fórmula de liquidación a la 18.3.(f) respecto a las contempladas en el Contrato (18.3.(c), 18.3.(d) y 18.3.(e)) buscan proteger al Concesionario de la discrecionalidad que podría ejercer la ANI bajo este escenario.</t>
  </si>
  <si>
    <t>En este sentido, se solicita que el valor de liquidación en caso de terminación anticipada por la causa establecida en la sección 17.2.(b).(ii)  sea el mayor valor resultante entre (i) el FMV el momento de la terminación y (ii) la fórmula de liquidación de la Sección 18.3.(f), y que la sección 18.3.(f) también incluya la metodología siguiente en relación al cálculo del FMV:</t>
  </si>
  <si>
    <t xml:space="preserve">Parte General del Contrato de Concesión - Sección 18.3 (c), (d) y (e) </t>
  </si>
  <si>
    <t>18.3 (c) Terminación Anticipada con anterioridad al inicio de la Fase de Construcción: (…)</t>
  </si>
  <si>
    <t>Para los Meses h posteriores a la Fecha de Inicio se reconocerán exclusivamente los costos asociados con las siguientes actividades: y se deberán verificar por parte del Interventor los siguientes criterios: (A) que hayan sido ejecutadas para contribuir a satisfacer el interés público, (B) que estén estrictamente asociadas al objeto del Contrato, (C) que los costos correspondan a precios de mercado asociados a las condiciones particulares del Proyecto al momento de su causación de acuerdo con la modalidad contractual y (D) que el bien y/o servicio haya sido debidamente entregado y/o prestado (…).</t>
  </si>
  <si>
    <t>18.3 (d) Terminación Anticipada en Fase de Construcción: (…)</t>
  </si>
  <si>
    <t>Para los Meses h posteriores a la Fecha de Inicio se reconocerán exclusivamente los costos asociados con las siguientes actividades y se deberá verificar por parte del Interventor los siguientes criterios: (A) que hayan sido ejecutadas para contribuir a satisfacer el interés público (B) que estén estrictamente asociadas al objeto del Contrato, (C) que los costos correspondan a precios de mercado asociados a las condiciones particulares del Proyecto al momento de su causación de acuerdo con la modalidad contractual y (D) que el bien y/o servicio haya sido debidamente entregado y/o prestado (…).</t>
  </si>
  <si>
    <t>18.3 (e) Terminación Anticipada en Etapa de Operación: (…)</t>
  </si>
  <si>
    <t>Para los Meses h posteriores a la Fecha de Inicio se reconocerán exclusivamente los costos asociados con las siguientes actividades y se deberá verificar por parte del Interventor los siguientes criterios: (A) que hayan sido ejecutadas para contribuir a satisfacer el interés público, (B) que estén estrictamente asociadas al objeto del Contrato, (C) que los costos correspondan a precios de mercado asociados a las condiciones particulares del Proyecto al momento de su causación de acuerdo con la modalidad contractual y (D)) que el bien y/o servicio haya sido debidamente entregado y/o prestado (…).</t>
  </si>
  <si>
    <t xml:space="preserve">1) La certificación periódica de los costos del ARh es positiva. Sobre este particular solicitamos a la entidad aclarar que dicha certificación debe ser emitida semestralmente durante todo el término de vigencia del Contrato y no únicamente en fase de liquidación como erradamente se interpretó en 4G.   </t>
  </si>
  <si>
    <t>2) Se solicita eliminar el concepto o referencia a “precios de mercado” para determinar la variable ARh. Ese concepto y los precios de mercado son relativos y se prestan para subjetividades y con seguridad darán lugar a un gran número de disputas.</t>
  </si>
  <si>
    <t>3) Desde el punto de vista de bancabilidad es fundamental que la inversión realizada por el Concesionario en el Proyecto con los recursos de deuda y equity se reconozca en su totalidad y no esté sometida a ajustes con criterios que pueden ser subjetivos. No puede olvidarse que el precio de mercado del Proyecto, como un todo lo establece la misma ANI en el proceso de licitación y en sus propios estudios en virtud de los cuáles se establece el presupuesto del Proyecto.</t>
  </si>
  <si>
    <t>4) El concepto de precios de mercado tiende a desnaturalizar el contrato de concesión y riñe con la asignación de riesgo de costos de proyecto a cargo del Concesionario. El concepto de precios de mercado introduce un elemento que es propio de otro tipo de contratos como es los de obra y/o precios unitarios.</t>
  </si>
  <si>
    <t xml:space="preserve">En caso de que la entidad considere que la referencia a precios de mercado deba mantenerse, es fundamental que se incorpore al contrato un listado de precios por ítem/actividad, APUs que se reconocerán al Concesionario en eventos de terminación anticipada.  </t>
  </si>
  <si>
    <t>5) El hecho de que la ley 1882 hubiere introducido el concepto de precio de mercado en la fórmula para determinar las prestaciones recíprocas que habrán de reconocerse ante una nulidad del Contrato, no implica que debe introducirse o traerse dicho concepto a los demás eventos de terminación del contrato.</t>
  </si>
  <si>
    <t xml:space="preserve">6) Es un hecho conocido en el mercado que la fórmula incorporada por la ley 1882 generó un impacto negativo en la financiación del Proyecto, que aplica en condiciones excepcionales, por lo que incorporar los elementos de dicha norma en el contrato y las fórmulas de terminación anticipada afecta significativamente la bancabilidad del proyecto.  </t>
  </si>
  <si>
    <t>Parte General del Contrato de Concesión - Sección 18.4 (b)</t>
  </si>
  <si>
    <t>Se informa al interesado que no se acepta su observación. El numeral 18.4.(b)(i) coincide con lo establecido por el artículo 20 de la Ley 1882 de 2018 para el reconocimiento de valores al contratista en el marco de la liquidación del Contrato cuando una autoridad judicial declare la nulidad absoluta del mismo. La Entidad no encuentra razones para considerar que el referido numeral genere confusión.</t>
  </si>
  <si>
    <t>18.4 (b) Sumas a Cargo de la ANI: (i) Exclusivamente para la causal de terminación descrita en la Sección 17.2(g)  de esta Parte General, se dará aplicación a lo establecido en el artículo 20 de la Ley 1882 de 2018 y demás normas que lo modifiquen, adicionen o complementen, en el evento en que, surja la obligación de algún reconocimiento económico a cargo de la ANI y a favor del Concesionario, la ANI pagará esta obligación con los saldos disponibles en las cuentas y subcuentas a las que se refiere la Sección 18.2(c)(ii) de esta Parte General. Si esos recursos no fueren suficientes, la ANI contará con un plazo de mil novecientos ochenta (1980) Días contados desde el Día Hábil siguiente a la fecha en que se suscriba el Acta de Liquidación del Contrato para el pago del saldo. Dicha suma será cancelada en cinco (5) pagos anuales iguales, cuyo primer pago se efectuará quinientos cuarenta (540) Días después de la suscripción del Acta de Liquidación del Contrato y así sucesivamente. Sin perjuicio que las Partes acuerden un plazo y una forma de pago diferentes.</t>
  </si>
  <si>
    <t>solicitamos eliminar el siguiente aparte, pues es la reiteración de lo establecido en la norma y se presta para confusión:</t>
  </si>
  <si>
    <t>"en el evento en que, surja la obligación de algún reconocimiento económico a cargo de la ANI y a favor del Concesionario, la ANI pagará esta obligación con los saldos disponibles en las cuentas y subcuentas a las que se refiere la Sección 18.2(c)(ii) de esta Parte General. Si esos recursos no fueren suficientes, la ANI contará con un plazo de mil novecientos ochenta (1980) Días contados desde el Día Hábil siguiente a la fecha en que se suscriba el Acta de Liquidación del Contrato para el pago del saldo. Dicha suma será cancelada en cinco (5) pagos anuales iguales, cuyo primer pago se efectuará quinientos cuarenta (540) Días después de la suscripción del Acta de Liquidación del Contrato y así sucesivamente. Sin perjuicio que las Partes acuerden un plazo y una forma de pago diferentes."</t>
  </si>
  <si>
    <t xml:space="preserve">Parte General del Contrato de Concesión - Sección 14.1 (a) (iii) </t>
  </si>
  <si>
    <t xml:space="preserve">Respecto a la observación la Entidad se permite aclarar que:
a) el entendimiento es correcto en cuanto a que los eventos que determinan esta sección son lo eventos descritos en la sección 14.1 (a). 
b) Los montos establecidos no resultan de decisiones arbitrarias, sino de un análisis cuidadoso respecto al uso de incentivos que puedan generarse respecto a la terminación de las obras afectadas por el evento. Adicionalmente,  estos son consistentes con la lìnea implementada en todas las obras del Programa de Concesiones de 4 Generación, los cuales hasta el momento no han presentado inconvenientes.   
c) Los financiadores de este tipo de proyectos conocen ampliamente estas condiciones y han realizado estructuras de financiación teniendo en cuenta dichas condiciones. </t>
  </si>
  <si>
    <t>(a) Si, vencido el plazo previsto en el Plan de Obras para la terminación de una Unidad Funcional, ésta no se hubiere completado por Eventos Eximentes de Responsabilidad o por razones imputables a la ANI, se suscribirá por las Partes un Acta de Terminación Parcial de Unidad Funcional y se pondrán en servicio las Intervenciones que se hayan realizado, siempre que se cumplan todas y cada una de las siguientes condiciones:(...)</t>
  </si>
  <si>
    <t>(iii) Que el valor de las Intervenciones faltantes no supere el sesenta por ciento (60%) –u otro porcentaje que se establezca en la Parte Especial– del valor total de las Intervenciones estimadas para la Unidad Funcional. El cumplimiento de esta condición será verificado por el mutuo acuerdo de las Partes o, en caso de desacuerdo, por el Amigable Componedor.</t>
  </si>
  <si>
    <t xml:space="preserve">solicitamos modificar esta Sección de manera que, independiente del valor de las Intervenciones faltantes, el Concesionario tenga derecho a la Compensación Especial en función de la inversión que hubiere sido realizada. Lo anterior teniendo que (a) se trata de Eventos Eximentes de Responsabilidad, es decir ajenos al Concesionario, (b) fijar arbitrariamente un monto mínimo de inversión para que el Concesionario tenga derecho a acceder a un porción de la Retribución carece de sustento, (c) este tipo de regulación encarece la financiación del Proyecto, toda vez que hasta no alcanzar el 40% el Concesionario está realizando una inversión, cuya retribución está sometida al riego de no pago o de pago diferido de la misma. </t>
  </si>
  <si>
    <t>Los Oferentes deben conocer con antelación suficiente cuáles son las Nuevas Vías Públicas que quedarán excluidas de la definición de de Elusión para poder factorizar el impacto de este riesgo en sus ofertas. Se plantea este comentario porque con la definición actual puede darse el caso de que una Nueva Vía Pública sea considerada después de que los Oferentes hayan presentado sus ofertas, es decir, entre la fecha de presentacion de oferta y el cierre del Proceso de Selección del Proyecto, lo que imposibilitaría que los Oferentes puedan valorar el impacto de esta Nueva Vía Publica en sus proyecciones.</t>
  </si>
  <si>
    <t>Parte General del Contrato de Concesión - Sección 1.55</t>
  </si>
  <si>
    <t>El uso de los recursos no parece autorizar el uso de los Recursos de Deuda para retribuir al accionista. De la manera más atenta solicitamos se incluya esta posibilidad.</t>
  </si>
  <si>
    <t>Parte General del Contrato de Concesión - Sección 2.6.(a).(x)</t>
  </si>
  <si>
    <t>En la Sección 2.6.(a).(xv) se ha incluido una nueva representacion del Concesionario respecto a los proyectos 4G, en la que el Concesionario manifiesta que la informacion relacionada con el Proyecto es completa, adecuada y suficiente. Sin embargo la declaración de la ANI en la Sección 2.6.(b).(iv) manifiesta que "la ANI no garantiza que tal informacion sea completa, adecuada o suficiente para la ejecución del Proyecto".</t>
  </si>
  <si>
    <t>Parte General del Contrato de Concesión - Sección 2.6.(a).(xv)</t>
  </si>
  <si>
    <t>Si la ANI no puede garantizar que la informacion entregada por ella es completa, adecuada o suficiente, de la manera mas atenta solicitamos se elimine la nueva representación para el Concesionario incluida a tal efecto y la Sección 2.6.(a).(xv) se modifique de la siguiente manera: "(xv) El Concesionario acepta que fue puesta a su disposición toda la información relacionada con el Proyecto. Así mismo manifiesta que tal información es completa, adecuada o suficiente, siendo su responsabilidad la realización de la debida diligencia adicional, sobre cada uno de estos aspectos".</t>
  </si>
  <si>
    <t>El Contrato no contempla el escenario en que la ANI objeta al cálculo de la Retribución entre el Concesionario y el Interventor. De la manera más atenta solicitamos se incluya este escenario, y que de manera similar al escenario 3.1.(f) en el que existe desacuerdo entre el Concesionario y el Interventor, se reconozca la Retribución conforme al cálculo efectuado por el Interventor y se fije un proceso para la resolucion de la controversia cuando la ANI no esté de acuerdo con el cálculo realizado por el Concesionario y el Interventor.</t>
  </si>
  <si>
    <t>Parte General del Contrato de Concesión - Sección 3.1.(e).</t>
  </si>
  <si>
    <t>El Contrato establece en 3.3.(g).(ii) que en caso de que se imponga la instalacion de las Estaciones de Peaje en ubicaciones distintas a las del Apendice Técnico 1, se genera compensación a favor del Concesionario por menor Recaudo de Peaje a partir del día 90 a contar a partir del Dia de la instalación o reinstalación de la Estacion de Peaje en la nueva ubicacion (Sección 3.3.(h).(i).(2)). De la manera mas atenta se solicita se modifique la Sección 3.3.(h).(i).(2) para que el hito a partir del cual comienzan a contar los 90 días sea "el Día en que la instalación de la Estación de Peaje debía haberse realizado en su ubicación original mencionada en el Apéndice Técnico 1"</t>
  </si>
  <si>
    <t>Parte General del Contrato de Concesión - Sección 3.3.(h).(i).(2)</t>
  </si>
  <si>
    <t xml:space="preserve">Se aclara al interesado que los dos eventos mencionados, corresponden a 2 riesgos distintos, los cuales el contrato regula y tipifica por separado. En ese sentido cada uno de estos eventos  tiene identificados sus respectivos momentos a partir de los cuales se contarán los 90 días los cuales son:
 1) Para el evento de la no instalación del peaje (evento que se extenderá hasta tanto se instale el peaje), los 90 días comenzarán a contar a partir de lo señalado en la Sección 3.3 (h) (i) (1), lo cual corresponde efectivamente al tiempo en el cual se ve materializado el riesgo. 
2) Para un evento de reubicación (el cual es distinto al de no instalación) del peaje, los 90 Días comenzarán a contar a partir de la Instalación en la nueva ubicación, la cual es distinta a la establecida en los apéndices. </t>
  </si>
  <si>
    <t>El Contrato establece en 3.3(g)(iv) que en caso de que exista elusión, se genera compensación a favor del Concesionario por menor Recaudo de Peaje a partir del "Día que se declare formalmente la Elusión por parte de la ANI través del acto administrativo" (Sección 3.3(h)(i).(4)). De la manera mas atenta se solicita se modifique la Sección Sección 3.3(h)(i).(4) para que el hito a partir del cual comienzan a contar los 90 días sea  "la fecha en que se demuestre la Elusion de acuerdo a lo establecido en la Sección 1.55".</t>
  </si>
  <si>
    <t>Parte General del Contrato de Concesión - Sección 3.3.(h).(i).(4)</t>
  </si>
  <si>
    <t>Para el (4) evento al que se refiere la Sección3.3(g)(iv): el Día que se declare formalmente la Elusión por parte de la ANI través del acto administrativo correspondiente.</t>
  </si>
  <si>
    <t>Parte General del Contrato de Concesión - Sección 3.3.(g).(iv)</t>
  </si>
  <si>
    <t xml:space="preserve">Se solicita al interesado que aclare su observación toda vez que no encontramos ninguna pregunta. </t>
  </si>
  <si>
    <t>En la Sección 3.14 (h)(iv) 11 se describe que en el momento en el que se haya alcanzado el VPIP se procederá, "a atender los gastos derivados de riesgos asignados a la ANI". Por su parte en el punto 12 se lee "De haber remanentes adicionales, después de atender dichos gastos, serán destinados al cubrimiento de las obligaciones de pago de la Retribución a cargo de la ANI, lo que consecuentemente implicará la reducción de la programación de vigencias futuras de que dispone la entidad para atender el pago de la Retribución". Dado que después de alcanzar el VPIP hay un % de la retribución que se destina al pago de las labores de O&amp;M en la fase de Reversión, se solicita que el punto 12 se anteponga al punto 11.</t>
  </si>
  <si>
    <t>Parte General del Contrato de Concesión - Sección 3.14.(h).(iv).11 y 12</t>
  </si>
  <si>
    <t>Se aclara al interesado, que el uso de estos remanentes se considera adecuado, toda vez que previo a la etapa de reversión pueden existir riesgos a compensar porte de la ANI, las cuales por defecto deberán tener prioridad de cara a generar el Inicio de la Etapa de Reversión, en caso de contar con recursos adicionales su destinación sería para atender estas obligaciones. Por tal motivo no es procedente su observación</t>
  </si>
  <si>
    <t>Sección 3.15: Se solicita que el Concesionario pueda imponer al Patrimonio Autonomo las reglas de Contabilidad en base a Normas IFRS, cumpliendo con lo que establece el resto del Contrato.</t>
  </si>
  <si>
    <t>Parte General del Contrato de Concesión - Sección 3.15</t>
  </si>
  <si>
    <t xml:space="preserve">Sección 4.9 (e): Se solicita aumentar el Plazo establecido de 5 dias para acudir al Amigable Componedor en caso de que no exista acuerdo entre las partes acerca de las razones del Concesionario y/o el impacto en el Plan de Obras, o en caso de no ser posible, establecer que en dicho plazo se deberá únicamente manifestar la intención de acudir al Amigable Componedor. Lo anterior, teniendo en cuentra que el plazo de 5 dias es insuficiente para someter la controversia a Amigable Compendero en le medida en que , entre otras cosas, se debe emitir un informe pericial, preparar documentación, recopilar pruebas, etc. En esa medida el plazo de 5 días parece restringir el acceso al mecanismo de solución de controversias.   </t>
  </si>
  <si>
    <t>Parte General del Contrato de Concesión - Sección 4.9 (e)</t>
  </si>
  <si>
    <t>Sección 8.1(e)(v) - Se solicita aclaracion sobre si el reconocimiento de los costos en caso de Fuerza Mayor Ambiental deben ser los directos o los ociosos, como figura en el resto de Fuerzas Mayores.</t>
  </si>
  <si>
    <t>Parte General del Contrato de Concesión - Sección 8.1(e)(v)</t>
  </si>
  <si>
    <t>Sección 8.2 Redes (a): Solicitamos cambiar la redaccion de "deberá efectuar un inventario de las Redes que se encuentren dentro del Corredor del Proyecto antes de iniciar cualquier Intervención" a "debera efectuar un Inventario de las Redes que se encuentren dentra de cada Unidad Funcional antes de iniciar cualquier Intervencion en ella".</t>
  </si>
  <si>
    <t>Parte General del Contrato de Concesión - Sección 8.2 (a)</t>
  </si>
  <si>
    <t>Sección 9.7 (d)(i): Se solicita adicionar a la siguiente oración: "(...) Así mismo, al momento de la actualización del Inventario de Activos de la Concesión se verificará que los Predios adquiridos se encuentran libres de toda ocupación ilegal" que "En caso de que existan ocupaciones ilegales al momento de la reversión, el Concesionario tendra que demostrar haber actuado con debida diligencia para solucionar dichas ocupaciones ilegales".</t>
  </si>
  <si>
    <t>Parte General del Contrato de Concesión - Sección 9.7(d)(i)</t>
  </si>
  <si>
    <t>Se aclara al interesado que las acciones del Concesionario serán según las definiciones de la restitución de bienes de uso público de la Sección 8.1 del Apéndice Técnico 7. Igualemente, se informa al interesado que se ajustaran los documentos y se publicaran en el Pliego de Condiciones definitivo.</t>
  </si>
  <si>
    <t xml:space="preserve">Lo anterior toda vez que mas allá de iniciar las acciones legales y/o policivas para solucionar las ocupaciones ilegales, el Concesionario no puede garantizar que las mismas sean resueltas por las autoridades que corresponda. </t>
  </si>
  <si>
    <t>Aclarar qué procedimiento se sigue en caso de que la ANI sí proporcione observaciones al cálculo de la Retribución.</t>
  </si>
  <si>
    <t>Parte General del Contrato de Concesión - Sección 3.1e</t>
  </si>
  <si>
    <t>En la definición de la fórmula del VPIP se debería especificar si se trata de recaudo de peaje devengados o liberados de la cuenta de recaudo de peajes de la ANI. En todo caso, lo correcto sería que sean ingresos liberados de la cuenta de recaudo de peajes de la ANI.</t>
  </si>
  <si>
    <t>Parte General del Contrato de Concesión - Sección 3.4a</t>
  </si>
  <si>
    <t>El Contrato establece que el GMF producido por los movimientos en las subcuentas lo deberá asumir el concesionario íntegramente. Este impuesto debería ser asumido por la ANI por tratarse de cuentas pertenecientes a la ANI.</t>
  </si>
  <si>
    <t>Parte General del Contrato de Concesión - Sección 3.14</t>
  </si>
  <si>
    <t xml:space="preserve">Se aclara al interesado que la observación no se considera procedente toda vez que en el proceso de estructuración se contempló esta erogación como uno de los rubros que son retribuidos por el recurso del proyecto. </t>
  </si>
  <si>
    <t>Multas y Sanciones. Aclarar que en ningún caso podríamos estar pagando dos veces por el mismo perjuicio ocasionado.</t>
  </si>
  <si>
    <t>Parte General del Contrato de Concesión - Sección 10.1 (b)</t>
  </si>
  <si>
    <t>En la minuta se realizará el respectivo ajuste, en todo caso se precisa que  emerge como un principio del derecho el de reparación integral que indica que solo se repara el daño y no más ni menos que éste, de hecho el artículo 16 de la ley 446 de 1998 determina: “Dentro de cualquier proceso que se surta ante la Administración de Justicia, la valoración de daños irrogados a las personas y a las cosas atenderá los principios de reparación integral y equidad…”, así, cobrar más que el daño causado o dos veces se erige como cobro de lo no debido, todo ello proscrito por los principios generales del derecho y por normativa específica, de manera que disciplinar uno a uno este tipo de cuestiones nos haría un contrato casuístico que no es necesario porque en las cláusulas del contrato se entienden incorporadas las normas de este tipo.</t>
  </si>
  <si>
    <t>Garantías. En caso de Caducidad del contrato, se harán efectivas las garantías del concesionario. Aclarar que solo en la medida en la que se utilicen para abonar obligaciones debidas a dicha Caducidad, y solo si el importe de dichas obligaciones no se deduzca de la formula de liquidación (para evitar contar dos veces).</t>
  </si>
  <si>
    <t>Parte General del Contrato de Concesión - Sección 11.1(k)</t>
  </si>
  <si>
    <t>Se informa al interesado que no se considera pertinente hacer dicha aclaración.  Una vez ejecutoriada la resolución de caducidad, la ANI hará efectivas las garantías a que hubiese lugar, las Multas y Sanciones pendientes de pago y la Cláusula Penal correspondiente.</t>
  </si>
  <si>
    <t xml:space="preserve">Evasión. El contrato establece que el riesgo de evasión corre íntegramente a cargo de la concesionaria así como los costes de coordinación y control por parte de las autoridades locales. Se debería asumir algun procedimiento para que la ANI apoyara en la gestión de este riesgo. </t>
  </si>
  <si>
    <t>Parte General del Contrato de Concesión - Sección 13.2 (xix)</t>
  </si>
  <si>
    <t>Técnica</t>
  </si>
  <si>
    <t xml:space="preserve">Sección 3.16 Cambio Tributario: “…Si la variación en el valor de todos los tributos efectivamente pagados por parte del Concesionario, correspondiente al año fiscal inmediatamente anterior (enero a diciembre) originada por el Cambio Tributario, genera un efecto desfavorable para el Concesionario que supere el tres por ciento (3%) de los ingresos brutos (estados financieros, reportados bajo normas NIIF) del Concesionario del correspondiente año fiscal, el Concesionario podrá solicitarle a la ANI que se le reconozca la diferencia que exceda dicho porcentaje, en los términos dispuestos en la presente Sección…”.
Agradecemos, se replantee la redacción de la cláusula, toda vez que en la misma no se refleja la obligación de la entidad contratante en asumir en su porción los efectos desfavorables de los cambios tributarios a los que esta esté obligada a asumir. </t>
  </si>
  <si>
    <t>Parte General del Contrato de Concesión - Sección 3.16</t>
  </si>
  <si>
    <t xml:space="preserve">No se considera procedente la observación toda vez que  el riesgo asumido por la ANI está asignado en función de la regulación contenida en la Sección 3.16. </t>
  </si>
  <si>
    <t xml:space="preserve">Agradecemos, se replantee la redacción de la cláusula, toda vez que en la misma no se refleja la obligación de la entidad contratante en asumir en su porción los efectos desfavorables de los cambios tributarios a los que esta esté obligada a asumir. </t>
  </si>
  <si>
    <t>Sección 4.12 Especificaciones Técnicas de Construcción. “…En el evento en que –a juicio del Concesionario– existan Especificaciones Técnicas que resulten incompatibles entre sí, así se lo señalará a la ANI –con copia al Interventor– en un documento en el cual presentará las Especificaciones Técnicas que en su criterio son incompatibles, junto con una sustentación técnica de las causas de su incompatibilidad y las consecuencias de la misma. En tal caso, el Concesionario deberá proponer la modificación correspondiente, señalando de manera detallada las variaciones técnicas que serían introducidas. El riesgo por los mayores o menores costos derivados de la modificación de las Especificaciones Técnicas de Calidad será enteramente del Concesionario…”.</t>
  </si>
  <si>
    <t xml:space="preserve">Parte General del Contrato de Concesión - Sección 4.12 </t>
  </si>
  <si>
    <t>TECNICA</t>
  </si>
  <si>
    <t xml:space="preserve"> Teniendo en cuenta que la situación de Incompatibilidad en las especificaciones técnicas del contrato, es una situación que no es imputable al Concesionario, agradecemos que el riesgo de mayores cantidades sea asignado al Concedente, siempre y cuando las variaciones técnicas propuestas por el concesionario ofrezcan permitan al proyecto dar cumplimiento al alcance propuesto.</t>
  </si>
  <si>
    <t xml:space="preserve">Parte General del Contrato de Concesión - Sección 3.14. (h) (v) (6) </t>
  </si>
  <si>
    <t xml:space="preserve"> </t>
  </si>
  <si>
    <t>De acuerdo a la Sección 14.1 b) se paga la misma Compensación Especial en caso de la firma de Acta de Terminación Parcial ya traiga causa de un Evento Eximente de Responsabilidad o por razones imputables a la ANI, lo que perjudica gravemente a la Concesionaria que no solo debe asumir las consecuencias  de los Eventos Eximentes de Responsabilidad -no olvidemos que en estos supuestos se cobra menos Retribución de la prevista- si no también en caso de razones imputables a la ANI. No tiene lógica que las consecuencias de un incumplimiento de la ANI sea que la ANI tenga menor obligación de pago en prejuicio de la Concesionaria que ve alterada su previsión de ingresos  y por tanto el equilibrio del contrato.</t>
  </si>
  <si>
    <t>Parte General del Contrato de Concesión - Sección 14.1</t>
  </si>
  <si>
    <t>JURIDICA-FINANCIERA</t>
  </si>
  <si>
    <t>Proponemos que en caso de que el retraso sea por causas imputables a la ANI, se permita la liberación del 100% de la subcuenta de Recaudo de Peaje asociada a la UF afectada, o que la ANI compense económicamente a la concesionaria por el perjuicio económico generado por el retraso en liberar una parte de esos ingresos.</t>
  </si>
  <si>
    <t>Muchas referencias cruzadas referidas al pago de intereses se hacen a la Sección 3.6, cuando en realidad deberían hacerse a la Sección 3.5. Por favor, corregir.</t>
  </si>
  <si>
    <t xml:space="preserve">Parte General del Contrato de Concesión </t>
  </si>
  <si>
    <t xml:space="preserve">Se informa al interesado que la Sección 3.5 del Contrato Parte General hace referencia a Descuentos y la Sección 3.6 se refiere a Intereses Remuneratorios y de Mora. Teniendo en cuenta lo anterior, las referencias al pago de intereses de acuerdo con lo previsto en la Sección 3.6 son correctas.
</t>
  </si>
  <si>
    <t>Permitir el restablecimiento del valor asegurado en un lapso de 90 días cuando el valor de las garantías se ha visto disminuida es mayor al 10% del total del límite asegurado y en 30 días cuando sea menor al 10%.</t>
  </si>
  <si>
    <t>Parte General del Contrato de Concesión - Sección 12.3 (a)</t>
  </si>
  <si>
    <t>Se solicita a la ANI eliminar las limitaciones de acceso al mercado de Reaseguro Facultativo, claro está manteniendo lo definido por la Superintendencia Financiera de Colombia respecto del Registro de REACOEX.</t>
  </si>
  <si>
    <t>Parte General del Contrato de Concesión - Sección 12.3 (i)</t>
  </si>
  <si>
    <t>solicitamos eliminar la exigencia de cobertura para renovación o prorroga de garantías en fases subsiguientes teniendo en cuenta que el cubrimiento de esta obligación resulta contrario a lo establecido en el Articulo 2.2.1.2.3.1.3 del Decreto 1082 de 2015 y al numeral 12. INDIVISIBILIDAD DE LA GARANTÍA – EXCEPCIONES del CLAUSULADO AGENCIA NACIONAL DE INFRAESTRUCTURA ANI PÓLIZA ÚNICA DE SEGURO DE CUMPLIMIENTO PARA CONTRATOS ESTATALES en donde se indica lo siguiente:</t>
  </si>
  <si>
    <t xml:space="preserve">Parte General del Contrato de Concesión - Sección12.6 (a) (ii) </t>
  </si>
  <si>
    <t>“La vigencia será igual a la de la respectiva etapa, período contractual o unidad funcional y el valor asegurado corresponde a las obligaciones del contratista que nacen y que son exigibles en cada una de las respectivas etapas, períodos contractuales o unidades funcionales.</t>
  </si>
  <si>
    <t>Antes del vencimiento de cada etapa del contrato o cada período contractual, el contratista está obligado a prorrogar la póliza o a obtener una nueva que ampare el cumplimiento de sus obligaciones para la etapa del contrato o el periodo contractual subsiguiente, si no lo hiciere se aplicarán las reglas previstas para el restablecimiento de la garantía.</t>
  </si>
  <si>
    <t>Ahora bien, si LA ASEGURADORA decide no continuar garantizando la etapa del contrato o período contractual subsiguiente, debe informar su decisión por escrito a la ANI seis (6) meses antes del vencimiento del plazo de la garantía correspondiente. Este aviso no afecta la garantía de la etapa contractual o período contractual en ejecución. Si LA ASEGURADORA no da el aviso con la anticipación mencionada y el contratista no obtiene una nueva garantía, queda obligada a garantizar la etapa del contrato o el período contractual subsiguiente.</t>
  </si>
  <si>
    <t>En consecuencia, en la medida en que LA ASEGURADORA cumpla estrictamente con la obligación de informar por escrito a LA ANI con 6 meses de anticipación a la fecha de vencimiento de la garantía, sobre su decisión de no continuar garantizando la etapa subsiguiente del contrato, si el contratista incumpliere la obligación de prorrogar u obtener la póliza para dicha etapa, no se afectará por tal hecho la presente garantía.”</t>
  </si>
  <si>
    <t>De acuerdo con lo anterior se solicita a la ANI eliminar del alcance de cobertura del amparo de Cumplimiento de la Garantía Única la obligación plasmada en el numeral indicado.</t>
  </si>
  <si>
    <t>Se solicita confirmar que la referencia a Contratistas y Subcontratistas implica su inclusión como asegurados en la Póliza de Responsabilidad Civil Extracontractual</t>
  </si>
  <si>
    <t>Parte General del Contrato de Concesión - Sección 12.7 (a)(i)</t>
  </si>
  <si>
    <t>Considerando los límites para las Fases de Construcción y Etapa de Operación requeridos en la Parte Especial - Capítulo VII 4 Responsabilidad Civil, se solicita que se acepten sublímites que respondan a la práctica habitual del mercado asegurador. Se propone la siguiente redacción:</t>
  </si>
  <si>
    <t>Parte General del Contrato de Concesión - Sección 12.7 (a)(iii)</t>
  </si>
  <si>
    <t>Parte General del Contrato de Concesión - Sección 12.8 (a)(i)</t>
  </si>
  <si>
    <t>El Concesionario podría trasladar la responsabilidad de contratar esta póliza a los contratistas y/o subcontratistas que aporten los vehículos automotores y/o maquinaria amarilla para la ejecución del Contrato.</t>
  </si>
  <si>
    <t xml:space="preserve">Parte General del Contrato de Concesión - Sección 12.8 (b) </t>
  </si>
  <si>
    <t>Cuando la Concesión decide asegurar la Obra por el 100% del valor del Contrato no debería exigirse un PML para la suscripción de las Actas de Terminación por cada Unidad Funcional, toda vez que el mismo sólo cobra relevancia cuando el valor asegurado corresponde al indicado en dicho estudio como  máxima pérdida probable. Así la referencia al Estudio de Pérdida Máxima Probable debería ser una opción del Concesionario para la suscripción de las Actas de Terminación.</t>
  </si>
  <si>
    <t>Parte General del Contrato de Concesión - Sección 12.8 (a)(iv)</t>
  </si>
  <si>
    <t xml:space="preserve">El valor de liquidación en fase de preconstruccion no incluye una tasa de capitalización (TE), por favor incluirlo. </t>
  </si>
  <si>
    <t>Parte General del Contrato de Concesión - Sección 18.3 (c)</t>
  </si>
  <si>
    <t>Se aclara al interesado que la Entidad considera que durante esta Etapa no se considera procedente la actualización  de los montos por TE, sino únicamente por inflación. Por tal motivo no es procedente su observación.</t>
  </si>
  <si>
    <t xml:space="preserve">La determinación del delta que se establece en las fórmulas de pago por terminación de la Sección 18.3 del Contrato de Concesión, como el menor valor entre C y F, determinándose F en función del Valor de los Giros de Equity sin que lo mismos puedan superar el valor de los montos mínimos de los Giros de Equity por el factor FAE (1,0526), es absolutamente inconveniente. Dicha fórmula en la práctica implica que cualquier giro de equity por encima de los giros mínimos que establece el contrato de Concesión, no serían reconocidos por la fórmula de pago por terminación anticipada. Las consecuencias de lo anterior son las siguientes: (i) restringe las posibilidades o alternativas de financiación pues obliga al concesionario a no anticipar el equity, aun cuando el mismo fuere requerido por el Proyecto y/o por las condiciones de la financiación; (ii) obliga al Concesionario a mantener un apalancamiento superior al que pudiere obtener en el mercado, pues no puede poner más equity del que el Contrato le permite, pues se pone en riesgo de perder dicho equity; (iii) no consulta con la realidad de requerimientos de equity de estos proyectos que en la gran mayoría de los casos suelen ser superiores a los Gíros Mínimos; (iv) no consulta con la realidad de los requerimientos de los Prestamistas en estos proyectos, que suelen pedir a los Sponsors equity por encima de los giros mínimos contractuales; (v) genera un desincentivo perverso para que el concesionario, sin haber obtenido el cierre financiero, continúe invirtiendo equity en el proyecto aun cuando el mismo sea requerido; (v) conllevaría a un enriquecimiento injustificado en favor de la ANI respecto de el valor de los giros de equity por encima de los giros mínimos (más el factor de ajuste); y (vi) estimula el ejercicio de la terminación anticipada por parte de la ANI para hacerse a una ARh por un precio inferior al verdaderamente invertido. En esa medida solicitamos de manera respetuosa pero enfática revisar este punto en particular y eliminar el Factor F de las fórmulas, o en su defecto eliminar el límite máximo que se establece para los aportes de equity.        </t>
  </si>
  <si>
    <t xml:space="preserve">Parte General del Contrato de Concesión - Sección 18.3 </t>
  </si>
  <si>
    <t xml:space="preserve">El contrato establece que si no se puede demostrar cuales son las distribuciones pasadas, se estimarán los dividendos pasados mediante un factor (FDiv) que tiende a sobrestimarlos claramente, por favor sustituir con los dividendos que se corresponderían a una tasa de retorno en línea con lo esperable en este tipo de proyectos.  </t>
  </si>
  <si>
    <t>Parte General del Contrato de Concesión - Sección 18.3</t>
  </si>
  <si>
    <t>Se aclara al interesado que la variable Fdiv solo existirá en el evento en que la Entidad no cuente con la información por parte del Concesionario respecto de los Dividendos. La aplicación del mismo debe entenderse como un incentivo a proporcionar adecuadamente la información asociada al ejercicio. Por tal motivo no procede su observaciòn</t>
  </si>
  <si>
    <t>Parte General del Contrato de Concesión - Sección 18.3 (f)</t>
  </si>
  <si>
    <t>Solicitamos se aclare el numeral 4 de la Sección 19.6 (b) (ii) de la Minuta de la Parte General del Contrato de Concesión, en el sentido de que no se contemple en dicha Sección que hay estructuras plurares que solo tienen un Líder y que el remplazo autorizado de éste es permitido. Proponemos el siguiente lenguaje para dicha Sección:</t>
  </si>
  <si>
    <t>Parte General del Contrato de Concesión - Sección 19.6 (b) (ii)</t>
  </si>
  <si>
    <t xml:space="preserve">(ii) Lo anterior, salvo que la ANI autorice el cambio de accionista, autorización que en todo caso se dará cuando: (...) (4) En caso de que se remplace al Líder en aquellas Estructuras Plurales en las que hay un solo Líder, la entidad que lo remplace debe cumplir con los requisitos del Pliego de Condiciones y que dicho nuevo Líder debe tener como mínimo el 25% de participación. </t>
  </si>
  <si>
    <t xml:space="preserve">Solicitamos incorporar a la Sección 19.6 una disposición que permita que en caso de reestructuraciones empresariales que no impliquen un cambio en la experiencia acreditada (sin perjuicio de los Acuerdos de Garantía que haya que firmar), la cesión de acciones sea permitida sin sujeción a las restricciones que se establecen en la presente Sección independientemente de que se trate de un Líder o no. </t>
  </si>
  <si>
    <t xml:space="preserve">Parte General del Contrato de Concesión - Sección 19.6 </t>
  </si>
  <si>
    <t>Se informa al interesado que no se acepta su observación. La ANI deberá aprobar cualquier cesión independientemente de las causas que dieron lugar a la misma. Lo anterior, considerando que el Contrato Estatal es Intuito Personae de conformidad con el artículo 41 de la Ley 80 de 1993,  en consecuencia, una vez celebrados no podrá cederse sin previa autorización escrita de la entidad contratante. En esa medida las calidades y requistos de experiencia y capacidad de quienes componen el SPV que resultó adjudicatario, deben mantenerse durante toda la ejecución del contrato.</t>
  </si>
  <si>
    <t>En la Minuta de la Parte Especial del Contrato de Concesión se establece lo siguiente:</t>
  </si>
  <si>
    <t>Parte Especial del Contrato de Concesión - Sección 3.6(h)</t>
  </si>
  <si>
    <t xml:space="preserve">Se aclara al interesado que el entendimiento es correcto bajo la redacción establecida en las secciones 18.3 (c), 18.3 (d), y 18.3 (e), dentro de las cuales se establece que se incluirán también en el ARh: "Valor de los aportes que haya realizado el Concesionario a las Subcuentas de la Cuenta ANI...". Lo anterior asociado exclusivamente a los aportes que se realicen a la subcuenta de excedentes en el marco establecido en la sección 3.6(h). </t>
  </si>
  <si>
    <t>(h) El desarrollo de las obligaciones ambientales pendientes de cumplimiento y obligaciones por ejecutar establecidas en el Apéndice Técnico 6, deberá iniciar desde la suscripción del Acta de Inicio o la expedición de la Orden de Inicio. En todo caso, si a la fecha en la cual se haga la Entrega de la Infraestructura ya se han cumplido algunas de las obligaciones ambientales, estas se entenderán automáticamente excluidas del objeto de este Contrato y no harán parte del alcance del Proyecto, por lo cual cesarán las obligaciones del Concesionario respecto de la(s) actividad(es) así excluida(s), y el monto de cada una de ellas indicado en las siguientes tablas será trasladado por parte del Concesionario a la Subcuenta Excedentes ANI, previa instrucción expresa y escrita de la ANI, en un plazo máximo de cuarenta y ocho (48) meses contado a partir de la suscripción del Acta de Inicio de la Fase de Construcción:</t>
  </si>
  <si>
    <t>(i) Obligaciones ambientales pendientes de cumplimiento (…)</t>
  </si>
  <si>
    <t>ii) Obligaciones ambientales por ejecutar (…)</t>
  </si>
  <si>
    <t xml:space="preserve">solicitamos aclarar que los montos que el Concesionario deba trasladar a la Subcuenta Excedentes ANI de conformidad con la Sección 3.6(h) de la Parte Especial, serán contabilizados como parte del ARh de las fórmulas del Contrato de Concesión. </t>
  </si>
  <si>
    <t>Parte Especial del Contrato de Concesión - Sección 3.8</t>
  </si>
  <si>
    <t>Se informa al interesado lo siguiente: 
1. En lo que respecta a su solicitud de aclaración de los plazos correspondientes a las Fases de la Etapa Preoperativa, se precisa que los plazos son máximos, por lo que si el concesionario tiene un mejor desempeño y cumple con la totalidad de obligaciones dispuestas en el contrato podrá avanzar a una fase o etapa posterior.
2. En lo que respecta a su solicitud de aclarar los plazos y condiciones para acreditar un evento de Fuerza Mayor y/o Evento Eximente de Responsabilidad volviendo a la redacción de los contratos de 4G, se informa al interesado que no se acepta su observación toda vez que la Entidad considera que los plazos y condiciones establecidas son razonables y se ajustan a las necesidades propias de este tipo de Proyectos</t>
  </si>
  <si>
    <t>3.8 Plazos de las Fases de la Etapa Preoperativa</t>
  </si>
  <si>
    <t>(a) Duración de la Fase de Preconstrucción: Doce (12) Meses contados desde la Fecha de Inicio del Contrato.</t>
  </si>
  <si>
    <t>(b) Duración de la Fase de Construcción: Cuarenta y Ocho (48) Meses contados desde la fecha de firma del Acta de Inicio de la Fase de Construcción.</t>
  </si>
  <si>
    <t>(a) solicitamos aclarar que el plazo de cada una de las Fases que se establecen en la Sección 3.8, son plazos máximos y no fijos. En la medida que el Concesionario hubiere (i) cumplido las condiciones necesarias para iniciar la Fase de Construcción o (ii) hubiere culminado con las unidades funcionales con anterioridad a 48 meses, debe el Proyecto continuar de manera inmediata a la siguiente Fase que corresponda.</t>
  </si>
  <si>
    <t xml:space="preserve">(b) solicitamos aclarar los plazos y condiciones en los cuales el Concesionario puede solicitar y/o acreditar la ocurrencia de la Fuerza Mayor y/o Evento Eximente de Responsabilidad, toda vez que tal como están regulados algunos de dichos eventos (i.e., Fuerza Mayor Ambiental y Fuerza Mayor Predial) el acaecimiento de la fuerza mayor podría ocurrir con posterioridad al vencimiento de la Fase de Pre-construcción. La regulación de plazos estimados que establecían los Contratos 4G resolvía este problema por lo que es conveniente evaluar volver a dicha redacción.          </t>
  </si>
  <si>
    <t>Parte Especial del Contrato de Concesión - Sección 3.10</t>
  </si>
  <si>
    <t xml:space="preserve">
(a) Se aclara al interesado que no se deja de percibir retribución alguna, ya que lo planteado en los porcentajes establecidos en la sección 4.1 de la Parte especial se encuentran estipulados de manera tal que para el caso de la UF3 (unidad que revierte cinco años posterior al fin de la Etapa de Construcción) esta sea retribuida con los plazos y montos definidos. Para el resto de infraestructura consignado en la sección 3.10 del parte especial estas será retribuidas con los porcentajes asignados a su respectiva unidad funcional a lo largo del contrato. 
(b) Se aclara al interesado que  lo que hacen los porcentajes enunciados en etapa de operación y mantenimiento es redistribuir el porcentaje de recaudo por lo que es indiferente a cual unidad funcional está asociado el porcentaje.  De igual manera se aclara que el porcentaje de la Unidad Funcional 0 se mantiene constante en el tiempo y el restante es distribuido en las otras unidades funcionales a prorrata de sus condiciones. </t>
  </si>
  <si>
    <t>3.10 (...) (c) Esta Reversión Especial se hará constar en un Acta de Reversión, donde se detallarán las obras y bienes recibidos y su estado al momento de la reversión, y se verificará el cumplimiento de los Indicadores señalados en el Apéndice Técnico 4. Al menos tres (3) meses antes de la Fecha de Reversión Especial, el Concesionario deberá iniciar las labores tendientes a realizar la Reversión Especial de estos tramos, para lo cual aplicará mutatis mutandi las disposiciones de la Sección 9.7(d) de la Parte General. Durante dicho plazo el Concesionario continuará 22 de 65 ejecutando las labores de Operación y Mantenimiento de los tramos a revertir y tendrá derecho a recibir la Retribución asociada a los respectivos tramos.</t>
  </si>
  <si>
    <t>(d) A partir de la Reversión Especial, los tramos, obras y Predios revertidos de manera anticipada se entenderán excluidos de la Infraestructura concesionada y no serán parte del objeto de este Contrato. Por lo tanto, a partir de la Reversión Especial cesarán para el Concesionario las obligaciones sociales, prediales, ambientales y de Mantenimiento y Operación de los tramos en cuestión y dejará de percibir la Retribución correspondiente. Para el caso de la Reversión Especial de la Unidad Funcional 3, los porcentajes de participación de las Unidades Funcionales indicados en la Sección 4.1de esta Parte Especial se ajustarán según se indica en dicha Sección para reflejar la mencionada exclusión.</t>
  </si>
  <si>
    <t>Entendemos que en la medida un EER que impida la terminación de la UF y por lo tanto la fecha en la que ocurra la Reversión Especial de los tramos y obras se prorrogue, el Concesionario mantendrá el derecho a recibir la remuneración correspondiente a la operación y mantenimiento de dichos tramos.</t>
  </si>
  <si>
    <t xml:space="preserve">La Sección 3.10 hace referencia a una disminución de la Retribución del Concesionario una vez ocurrida la Reversión Especial (para cada tramo?). Solicitamos aclarar (a) cuál es exactamente el monto de la Retribución que el Concesionario dejaría de percibir una vez ocurrida la entrega de cada tramo, y (b) de la Retribución correspondiente a qué UF aplicaría dicha reducción (se reduce de la UF0 o de la UF correspondiente?).  </t>
  </si>
  <si>
    <t>Parte Especial del Contrato de Concesión - Sección 6.1 (c)</t>
  </si>
  <si>
    <t>6.1 (c) Multa por no terminación de las Unidades Funcionales en el plazo máximo señalado en la Sección de esta Parte Especial: Por no terminar cualquiera de las Unidades Funcionales, en los plazos máximos establecidos en este Contrato, se causará una Multa equivalente hasta de noventa (90) salarios mínimos mensuales legales vigentes por cada Día transcurrido a partir de la fecha prevista para el cumplimiento de esta obligación. Para efectos de lo señalado en la Sección 10.2(c) de la Parte General, el término máximo contado desde la expiración del Plazo de Cura es de noventa (90) Días.(…)</t>
  </si>
  <si>
    <t>A efectos de aliviar el riesgo de terminación anticipada y aliviar de esa manera las condiciones de la financiación, atentamente solicitamos mantener el periodo máximo de multas por incumplimiento en la entrega de UF en 120 días.</t>
  </si>
  <si>
    <t>Se pide aclaración entre la Sección 3.6 (g) y la Sección 3.6. (g) (iii) en relación a la partida de CAPEX a entregar por el Concesionario a la Subcuenta excedentes ANI, pues en ambos casos (no se recibe la infraestrucutra en fecha y si se recibe) se prescribe el entregar la cantidad correspondeinte al CAPEX.</t>
  </si>
  <si>
    <t>Parte Especial del Contrato de Concesión - Sección 3.6 (g)</t>
  </si>
  <si>
    <t>Se aclara que al interesado que el propósito de esta regulación en la Sección 3.6(g) es que ante el evento de no suceder la Entrega de la Infraestructura en los tramos señalados, estos se excluyan del alcance por cuanto se imposibilitan todas las actividades de intervenciones de construcción, mejoramiento, puesta a punto, operación y mantenimiento. 
La Sección 3.6 (iii) aplica únicamente para los tramos Variante El Bolo, Intersección La Herradura y Curva Don Otto, en caso de suceder la Entrega de la Infraestructura con estos tramos ya terminados, es decir, no habría necesidad de las intervenciones de construcción, mejoramiento y puesta a punto. En este caso los montos estimados de CAPEX ya no tendrían que invertirse y persisten las obligaciones de Operación y Mantenimiento.
Los valores estimados de CAPEX incluyen los montos necesarios para las intervenciones de construcción, mejoramiento y puesta a punto.
En el tramo Cali-Candelaria en el caso de no efectuarse la Entrega de la Infraestructura se excluye en las dos calzadas.</t>
  </si>
  <si>
    <t>Se solicita aclaración conceptos que incluye el monto destinado como CAPEX.</t>
  </si>
  <si>
    <t>Se solicita confirmación de que en la mención al tramo Cali-Candelaria debe entenderse que las dos calzadas serían excluidas del Proyecto.</t>
  </si>
  <si>
    <t>Se solicita aclaracion sobre el contenido de la Parte Especial ya que en el paginado aparecen 65 paginas, pero el documento llega a las 52. Confirmar que el contenido publicado es el total.</t>
  </si>
  <si>
    <t xml:space="preserve">Parte Especial del Contrato de Concesión </t>
  </si>
  <si>
    <t>Se informa al interesado que el documento publicado corresponde al Contrato Parte Especial en su totalidad. Por un error en la numeración dice que son 65 páginas, sin embargo, son sólo 52. Se procederá a ajustar la numeración en el documento definitivo.</t>
  </si>
  <si>
    <t>Se solicita revisar los % de la tabla ya que por redondeo no suman el 100%.</t>
  </si>
  <si>
    <t xml:space="preserve">Parte Especial del Contrato de Concesión - Sección 4.1 </t>
  </si>
  <si>
    <t>Se informa al interesado que se acepta su observación y se hará el ajuste correspondiente en el documento definitivo.</t>
  </si>
  <si>
    <t>Esta Sección no establece la duracion maxima del plazo de imposicion. De no haber plazo maximo, se solicita se especifique.</t>
  </si>
  <si>
    <t>Parte Especial del Contrato de Concesión - Sección 6.1(u)</t>
  </si>
  <si>
    <t>Los plazos de construcción y preconstrucción aprecen fijados de antemano en el contrato ¿Se redifinirían esos plazos en la oferta?</t>
  </si>
  <si>
    <t xml:space="preserve">Parte Especial del Contrato de Concesión - Sección 3.8 </t>
  </si>
  <si>
    <t xml:space="preserve">Los plazos ya se encuentran definidos en el Contrato, y por lo tanto, no se redefinirán en la Oferta. Se aclara que son plazos máximos y el Concesionario, durante la ejecución podría realizar las actividades pactadas en el Contrato en un tiempo menor al establecido en el mismo.  </t>
  </si>
  <si>
    <t>En la condición (iii) de modificación de los giros de equity mínimo, aclarar si la suma de los giros de equity hacen referencia a la suma de los giros 3-5 o al acumulado hasta el giro a modificar.</t>
  </si>
  <si>
    <t>Parte Especial del Contrato de Concesión - Sección 4.4</t>
  </si>
  <si>
    <t xml:space="preserve">Se aclara al interesado que la suma de los giros de equity hacen referencia a los giros 3-5. </t>
  </si>
  <si>
    <t>El contrato establece que los rendimientos financieros obtenidos por los fondos de las subcuentas serán íntegros para la ANI. ¿Cabría la posibilidad de que estos rednimientos pudieran compartirse?</t>
  </si>
  <si>
    <t>Parte Especial del Contrato de Concesión - Sección 4.5</t>
  </si>
  <si>
    <t>Entendemos que el VPIP que aparece en el Capítulo II de la parte especial deberá ser sustituido por el de la oferta adjudicada.</t>
  </si>
  <si>
    <t xml:space="preserve">Parte Especial del Contrato de Concesión - Tabla de Referencias a la Parte General 1.194 </t>
  </si>
  <si>
    <t>Es correcto su entendimiento.</t>
  </si>
  <si>
    <t>En la Sección 3.6 "Entrega de la Infraestructura" se definen las posibles infraestructuras que podrán ser entregadas en un plazo máximo determinado con respecto a la Fecha de Inicio de la Fase de Construcción.</t>
  </si>
  <si>
    <t>Parte Especial del Contrato de Concesión - Sección 3.6</t>
  </si>
  <si>
    <t>Para el caso de la UF2 – Variante El Bolo, teniendo en cuenta que el plazo de dicha UF2 es de 24 meses y el plazo máximo para recibir la infraestructura es de 18 meses a partir de la firma del Acta de inicio de la Fase de Construcción, si la ANI entrega dicha infraestructura en la fecha límite, el Concesionario únicamente tendría 6 meses para su ejecución. Entendemos que dicho plazo sería insuficiente, por lo que de la manera más atenta solicitamos a la Entidad que revise esta circunstancia y modifique/amplíe los plazos actuales o que, alternativamente, la Variante El Bolo sea tratada como una UF independiente y separada de la UF2.</t>
  </si>
  <si>
    <t>• ACLARACION PLAZO DE EJECUCION ETAPA REVERSION: Según lo establecido en el  CONTRATO PARTE ESPECIAL  CAPÍTULO III ASPECTOS GENERALES  clausula  3.10 Plazo de la etapa Reversión Especial, y documento CONTRATO PARTE GENERAL CAPITULO II ASPECTOS GENERALES DEL PROYECTO  clausula 2.5 Etapas de Ejecución Contractual Inciso (iii) Etapa de reversión, no se está estableciendo o confirmando la duración precisa de la Etapa de Reversión,  la cual si está señalada en el CAPITULO I definiciones clausula 1.143  Plazo Máximo de la Etapa de Reversión: “Corresponde al término de ciento ochenta (180) Días contados a partir de la Fecha de Terminación de la Etapa de Operación y Mantenimiento conforme a lo previsto en la Sección 2.4(b) de esta Parte General. En caso de Terminación Anticipada del Contrato, el Plazo Máximo de la Etapa de Reversión podrá ampliarse por decisión autónoma y exclusiva de la ANI en cualquier término adicional, hasta un máximo de quinientos cuarenta (540) Días contados a partir de la fecha en que se declare la ocurrencia de una causal de Terminación Anticipada del Contrato en cualquiera de las Etapas”.</t>
  </si>
  <si>
    <t xml:space="preserve">Parte Especial del Contrato de Concesión - Capitulo VII Garantías. </t>
  </si>
  <si>
    <t xml:space="preserve">De acuerdo con lo anterior se solicita a la ANI indicar de forma precisa periodo de ejecución de la Etapa de Reversión para una mayor claridad en relación con el CAPÍTULO VII GARANTÍAS </t>
  </si>
  <si>
    <t>Se establece como valor del amparo de cumplimiento una suma de Doscientos Treinta Y Ocho Mil Quinientos Dos Millones Cuatrocientos Ochenta Y Cuatro Mil Ochocientos Tres Pesos del Mes De Referencia ($238.502.484.803) y (ii) Etapa Operación y Mantenimiento se establece como valor del amparo de cumplimiento una suma de Quinientos Setenta Y Cinco Mil Setecientos Cincuenta Y Un Millones Cuatrocientos Veintidós Mil Trescientos Sesenta Y Siete Pesos Del Mes De Referencia ($575.751.422.367), la determinación de dichos valores no guarda consistencia con los parámetros definidos en el Decreto 1082 de 2015, Artículos 2.2.1.2.3.1.3. Indivisibilidad de la garantía. De acuerdo con lo anterior se solicita a la ANI calcular el valor asegurado para cada Etapa del Contrato, Periodo Contractual o unidad funcional, tomando el valor de las obligaciones del contratista para cada Etapa del Contrato, Contractual o unidad funcional y de acuerdo con las reglas de suficiencia de la garantía de cumplimiento Decreto 1082 en su Artículo 2.2.1.2.3.1.12. “Si el valor del contrato es superior a un millón (1.000.000) de SMMLV y hasta cinco millones (5.000.000) de SMMLV, la Entidad Estatal puede aceptar garantías que cubran al menos el dos punto cinco por ciento (2,5%) del valor del contrato”, se solicita a la ANI evaluar la posibilidad de una reducción significativa del valor de esta garantía en proporción al ítem que se pretende amparar así como a las limitaciones de capacidad del mercado de seguros y reaseguros global, el no reducir el valor asegurado en este amparo podría dificultar la obtención de las Garantías de la  LICITACIÓN PÚBLICA No. VJ-VE-APP-IPB-001-2020. y afectar el término y cierre de la Licitación. Por último, es importante anotar que los valores asegurados exceden de manera muy significativa y quizá desproporcionada los valores definidos y establecidos en el CAPÍTULO VI SANCIONES Y ESQUEMAS DE APREMIO</t>
  </si>
  <si>
    <t xml:space="preserve">Parte Especial del Contrato de Concesión - Sección 7.1 (b) (i) </t>
  </si>
  <si>
    <t>Se indican los valores asegurados mínimos aplicables para el amparo de Pago de Salarios y Prestaciones Sociales para cada una de las Etapas y Fases, sin embargo la determinación de  dichos valores no guarda consistencia con los parámetros definidos  en el Decreto 1082 de 2015, Artículos 2.2.1.2.3.1.3. Indivisibilidad de la garantía y Artículo 2.2.1.2.3.1.13. Suficiencia de la garantía de pago de salarios, prestaciones sociales legales e indemnizaciones laborales, dado que no se evidencia en ningún aparte del PROYECTO DE PLIEGO DE CONDICIONES o del documento CONTRATO PARTE GENERAL o del documento CONTRATO  PARTE ESPECIAL el valor estimado de las obligaciones del Concesionario para cada Etapa del Contrato, Periodo Contractual o unidad funcional.  De acuerdo con lo anterior se solicita a la ANI calcular el valor asegurado para cada Etapa del Contrato, Periodo Contractual o unidad funcional, tomando el valor de las obligaciones del contratista para cada Etapa del Contrato, Periodo Contractual o unidad funcional y de acuerdo con las reglas de suficiencia de las garantías, y definiendo como valor asegurado el mínimo permitido para este amparo en cada una de sus fases el establecido en el Artículo 2.2.1.2.3.1.13. Suficiencia de la garantía de pago de salarios, prestaciones sociales legales e indemnizaciones laborales. “Esta garantía debe estar vigente por el plazo del contrato y tres (3) años más. El valor de la garantía no puede ser inferior al cinco por ciento (5%) del valor total del contrato.</t>
  </si>
  <si>
    <t>Parte Especial del Contrato de Concesión - Sección 7.2 (b) (i) (ii) y (iii)</t>
  </si>
  <si>
    <t xml:space="preserve">(Decreto 1510 de 2013, artículo 122).”  </t>
  </si>
  <si>
    <t>Consideramos que el valor de el amparo de responsabilidad civil bajo el Contrato de Concesión es muy elevado en comparación con otros contratos 4G. A manera de ejemplo, en el Proyecto BBY se establecieron los siguientes valores:</t>
  </si>
  <si>
    <t>Parte Especial del Contrato de Concesión - Sección 7.4</t>
  </si>
  <si>
    <t>En cuanto al seguro de responsabilidad civil El Decreto 1082 de 2015, Artículo 2.2.1.2.3.1.17. Suficiencia del seguro de responsabilidad Civil  Numeral 5 establece un máximo valor de 75.000 SMMLV.  Es del caso anotar que el valor del riesgo por responsabilidad civil no tiene proporcionalidad ni hay estadísticamente un factor de correlación para vincular el valor de las etapas con el valor asegurado necesario, máxime cuando se trata de actividades peligrosas en desarrollo de construcción pesada. En los estudios de riesgos se ha identificado que se ante eventos catastróficos con varias victimas; empleado y terceros, los montos de daños patrimoniales y extrapatrimoniales, pueden llegar a varios miles de millones de pesos, que  las distribuciones de probabilidad muestran entre 2000 millones y 45.000 millones hasta por 3 desviaciones estándar.  y eventos de cola que abarquen certeza con desviación de hasta de 4,5 desviaciones estándar, perfectamente pueden alcanzar valores de 75.000 SMMLV. Así las cosas se hará la corrección para establecer un valor único para el seguro de responsabilidad civil en el valor de 75.000 SMMLV en todos los momentos de la vigencia del contrato.</t>
  </si>
  <si>
    <t>Amparo de Responsabilidad Civil: Etapa de Operación y Mantenimiento: COP 29.475.000.000</t>
  </si>
  <si>
    <t>Ahora bien, en la Minuta de la Parte Especial del Contrato de Concesión se establecen los siguientes valores para los mimos amparos en las mismas etapas:</t>
  </si>
  <si>
    <t>Amparo de Responsabilidad Civil: Etapa de Operación y Mantenimiento: COP 935.143.288.084</t>
  </si>
  <si>
    <t xml:space="preserve">solicitamos a la ANI (i) confirmar si este valor es correcto ya que pareciera tratarse de un error de digitación, y (ii) en caso de que el valor sea correcto, una reducción del mismo ya que se trata de un valor desproporcionado que dudamos sea aceptado por el mercado. </t>
  </si>
  <si>
    <t>Parte Especial del Contrato de Concesión - Sección 7.5 (b) (i)</t>
  </si>
  <si>
    <t>La Carta de Presentación incluye la siguiente manifestación:</t>
  </si>
  <si>
    <t>Proyecto de Pliego de Condiciones - Anexo 2 - Carta de Presentación - Sección (i)(s)</t>
  </si>
  <si>
    <t xml:space="preserve">Se informa al interesado que no se acepta su observación. La Entidad considera que esta manifestación resulta razonable en el marco del proceso de selección, garantizando la transparencia del mismo. </t>
  </si>
  <si>
    <t>"Que autorizamos expresamente a la Entidad para averiguar la información comercial y financiera del proponente, sus integrantes y representantes legales en los bancos de datos públicos y privados".</t>
  </si>
  <si>
    <t>Sugerimos eliminar esta manifestación, toda vez que la misma no está expresamente autorizada por las disposiciones legales aplicables, así como también supone una posible violación de la confidencialidad y reserva legal de la información de los Oferentes o Integrantes, y de las personas naturales que están relacionadas con éstos.</t>
  </si>
  <si>
    <t>Declaración (i).i): el ámbito subjetivo de aplicación es demasiado amplio. Solictiamosa a la ANI limitar la Declaración, únicamente para que cobije a las sociedades controladas por la sociedad ofertante (no todas las subordinadas).</t>
  </si>
  <si>
    <t>Proyecto de Pliego de Condiciones - Anexo 2 - Carta de Presentación - Sección (i)(i)</t>
  </si>
  <si>
    <t>Se informa al interesado que no se acepta su observación. La Entidad considera que esta manifestación resulta razonable en el marco del proceso de selección.</t>
  </si>
  <si>
    <t>Declaración (i).q): solicitamos eliminar la necesidad de que la calificación de “reservada” de cierta información se ampare en la ley. Los ofertantes podrían querer marcar como confidencial/reservada determinada información que no encaje en los supuestos previstos en la ley.</t>
  </si>
  <si>
    <t>Proyecto de Pliego de Condiciones - Anexo 2 - Carta de Presentación - Sección (i)(q)</t>
  </si>
  <si>
    <t>Se informa al interesado que no se acepta su observación. De acuerdo con lo establecido por la Sección 7.7 del Proyecto de Pliego de Condiciones, si las Ofertas contuvieren información reservada, deberá indicarse tal calidad en la Carta de Presentación de la Oferta expresando las normas legales que le sirven de fundamento. En el evento en que la ANI considere que dicha información no debe ser tratada como reservada por no estar amparada legalmente como tal, la Entidad no tendrá la obligación de guardar reserva respecto de esta. En esta medida, teniendo en cuenta que el proceso de selección es público, únicamente se podrá dar el trato de documentación reservada a aquella contemplada por la Ley.</t>
  </si>
  <si>
    <t>El Sección 5.1 del Acuerdo de Garantía es contradictorio, pues pareciera indicar que el acuerdo surtirá efectos aun cuando no acaezca la condición suspensiva al que está sometida su existencia. Sugerimos eliminar el aparte del texto que subrayamos a continuación:</t>
  </si>
  <si>
    <t>Proyecto de Pliegos de Condiciones - Anexo 3 - Acuerdo de Garantía - Sección 5.1</t>
  </si>
  <si>
    <t>Se solicita al interesado que aclare la pregunta toda vez que no se evidencia subraya en el texto.</t>
  </si>
  <si>
    <t>5.1 El inicio de la ejecución y oponibilidad del presente Acuerdo está condicionado únicamente a que el Oferente resulte Adjudicatario del Contrato (la “Condición Suspensiva”). Si se cumple la Condición Suspensiva, iniciará la vigencia del presente Acuerdo desde la fecha de la Resolución de Adjudicación al Adjudicatario. Sin perjuicio de la existencia de la Condición Suspensiva, el Garante no podrá retractarse de sus obligaciones bajo este Acuerdo después de presentada la Oferta y aun cuando no se hubiese cumplido dicha Condición Suspensiva.</t>
  </si>
  <si>
    <t>Favor confirmar si nuestro entendimiento es correcto y aclarar el texto de considerarlo necesario:</t>
  </si>
  <si>
    <t>Proyecto de Pliego de Condiciones - Anexo 3 - Acuerdo de Garantía - Sección 5.2 y Sección 15.2 de la Parte General</t>
  </si>
  <si>
    <t>Se aclara al interesado que la cláusula 5.2 establece la vigencia del Acuerdo de Garantía. Por la naturaleza de dicho Acuerdo, el mismo permanecerá vigente hasta la fecha en que caduquen las acciones judiciales o extrajudiciales que tiene la ANI contra el Garante para hacer efectivas sus obligaciones bajo el Acuerdo de Garantía, incluyendo la obligación de pago.</t>
  </si>
  <si>
    <t xml:space="preserve">La referencia a la caducidad de la acción en el Sección 5.2 del Acuerdo de Garantía se refiere al término que tiene la ANI para exigir el cobro al garante una vez cumplido los trámites previstos en el acuerdo, mas no para permitirle demandar a través de una acción contractual ante lo contencioso administrativo. Lo anterior, toda vez que las disputas con el garante se resuelven en el marco de un tribunal de arbitramento y le es aplicable la regla de caducidad del medio de control de controversias contractuales. </t>
  </si>
  <si>
    <t>El Sección 6.2 del Acuerdo de Permanencia es contradictorio, pues pareciera indicar que el acuerdo surtirá efectos aun cuando no acaezca la condición suspensiva al que está sometida su existencia. Sugerimos eliminar el aparte del texto que subrayamos a continuación:</t>
  </si>
  <si>
    <t>Proyecto de Pliego de Condiciones - Anexo 4 - Acuerdo de Permanencia - Sección 6.2</t>
  </si>
  <si>
    <t>6.2 Si se cumple la Condición Suspensiva, iniciará la vigencia del presente Acuerdo desde la fecha de la notificación de la Resolución de Adjudicación al Adjudicatario y hasta cumplido el plazo previsto para la cesión de accionistas del Contrato de Concesión en relación con el término mínimo de permanencia de los integrantes que hayan sido Líderes y/o que hubieren acreditado Capacidad Financiera en los términos establecidos en el Pliego de Condiciones. Sin perjuicio de la existencia de la Condición Suspensiva, el Garante no podrá retractarse de sus obligaciones bajo este Acuerdo después de presentada la Oferta y aún cuando no se hubiese cumplido dicha Condición Suspensiva.</t>
  </si>
  <si>
    <t>El Acuerdo de Permanencia debe prever que el mismo debe terminar cuando la ANI autorice la cesión de la participación accionaria de un accionista Líder, de conformidad con lo previsto en la Sección 19.6(b) de la Parte General del Contrato de Concesión.</t>
  </si>
  <si>
    <t>Proyecto de Pliego de Condiciones - Anexo 4 - Acuerdo de Permanencia y Sección 19.6(b) de la Parte General</t>
  </si>
  <si>
    <t xml:space="preserve">Se informa al interesado que en el evento en que la ANI autorice la cesión de la participación accionaria de un Integrante que sea Líder en la Estructura Plural, las obligaciones contenidas en el Acuerdo de Permanencia cesarán para dicho Integrante. Lo anterior, en virtud del principio de relatividad de los contratos según el cual los contratos no benefician ni perjudican a aquellos que no hacen parte de ellos. 
Una vez se autoriza la cesión por parte de la ANI, el Líder ya no hace parte de la Estructura Plural de la que trata el Acuerdo de Permanencia y por tanto no se ve vinculado por este.
</t>
  </si>
  <si>
    <t>El formato de Beneficiario Real exige la inclusión de la siguiente información:</t>
  </si>
  <si>
    <t>Proyecto de Pliego de Condiciones - Anexo 5 - Beneficiario Real</t>
  </si>
  <si>
    <t>Composición del capital social de la persona jurídica – Relación exacta de los socios o accionistas o de los tenedores de bonos obligatoriamente convertibles en acciones.</t>
  </si>
  <si>
    <t>Pactos o Acuerdos de accionistas relacionados con la presentación de la propuesta y la ejecución del contrato.</t>
  </si>
  <si>
    <t>Capacidad decisoria (facultad o poder de votar en la elección de directivas o representantes o de dirigir, orientar y controlar dicho voto, así como la facultad o el poder de enajenar y ordenar la enajenación o gravamen de la acción).</t>
  </si>
  <si>
    <t>El Pacto de Transparencia incluye la siguiente manifestación:</t>
  </si>
  <si>
    <t>Proyecto de Pliego de Condiciones - Anexo 6 - Pacto de Transparencia - Sección (aa)</t>
  </si>
  <si>
    <t>(aa) Aceptamos levantar el velo corporativo cuando quiera que ello sea necesario para la verificación de la inexistencia de cualquier conflicto de interés, inhabilidad y/o incompatibilidad, actos de corrupción, colusión y aquellos que afecten la libre y leal competencia, en expresa aplicación del Principio de Transparencia como lineamiento íntegro de la contratación pública y de la actuación de los particulares ante la Entidad</t>
  </si>
  <si>
    <t xml:space="preserve">El levantamiento del velo corporativo debe obedecer a los requisitos exigidos en la ley, mas no a una manifestación del Oferente. Sugerimos su eliminación por afectar la confidencialidad y reserva legal de la información del Oferente de los Integrantes y de sus accionistas. </t>
  </si>
  <si>
    <t>Proyecto de Pliego de Condicones - Anexo 6 - Pacto de Transparencia - Sección (bb)</t>
  </si>
  <si>
    <t>Se informa al interesado que no se acepta su observación. Teniendo en cuenta que revelar información requerida por los organismos de control es una obligación legal, mantener la declaración no mejora ni empeora la situación del Oferente. El Pacto de Transparencia constituye una manifestación ética de los participantes del Proceso de Selección y tiene por objeto afianzar la visibilidad y transparencia de este, buscando minimizar la ocurrencia de hechos contrarios a la ética de lo público.</t>
  </si>
  <si>
    <t>(bb) Nos comprometemos a revelar la información que sobre el proceso de contratación nos soliciten los organismos de control de la República de Colombia.</t>
  </si>
  <si>
    <t xml:space="preserve">La revelación de la información a organismos de control debe obedecer a los requisitos exigidos en la ley, mas no a una manifestación del Oferente. Sugerimos su eliminación pues la declaración del Ofernte no mejora ni empeora las facultades legalmente conferidas a los organimos de control. </t>
  </si>
  <si>
    <t>Solicitamos de la manera más atenta se aclare si es posible entregar Anexos 9 separados para cada uno de los Líderes de la Estructura Plural.</t>
  </si>
  <si>
    <t>Proyecto de Pliego de Condicones - Anexo 9 - Experiencia en Concesiones de Proyectos de Infraestructuras</t>
  </si>
  <si>
    <t>Se informa al interesado que sí es posible entregar Anexos 9 sobre Experiencia en Inversión de forma separada para cada uno de los Líderes de la Estructura Plural.</t>
  </si>
  <si>
    <t>Solicitamos resptuosamente eliminar la solicitud del ANEXO 21 CONDICIONES DE COLOCACIÓN DE LAS GARANTÍAS. Lo anterior, eliminando no solo el Anexo 21, sino también el aparte al que hace referencia a este Anexo en el Numeral 4.1.14 (a) Tipos de garantías (i) Contrato de seguro contenido en una póliza “Adicionalmente, deberá venir acompañada de una certificación expedida por el asegurador en la que  declare las condiciones de la colocación de la garantía (según el  modelo que se adjunta al presente Pliegos como Anexo 21).”. Lo anterior por considerarse redundante ya que la Superintendencia Financiera de Colombia regula ya la materia de colocación de reaseguros de las compañías de seguros.</t>
  </si>
  <si>
    <t xml:space="preserve">Anexo 21 Condiciones de Colocación de las garantías </t>
  </si>
  <si>
    <t>Se solicita ampliación de 1 carril por sentido de peaje electrónico en las estaciones de peaje existentes. La pregunta es: ¿En todas las estaciones independientemente de que sean unidireccionales o bidireccionales?</t>
  </si>
  <si>
    <t>Apéndice Técnico 1 - Sección 5.6</t>
  </si>
  <si>
    <t>La adaptación de al menos un carril para recaudo electrónico se refiere a los sentidos de operación que existen para cada estación de peaje, en consecuencia, se ajustarán los documentos definitivos.</t>
  </si>
  <si>
    <t>¿Podemos conocer en qué fecha entraron en servicio cada una de las 8 estaciones de peaje existentes?</t>
  </si>
  <si>
    <t>Apendice Técnico 1 - Sección  3.2</t>
  </si>
  <si>
    <t>Los antecedentes de las estaciones de peaje podrán consultarse en las referencias de la resolución de peaje respectiva. Las cuales podrán consultare en el cuarto de datos del proyecto. Sin perjuicio de que se puedan solicitar al Ministerio de Transporte o al INVIAS, este último actual operador de las estaciones de peaje. Se aclara que esta información estará disponible a título meramente informativo acorde con las condiciones de la Sección 1.7 Cuarto de Información de Referencia del Pliego de Condiciones.</t>
  </si>
  <si>
    <t>¿Podemos conocer si se ha realizado alguna modificacion o renovacion de equipamiento IT en cada una de las 8 estaciones de peaje existentes desde su puesta en servicio?</t>
  </si>
  <si>
    <t>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Sin embargo, para la consulta referida hasta la actualidad, deberá dirigirse al INVIAS que es la entidad que actualmente está cargo de la operación de las estaciones peajes.</t>
  </si>
  <si>
    <t>¿Podemos conocer en que fecha entraron en servicio cada una de las 6 estaciones de pesaje existentes?</t>
  </si>
  <si>
    <t>Apéndice Técnico 1 - Sección 3.3</t>
  </si>
  <si>
    <t>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Sin embargo, el proponente en su debida diligencia deberá dirigirse al INVIAS, quien es la entidad que actualmente está cargo de su operación.</t>
  </si>
  <si>
    <t>¿Podemos conocer si se ha realizado alguna modificacion o renovacion de equipamiento IT en cada una de las 6 estaciones de pesaje existentes desde su puesta en servicio?</t>
  </si>
  <si>
    <t>Apéndice Técnico 1 - Sección 5.2</t>
  </si>
  <si>
    <t>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Sin embargo, para la consulta referida hasta la actualidad, deberá dirigirse al INVIAS que es la entidad que actualmente está cargo de la operación de las estaciones pesajes.</t>
  </si>
  <si>
    <t>¿Es necesario instalar una nueva red de comunicaciones de fibra como alcance de la oferta o ya existe y se puede reutilizar?</t>
  </si>
  <si>
    <t>Apéndice Técnico 1</t>
  </si>
  <si>
    <t>Debe seguirse lo dispuesto en la Sección 3.3.10. Centro de Control de Operaciones y Sistemas de Comunicación del Apéndice Técnico 2 "Para ello, a todo lo largo de la(s) vía(s) deberá implantar un sistema que incluya fibra óptica y sus canalizaciones, a través del cual se integren todos los elementos de los sistemas de control de tráfico (ITS), y que podrá explotar parcialmente previo acuerdo de los términos y condiciones que lo regulen con la ANI. Para la Unidad Funcional 0 no se requiere la utilización de fibra óptica, la operación de la fibra óptica se exigirá al comenzar la Etapa de Operación y Mantenimiento'. Las definiciones de reutilización la red de comunicaciones corresponden a los Estudios de Detalle a desarrollar por el Concesionario.</t>
  </si>
  <si>
    <t>¿Existe redundancia de comunicaciones a lo largo de todo el trazado y se puede utilizar?</t>
  </si>
  <si>
    <t>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Las definiciones de la red de comunicaciones corresponden a los Estudios de Detalle a desarrollar por el  Concesionario para cumplir con las obligaciones pactadas en los Apéndices Técnicos.</t>
  </si>
  <si>
    <t>En caso de que no exista redundancia de comunicaciones a lo largo de todo el trazado, ¿Es necesario instalarla como parte del alcance del proyecto?</t>
  </si>
  <si>
    <t>No se ha encontrado nada referente a radiocomunicaciones existentes y disponibles en el trazado. Si existe una red de radiocomunicaciones celulares a lo largo del trazado, ¿Es posible tener acceso a un mapa de cobertura celular de radiocomunicaciones a lo largo del trazado? En caso de que no existan, ¿Es necesario instalar radiocomunicaciones como alcance de la oferta para dar redundancia al sistema de comunicaciones?</t>
  </si>
  <si>
    <t>Apéndice Técnico 1 -</t>
  </si>
  <si>
    <t>Apéndice Técnico 2 - Sección 3.3.3.4</t>
  </si>
  <si>
    <t>Respecto al tramo de Infraestructura de reversión especial Salida Palmira a Pradera, se indica en la tabla No. 25 que tiene una longitud de 0,94 Km, mientras que en la Tabla 26 se indica que tiene una longitud de  0,66 Km. Aclarar.</t>
  </si>
  <si>
    <t xml:space="preserve">Apéndice Técnico 1 - Tabla 25 y Tabla 26 </t>
  </si>
  <si>
    <t>El tramo indicado tiene una longitud de 0.94 km. Se corregirá la tabla 26</t>
  </si>
  <si>
    <t>CAPITULO IX  Teniendo en cuenta los acuerdos protocolizados con las Comunidades identificadas con el Ministerio del Interior y que pertenecen a los corredores del proyecto, agradecemos sean especificadas las dimensiones y ubicación de las Obras descritas dentro de los Secciónes 1 y 3 título COMPONENTE AMBIENTAL pág. 54 , Sección 25 y 27 título COMPONENTE AMBIENTAL pág. 60 y 61,  Sección 1 título COMPONENTE AMBIENTAL pág. 65</t>
  </si>
  <si>
    <t xml:space="preserve">Apéndice Técnico 1 - CAPITULO IX </t>
  </si>
  <si>
    <t>Las longitudes de la tabla-5 de las UF-1 y UF-2 no coinciden con las que aparecen en las tablas 6 de la UF-1 y tabla-11 de la UF-2. ¿Podrian aclarar el motivo de esta discrepancia? ¿podrían confirmar que la tabla 5 es la que marca el origen y final de las unidades funcionales?</t>
  </si>
  <si>
    <t xml:space="preserve">Apéndice Técnico 1 - Sección 4.1 Division por unidades funcionales </t>
  </si>
  <si>
    <t>Si bien, aunque Las longitudes de las tablas 6 y 11 se midieron teniendo en cuenta las coordendas de la tabla 5, se precisa que las longitudes son de referencia, dado que podrán modificarse de acuerdo las con las intervenciones pactadas por Unidad Funcional en los Estudios de Trazado y Diseño Geométrico y en los Estudios de Detalle.</t>
  </si>
  <si>
    <t>En los requerimientos de las vías de nueva construccion se indica la velocidad de diseño. ¿ Hay que tener en cuenta la visibilidad en los parámetros de diseño?</t>
  </si>
  <si>
    <t>Apéndice Técnico 1  - Sección  4.2 Unidad funcional 1, 4.3 Unidad funcional 2, 4.4 Unidad funcional 3, 4.5 Unidad funcional 4, y 4.6 Unidad funcional 5,.</t>
  </si>
  <si>
    <t xml:space="preserve">Se indica al interesado que los Estudios de Trazado y Diseño Geométrico deberán cumplir con las características geométricas especificadas en el Apéndice Técnico 1,  incluida la velocidad la cual depende entre otras de visibilidad, así como los requerimientos técnicos de la normativa aplicable, recogida en el Apéndice Técnico 3.  </t>
  </si>
  <si>
    <t>En la tabla 6, 11, 13, 19 y 23 dentro de los requisitos técnicos se indica "cumplimiento de especificaciones de Ley 105 de 1993(s/n)". A la vez se indica conservación de la geometría existente. ¿ Podrían aclarar a que se refieren estos cumplimientos?</t>
  </si>
  <si>
    <t>En las tablas 6  11, 13 , 19 y 23 se indica en algunos tramos que se deberá contar con la aprobación de la autoridad municipar en los tramos urbanos. ¿ Podrían aclarar cuales son las aprobaciones necesarias y si podrían suponer alcances superiores?</t>
  </si>
  <si>
    <t>En la tabla 10- "Obras especiales que como mínimo debe ejecutar el Concesionario UF1". De forma similar se enuncian otras tablas.  ¿A qué se refiere el término mínimo?</t>
  </si>
  <si>
    <t>Se refiere al alcance que, como mínimo, debe ejecutar el Concesionario. Es decir el Concesionario podrá realizar otras obras especiales, pero solamente está obligado a ejecutar las intervenciones de las obras especiales dispuestas en dicha tabla, en ambos casos deberá cumplir con las obligaciones de los Apéndices Técnicos.</t>
  </si>
  <si>
    <t>En la tabla 10 se pide corrección de la curva para velocidad de 80 km/h.¿ Solamente se refiere al diseño del rádio mínimo para esa velocidad o hay más parámetros que cumplir como perfil longitudinal, relación de radios o visibilidad?</t>
  </si>
  <si>
    <t>Apéndice Técnico 1  - Sección  4.2 Unidad funcional 1</t>
  </si>
  <si>
    <t>La corrección de la geometría deberá de ser tal que permita una velocidad de operación mínima de 80 km/h. Por lo no se realizará excepción alguna en las variables que relacionadas con la velocidad, por ejemplo, como el radio mínimo.</t>
  </si>
  <si>
    <t>En la tabla 14 - Obras especiales que como mínimo debe ejecutar el Concesionario UF2 se indica el acceso al Estadio monumental de Palmaseca. ¿ Cuál es el alcance que se pretende al indicar que se realice con base en un estudio de tránsito a desarrollar? ¿Este estudio es para fase de licitación?</t>
  </si>
  <si>
    <t>Apéndice Técnico 1  - Sección  4.3 Unidad funcional 2</t>
  </si>
  <si>
    <t>Dentro de los Estudios de Detalle que debe desarrollar el Concesionario en la Fase de Preconstrucción se encuentra el estudio de tránsito y transporte, para todos los corredores y tramos de la concesión. Con base en los resultados de dicho estudio, se deberá determinar la solución óptima para los problemas de congestión que se producen actualmente en la zona, motivados por el acceso/salida al Estadio en los días de eventos</t>
  </si>
  <si>
    <t>En el apartado 5.4 Sistemas de comunicación y postes SOS en el apartado b) se indica que se colocarán a lo largo de todo el correder del proyecto. ¿ Podría aclarar las vías a las que se refiere?</t>
  </si>
  <si>
    <t xml:space="preserve"> Apéndice Técnico 1  - Sección  5.4 Sistemas de comunicación y postes SOS</t>
  </si>
  <si>
    <t>Para la ubicación de los postes SOS se indica que "deberán instalarse alternadamente , a lado y lado de la vía y de forma simultánea", cada 3 km. ¿Podrían aclarar qué se quiere indicar al referirse a alternadamente y de forma simultánea?  ¿Podrían aclarar si el criterio es el mismo en calzada simple y doble?</t>
  </si>
  <si>
    <t>En el apartado 7.2.2 Mezcla Densa en Caucho reciclado se indica que se utilizará “en una longitud continua, mínimo igual al 10% de la longitud total que conforma cada una de las Unidades Funcionales del proyecto”. En el pliego de condiciones apartado 5.5.4  se indica la longitud de la tabla nº3 del Apéndice técnico 1. Dicha tabla indica las estaciones de pesaje. Podría aclarar la tabla a que refiere al haber longitudes diferentes en varias tablas.</t>
  </si>
  <si>
    <t>Apéndice Técnico 1  - Sección 7.2.2 Mezcla densa en caucho reciclado</t>
  </si>
  <si>
    <t>Comprueben en la tabla 7-InterSecciónes, en la segunda fila, en la interSección Guacarí-Ginebra se ha incluido la coordenada E(108479.8276) que es errónea.</t>
  </si>
  <si>
    <t>Apéndice Técnico 1  - Sección  4.2 Unidad Funcional 1, tabla 7</t>
  </si>
  <si>
    <t>Se corregirá la coordenada en los documentos definitivos</t>
  </si>
  <si>
    <t>¿Podrían indicar si ha habido algún refuerzo posterior a los que se incluyen en la información técnica respecto a las Secciónes de firmes que se mencionan en los informes?.</t>
  </si>
  <si>
    <t>Documentación  Técnica - CII Pavimentos</t>
  </si>
  <si>
    <t>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Sin embargo, el proponente en su debida diligencia deberá dirigirse al INVIAS, quien es la entidad que actualmente está cargo de su operación, para obtener la información referente a intervenciones posteriores a novimente del 2018, o los entes territoriales para conocer las intervenciones sobre el pavimento de la infraestructura a su cargo.</t>
  </si>
  <si>
    <t>En el apartado 6.2 (vi) Intervenciones prioritarias se indican cumplimientos de nivéles mínimo en Etapa Preoperativa.¿ Son estas labores previas a realizar antes del comienzo de la obra y que se deben valorar, independientemente de que posteriormente se pueda por ejemplo pavimentar la carretera definitivamente?</t>
  </si>
  <si>
    <t>Apéndice Técnico 1  - Sección  6.2 Alcance Intervenciones</t>
  </si>
  <si>
    <t>Se indica al interesado que su apreciación es correcta y requiere de actividades a realizar antes de la Fase de Construcción, según lo estipulado en la Sección 3.3.1. Operación de la vía durante la Etapa Preoperativa del Apéndice Técnico 2, para cumplir con los indicadores del Apéndice Técnico 4 aplicables en la Etapa Preoperativa.</t>
  </si>
  <si>
    <t>Para la Rehabilitación indica que comprende la ejecución de una o más de las siguientes actividades: Construcción de Obras de Drenaje…</t>
  </si>
  <si>
    <t>Apéndice Técnico 1  - Sección  6.2 (v) Rehabilitación</t>
  </si>
  <si>
    <t>¿Es necesaria la construcción de Obras de Drenaje y demás elementos de drenaje si estos están en buenas condiciones?</t>
  </si>
  <si>
    <t>¿Podrían aclarar el alcance que se pide respecto a las Obras de Drenaje para llevarlas a sus condiciones de origen y si se contempla también el añadir cunetas u obras que no existieran, lo que supodría un mejoramiento?</t>
  </si>
  <si>
    <t>Para las Intervenciones Prioritarias dice que para el cumplimiento de los niveles de servicio mínimos para la Etapa Preoperativa, se deberán adelantar una serie de actividades, entre ellas, la limpieza de Obras de Drenaje…</t>
  </si>
  <si>
    <t>Apéndice Técnico 1  - Sección 6.2 (vi)</t>
  </si>
  <si>
    <t>El Concesionario deberá de llevar a cabo la evaluación de la infraestructura existente (obras de drenaje incluidas) y proponer las actuaciones necesarias para su buen funcionamiento cumpliendo las Especificaciones Técnicas, en especial los Indicadores del Apéndice Técnico 4, especialmente los exigibles a la Etapa Preoperativa</t>
  </si>
  <si>
    <t>Intervenciones Prioriterias</t>
  </si>
  <si>
    <t>¿Es necesario limpiar todas las Obras de Drenaje o solo las que no cumplan con el Indicador de Drenaje Superficial, longitudinal y transversal del Apéndice Técnico nº 4?</t>
  </si>
  <si>
    <t>Para la Reconstrucción de Pavimentos, dice que se deberá dotar a la via de estructura de pavimento, incluyendo cunetas laterales y la construcción y/o reposición de obras de drenaje transversal (alcantarillas)…</t>
  </si>
  <si>
    <t>Apéndice Técnico 1  - Sección 6.2 (d)</t>
  </si>
  <si>
    <t xml:space="preserve">La intervención "Reconstrucción de Pavimentos" NO se contempla en el Alcance estructurado para el proyecto. Igualmente, las actividades que se definen en el numeral 6.2.(d) del Apendice Tecnico 1 podrán realizarse para garantizar el cumplimiento de los indicadores a cumplir en el Apéndice Técnico 4. </t>
  </si>
  <si>
    <t>¿Se refiere a la construcción de cunetas laterales inexistentes actualmente?, ¿se refiere a la construcción de alcantarillas que pudieran ser necesarias y no existan actualmente y a la reposición de alcantarillas en mal estado?</t>
  </si>
  <si>
    <t>¿Podría aclarar el alcance de dichas actuaciones?</t>
  </si>
  <si>
    <t>Dentro de las medidas concertadas con los Consejos Comunitarios de San Isidro y Gaubal, se citan las siguientes:</t>
  </si>
  <si>
    <t>Apéndice Técnico 1 - Acuerdos concertados con el Consejo Comunitario de San Isidro…</t>
  </si>
  <si>
    <t>3. El concesionario o ejecutor del proyecto garantizará la suficiencia de las obras construidas para el manejo de escorrentía, para lo cual se construiran: Para el corredor 2 se definió la construcción de 44 obras hidráulicas. Para el corredor 3 la construcción de cunetas perimetrales, 9 obras de drenaje nuevas y la ampliación de 52 obras existentes.</t>
  </si>
  <si>
    <t>¿la construcción de estos elementos será estricta o se adaptará a los diseños finales del sistema de drenaje?</t>
  </si>
  <si>
    <t>Dentro de las medidas concertadas con el Consejo Comunitario de Bocas del Palo, se citan las siguientes:</t>
  </si>
  <si>
    <t>Apéndice Técnico 1 - Acuerdos concertados con el Consejo Comunitario de Bocas del Palo…</t>
  </si>
  <si>
    <t>27. El concesionario o ejecutor del proyecto garantizará la suficiencia de las obras construidas para el manejo de escorrentía, para lo cual se construirán 44 obras hidráulicas, etc...</t>
  </si>
  <si>
    <t>¿La construcción de estos elementos será estricta o se adaptará a los diseños finales del sistema de drenaje?</t>
  </si>
  <si>
    <t>En el Apéndice Técnico 1 se enumeran las pasarelas peatonales pero no los puentes vehiculares nuevos y a construir. ¿Podrían facilitar la relación de puentes existentes y a construir? ¿ Para los puentes nuevos podrían facilitar las características? A veces no coinciden las  dimensiones de anchuras y longitudes entre las tablas resumen y las fichas de cada estructura de la documentación técnica.</t>
  </si>
  <si>
    <t>Apéndice Técnico 1 - Sección 5.5 Puentes Peatonales y documentación técnica D- Diseño de puentes</t>
  </si>
  <si>
    <t>El Apéndice Técnico 1 menciona los alcances que se consideran escenciales para el objeto del Proyecto, es así que la definición de puentes vehiculares se considera una consecuencia de los Estudios y Diseños de Trazado y Diseño Geométrico, y Estudios de Detalle que se desarrollen tanto para los tramos existentes como los de nueva construcción y no se encuentra necesario restringirlos a condiciones específicas en el Apéndice. En cuanto a los puentes existentes, 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t>
  </si>
  <si>
    <t>En el subcapítulo 5.1 del Apéndice Técnico 1, se indica que el Concesionario deberá rehabilitar, reformar... el centro de control existente. También indica las superficies mínimas requeridas. Sin embargo, no se reflejan las características actuales del Centro de Control, edificación, parcela disponile y urbanización.  ¿pueden suministrar dicha información?</t>
  </si>
  <si>
    <t>Apéndice Técnico 1 - Sección 5.1</t>
  </si>
  <si>
    <t>En el subcapítulo 5.2 del Apéndice Ténico 1, relativo a Estaciones de Pesaje, se indica que existen 6. También se muestran sus requerimientos. Sin embargo, no se reflejan las caractertísticas de las áreas de pesaje existentes: edificación, número de ejes admisibles, acometidas de servicios existentes...¿pueden proporcionarnos sus características?</t>
  </si>
  <si>
    <t>En el subcapítulo 5.3 del Apéndice Ténico 1, relativo a Áreas de Servicio, se requieren cuatro. Preguntamos si son nuevas o si son existentes con necesidades de rehabilitación, mejora, urbanización, acometidas de servicios existentes. En este segundo caso, ¿Pueden proporcionar sus características actuales?</t>
  </si>
  <si>
    <t>Apéndice Técnico 1 - Sección 5.3</t>
  </si>
  <si>
    <t>En el subcapítulo 5.4 del Apéndice Ténico 1, se requiere  radiocomunicación y telefonía operacional. Por favor, ¿podrían informar sobre la disponibilidad de frecuencias y de cobertura de telefonía existente?</t>
  </si>
  <si>
    <t>Apéndice Técnico 1 - Sección 5.4</t>
  </si>
  <si>
    <t>Para una mejor integración de las acometidas eléctricas para los cuadros eléctricos de iluminación y acometidas a las diferentes áreas, sería de utilidad disponer de los servicios electricos y agua existentes. En la documentación disponible no se han encontrado los servicios existentes. Por favor, ¿pueden indicar donde se encuentra dicha información?</t>
  </si>
  <si>
    <t>En el Apéndice Técnico 1, en su punto 5.5 Puentes Peatonales, se incluye la Tabla 29, en la que se incluye una relación de 70 pasarelas, tanto nuevas a ejecutar como a reparar o reubicar. En total, hay 43 pasarelas existentes situadas en tramos cuya actuación es Puesta a Punto, por lo que se entiende, se ruega confirmar, que serán sujeto de rehabilitaciones en función de su estado. Se solicita confirmación de las actuaciones de rehabilitación en las pasarelas y en caso afirmativo, suministrar los informes de estado actual de las pasarelas existentes y de las mediciones de actuaciones previstas.</t>
  </si>
  <si>
    <t>Apéndice Técnico nº 1, Capítulo 5 Subcapítulo 5.5</t>
  </si>
  <si>
    <t>Las estructuras existentes de la Tabla 29 estarán sujetas a las intervenciones de rehabilitación necesarias para cumplir las Especificaciones Técnicas, y a las actividades de mantenimiento definidas en la Sección 6 del Apéndice Técnico 2. Las mediciones de las actuaciones previstas no son objeto de regulación en los Apéndices, por lo tanto pueden ser definidas por el Oferente. 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t>
  </si>
  <si>
    <t>En la carpeta de Documentación técnica CII- Pavimentos, gran parte de la información referente a la auscultación de pavimentos facilitada, consiste en el tratamiento de los datos (retrocálculos, cálculos de vida residual, determinación de espesores de georrádar, etc) realizada por la empresa Iceacsa. En muchos de esos ficheros no viene especificada la fecha en la que fueron realizados, aspecto fundamental para evaluar la condición actual. No se ha facilitado la información de partida, ficheros originales de los deflectómetros, georrádar, grip tester, perfilómetros etc., para que el proponente puede realizar sus propios cálculos o analizar la validez de los datos en base a su antigüedad. Algunas carpetas donde parecería que dicha información pudiera estar, véase las subcarpetas CII 11202 o la CII 21202, aparecen vacías. ¿podrían por favor facilitar las fechas de cada auscultación realizada, así como los ficheros originales salidas de los softwares de los distintos equipos?</t>
  </si>
  <si>
    <t>Carpeta de Documentación  Técnica - CII Pavimentos</t>
  </si>
  <si>
    <t>En el apartado 7.2 Factor de Calidad, se proponen las obras adicionales Via la Herradura - Matapalo y Vía la Villa Rica - Caloto para trabajos de rehabilitacion y mejoramiento enumerandose sus características geométricas y técnicas a cumplir. En la documentación técnica facilitada no se ha encontrado ninguna documentación relativa a estos tramos. ¿Podrían confirmar si dicha documentación existe o si se va a facilitar?</t>
  </si>
  <si>
    <t>Apéndice Técnico nº 1, Capítulo VII Subcapítulo 7.2</t>
  </si>
  <si>
    <t>Dentro de la UF-2 se encuentra la variante de El Bolo de 2,37 km con labores de puesta a punto del tramo existente y construcción del tramo faltante. En la documentación técnica facilitada no se ha encontrado ninguna documentación relativa al trazado del tramo a construir. ¿Podrían confirmar si dicha documentación existe o si se va a facilitar?</t>
  </si>
  <si>
    <t>Apéndice Técnico nº 1, Capítulo IV Subcapítulo 4.1</t>
  </si>
  <si>
    <t>Se informa al interesado que se harán complementaciones al Cuarto de Información de Referencia incluyendo estudios de referencia del tramo Variante El Bolo en la Carpeta G. Adicionalmente 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t>
  </si>
  <si>
    <t>No se ha encontrado un Inventario Completo de las Obras de Drenaje Existentes, donde aparezcan las características físicas de las Obras, así como el Estado en que se encuentran las mismas, aspecto muy importante para poder evaluar las Obras de Drenaje a reparar. Sin embargo en la documentación técnica de Hidráulica, Hidrología y Socavación se hace referencia a dicho inventario...</t>
  </si>
  <si>
    <t>Carpeta de documentación técnica, 'Informes de Hidráulica, Hidrología y Socavación (B1111,  B1211, B2111…)</t>
  </si>
  <si>
    <t>¿Puede disponerse de el Inventario de Obras de Drenaje completo, que incluya el Estado de las mismas?</t>
  </si>
  <si>
    <t>Para las Obras Hidráulicas Mayores, en la Documentación Técnica de Hidráulica, Hidrología y Socavación, se dice que se hace una estimación de la Socavación Potencial y de las Medidas Protectoras necesarias… Sin embargo no se ha encontrado esta información en la Documentación Técnica facilitada.</t>
  </si>
  <si>
    <t>¿Puede disponerse de las estimaciones de Socavación y de las Medidas Protectoras previstas?</t>
  </si>
  <si>
    <t>En la Documentación Técnica de Hidráulica, Hidrología y Socavación, aparece un apartado denominado "Recomendaciones Generales y Constructivas", en relación al futuro mantenimiento de la vía.</t>
  </si>
  <si>
    <t>¿Son simples Recomendaciones o más bien Obligaciones por parte del adjudicatario?</t>
  </si>
  <si>
    <t>Se piede aclaración respecto de la Recomendación de "Implementar un sistema de recolección y tratamiento de aguas residuales para no contaminar el agua de los caños".</t>
  </si>
  <si>
    <t>A lo largo de la Documentación Técnica de Hidráulica, Hidrología y Socavación, solo se hace referencia a Obras de Drenaje y Estructuras como elementos del Sistema de Drenaje, sin hacer referencia a cunetas, zanjas, bajantes, drenes y demás elementos de drenaje que pudieran verse afectados, o que fuera necesario acondicionar...</t>
  </si>
  <si>
    <t>¿Hay un inventario de estos otros elementos de drenaje que puedan servir para una mejor evaluación?</t>
  </si>
  <si>
    <t>En los informes de Geología y Geotecnia de las Unidades Funcionales en las que se proyecta duplicación de calzadas, no se indica la necesidad de tener que hacer saneos en el terreno de apoyo de los rellenos. Conociendo que los trazados de las Unidades Funcionales 3, 4 y 5 discurren sobre suelos aluviales de baja consistencia, con nivel freático superficial, se solicita confirmen si es preciso considerar que si será preciso realizar saneo en el apoyo de los relleno.</t>
  </si>
  <si>
    <t>Carpeta de documentación técnica, 'Informes de Geologia y Geotecnia (CI311,  CI4211, BI5111)</t>
  </si>
  <si>
    <t>Para la Etapa Preoperativa se pide la obligación de cumplir con los Indicadores del Apéndice Técnico 4. Se solicita que expresamente se mencione que los Inicadores a cumplir durante la Fase Preoperativa son exclusivamente los E3, E6, E10, E12 y O4, pues de la lectura de la tabla no es claro si aplican todos los indicadores o solo en los que se mencionan especificaciones particulares para la Etapa Preoperativa, y es nuestro entendimiento que solo aplican los enumerados, como en las concesiones 4G.</t>
  </si>
  <si>
    <t>Apéndice Técnico 2 - Sección 3.3.1 Obligaciones de la via durante la Etapa Preoperativa (y por referencia Indicadores de Apéndice Técnico 4)</t>
  </si>
  <si>
    <t xml:space="preserve"> El Contrato solicita que en toda la Etapa Preoperativa se cumplan con todas las condiciones del Apéndice Técnico 2. Sin ambargo, algunas de esas condiciones (por ejemplo nuevas tecnologías de peaje, areas de servicio, bases de mantenimiento) no puede cumplirse hasta que no se acometan obras de Puesta a Punto de algunas instalaciones.</t>
  </si>
  <si>
    <t>Apéndice Técnico 2 - Sección 3.3.1 Obligaciones de la via durante la Etapa Preoperativa</t>
  </si>
  <si>
    <t>Se solicita que se incluya un condicionante a las obligaciones en la Etapa Preoperativa sujeto a que se concluyan dichas obras de reforma, que se entiende serán entregadas con cada acta de terminación de cada Unidad Funcional.</t>
  </si>
  <si>
    <t>Ejemplo: los carriles de cobro automático sólo podrán entrar en servicio cuando se ejecuten, y de la lectura del Apéndice Técnico 2 se interpreta que es una obligación en toda la Etapa Preoperativa.</t>
  </si>
  <si>
    <t>Proporcionar información sobre los contratos existentes para el mantenimiento de los sistemas para cada una de las UFs.</t>
  </si>
  <si>
    <t>Apéndice Técnico 2</t>
  </si>
  <si>
    <t>Proporcionar información técnica y funcional sobre los sitemas actuales de recaudo de peajes y atención a usuarios: arquitectura física y lógica, productos comerciales utilizados, año de implantación, funcionalidad y procesos implementados.</t>
  </si>
  <si>
    <t>Apéndice Técnico 2 - Sección 3.3.4</t>
  </si>
  <si>
    <t>¿Cómo hay que enviar a la ANI las transacciones de peaje? ¿en tiempo real? ¿informes?</t>
  </si>
  <si>
    <t>Apéndice Técnico 2 - Sección 3.3.4.5</t>
  </si>
  <si>
    <t>Subida de datos a internet mediante webservices: ¿deberán crearse los webservices, a los que se conectarán diferentes usuarios para acceder a la información o hay que enviar los datos a algún repositorio centralizado?</t>
  </si>
  <si>
    <t>Apéndice Técnico 2 - Sección 3.3.10.2</t>
  </si>
  <si>
    <t>¿Qué latencia máxima se permite para el envío de una transacción desde el sistema de peaje /ITS a internet mediante el Sistema de Comunicaciones para considerarse tiempo real?</t>
  </si>
  <si>
    <t>¿Se permitiría implementar el sistema de comunicación para envío de datos a internet mediante API REST JSON?</t>
  </si>
  <si>
    <t>Página web informativa: ¿debe tener integración con sistemas de la ANI u otro organismo público?</t>
  </si>
  <si>
    <t>No se ha encontrado nada referente a radiodifución por canales radio en el Apendice Técnico 1 como existente y disponibles en el trazado.¿Existe actualmente y se puede reutilizar una red de radiocomunicaciones para radiodifusion por canales comerciales de informacion; o bien es necesario instalarla como alcance del proyecto?</t>
  </si>
  <si>
    <t>Apéndice Técnico 2 - Sección 3.3.3.2.3.</t>
  </si>
  <si>
    <t>Se informa al interesado que no existen canales ni espacios radiales al servicio del Proyecto por cuanto no hay concesiones operando en la zona. Los canales a utilizar serán determinados por el Concesionario siguiendo las condiciones definidas en el Apéndice Técnico 2.</t>
  </si>
  <si>
    <t>Entendemos que se necesitaría un sistema GIS integrado con el sistema de gestión de activos para poder tener un inventario georeferenciado y poder realizar consultas sobre las operaciones de mantenimiento realizadas sobre los activos. Es correcto?</t>
  </si>
  <si>
    <t>Apéndice Técnico 2 - Sección 4.1</t>
  </si>
  <si>
    <t>El entendimiento del interesado es correcto, se gestionará a través de un software basado en tecnología de sistemas de información geográfica.</t>
  </si>
  <si>
    <t>Se entiende que el diseño as built será el maestro y deberá ser actualizado a lo largo de todo el ciclo de vida. Se pretende realizar el diseño de la infraestructura en 3D (BIM)?</t>
  </si>
  <si>
    <t>Apéndice Técnico 2 - Sección 4.1.</t>
  </si>
  <si>
    <t>¿El equipamiento adicional a la policía de carreteras debe ser instalado o dar una dotación económica para tal fin?</t>
  </si>
  <si>
    <t>Apéndice Técnico 2 - Sección 3.3.5.1</t>
  </si>
  <si>
    <t>Iluminación. Los tendidos eléctricos para la alimentación a las columnas de alumbrado, ¿pueden ser áereos u obligatoriamente deben de ser subterráneos?</t>
  </si>
  <si>
    <t>Apéndice Técnico 2 - Sección 6.3.4</t>
  </si>
  <si>
    <t>Se requiere iluminación en los paraderos. No se encuentra número y posicicón de pararaderos existentes. Por favor, ¿pueden indicar donde se encuentra dicha información?</t>
  </si>
  <si>
    <t>Apéndice de Operación y Mantenimiento. Numeral 6.3.3- Barreras, defensas y elementos de contención. Hacemos referencia a lo indicado en el numeral en mención: “…Todos los tipos de barreras deberán estar libres de defectos estructurales. Para determinar su ubicación, tipo, situación, altura y separación de obstáculos se dará cumplimiento a la GUÍA TÉCNICA PARA EL DISEÑO DE LAS ZONAS LATERALES, PARA VÍAS MÁS SEGURAS, divulgado por la Corporación Fondo de Seguridad Vial en septiembre de 2012 o por la versión más reciente de este documento o por la norma que la sustituya(n), adicione(n) o derogue(n) durante la ejecución del Contrato…”; ahora, revisado lo descrito en el documento documento F111, página 99,  del cuarto de datos del proceso, el estructurador, frente al uso de las Barreras, indica que: “… A lo largo de todo el corredor existen tramos con zonas de despeje lateral adecuados con suficiente espacio, pero en algunos casos cuando se cuenta con tramos en zonas de terraplén es necesario instalar defensas metálicas o barreras que no permitan la invasión de calzadas en un accidente, las defensas que se plantean para este proyecto son de este tipo…”; teniendo en cuenta las anteriores consideraciones, agradecemos publicar la ubicación de las barreras y las defensas metálicas tenidas en cuenta para la presupuestación del proyecto, acatando lo establecido por la Guía Técnica en mención.</t>
  </si>
  <si>
    <t>Apéndice Técnico 2 - Sección 6.3.3</t>
  </si>
  <si>
    <t>En la sección 3.3.3.1. sobre el Sistema de Atención de Incidentes, Accidentes y Emergencias, se hace referencia a cuatro indicadores aplicables (Tabla 1) que el Concesionario tendrá la obligación de cumplir. Sin embargo, los indicadores O7 y O8 no están definidos en el Apéndice Técnico 4. Se solicita la supresión de dichos indicadores de la tabla.</t>
  </si>
  <si>
    <t>Apéndice Técnico 2 - Sección 3.3.3.1</t>
  </si>
  <si>
    <t>Se confirma al interesado que los túneles no son un alcance obligatorio dentro de las intervenciones definidas en el Apéndice Técnico 1, en este sentido los indicadores O7 y O8 serán únicamente aplicables si los Estudios de Trazado y Diseño Geométrico y los Estudios de Detalle llegan a incluir túneles a conveniencia del Concesionario.</t>
  </si>
  <si>
    <t>La sección 3.3.12. trata de las especificaciones para la operación de túneles. Sin embargo, el proyecto no cuenta con túneles, por lo que entendemos que los requerimientos aquí señalados no son de aplicación. Se solicita la supresión de esta sección.</t>
  </si>
  <si>
    <t>Apéndice Técnico 2 - Sección 3.3.12</t>
  </si>
  <si>
    <t>Se confirma al interesado que los túneles no son un alcance obligatorio dentro de las intervenciones definidas en el Apéndice Técnico 1, en este sentido la Sección 3.3.12. Especificaciones para la Operación de Túneles será únicamente aplicable si los Estudios de Trazado y Diseño Geométrico y los Estudios de Detalle llegan a incluir túneles a conveniencia del Concesionario.</t>
  </si>
  <si>
    <t>Para la Etapa Preoperativa se pide la obligación de cumplir con los Indicadores del Apéndice Técnico 4. Se solicita que expresamente se mencione que los Inicadores a cumplir durante la Fase Preoperativa son exclusivamente los E3, E6, E10, E12 y O4, pues de la lectura de la tabla no es claro si aplican todos los indicadores o solo en los que se mencionan especificaciones particulares para la Etapa Preoperativa, y es nuestro entendimiento que solo aplican los enumerados (como en las concesiones 4G). Se sugiere también preparar dos tablas: una para la Etapa Preoperativa (con solo los indicadores que aplican mencionados) y otra para la Etapa de Operación y Mantenimiento.</t>
  </si>
  <si>
    <t>Apéndice Técnico 4 - Indicadores</t>
  </si>
  <si>
    <t>Se pide la aclaración de que el indicador O3-1 Cola de Peaje (IP/REV) sólo se medirá en las vías de peaje que estén dedicadas exclusivamente al cobro electrónico.</t>
  </si>
  <si>
    <t>Apéndice Técnico 4 - Indicador O3-1</t>
  </si>
  <si>
    <t>Entendemos que para el registro de medidores se necesitaría un sistema de gestión de activos, para poder tener trazabilidad digital de las operaciones realizadas, así como documentación gráfica (Fotos, Videos, etc.). Es correcto?</t>
  </si>
  <si>
    <t>Apéndice Técnico 4 - Sección 4.1</t>
  </si>
  <si>
    <t>En el Apéndice Técnico 4 se indican indices como fisuras, drenaje y señalización horizontal a cumplir en la Fase Preoperativa. ¿Podrían aclarar si son indices a cumplir desde el primer momento de Contrato y donde se aplicarían?</t>
  </si>
  <si>
    <t>Apéndice Técnico 4 - Capítulo 3 - Indicadores Tabla-1</t>
  </si>
  <si>
    <t>En el Apéndice Técnico 4 se muestra el indicador E14 para la iluminación, explicándose los porcentajes de aceptación de luminarias defectuosas en cada tramo (5%). En la página 14 se indica que para ello se hará una inspección visual del funcionamiento de los puntos de luz, pero por favor ¿pueden indicarnos cuál es el criterio para clasificar una luminaria válida o defectuosa?</t>
  </si>
  <si>
    <t xml:space="preserve">Apéndice Técnico 4 - Capítulo 3 - Tabla 3 </t>
  </si>
  <si>
    <t>Se solicita de la manera más atenta se aclare si la frase "el Concesionario suscribirá documentos que se requieran de acuerdo con la Ley aplicable para la cesión de cualquiera de los trámites de carácter ambiental que se encuentren vigentes para el corredor objeto del Contrato de Concesión a su exclusiva cuenta y riesgo" perteneciente a la Sección 8.1 (a) del Apéndice Técnico 6, se refiere a los PAGAs, consultas previas y EIAs que ha elaborado la ANI entre 2018 y 2019 y que se encuentran disponibles en el Datoroom o se refiere a cualquier otro Permiso ambiental vigente o PAGA  que se herede del anterior concesionario.</t>
  </si>
  <si>
    <t>Apéndice Técnico 6 . Capítulo VIII</t>
  </si>
  <si>
    <t xml:space="preserve">Las licencias ambientales objeto del trámite obligatorio para recibir en cesión son las que están relacionadas en la Sección 4.4.(a) del Apéndice Técnico 6. Se aclara que la cesión obligatoria no incluye PAGA, ni de EIA, ni trámites y permisos no especificados, esta cesión es exclusivamente de las Licenicas Ambientales y con ellas las obligaciones de Consulta Previa pendientes de cumplimiento y por ejecutar. 
Sin embargo, si en el curso del 2020 y con anterioridad a la Fecha de Inicio se logran cerrar las obligaciones del expediente LAM1015, esta licencia no sería objeto de cesión. </t>
  </si>
  <si>
    <t>Se solicita de la manera más atenta se aclare si la Tabla 2 del Capítulo IX Consideraciones Específicas del apéndice técnico 6, es un listado exhustivo de todas las licencias ambientales pendientes con compromisos por ejecutar o si existen otras licencias ambientales activas en los corredores descritos en el Apéndice Técnico 1 que puedan contener más compromisos por ejecutar.</t>
  </si>
  <si>
    <t>Apéndice Técnico 6 - Capítulo IX</t>
  </si>
  <si>
    <t>Se informa al interesado que la Tabla 2 del Capítulo IX del Apéndice Técnico 6 contiene todas las licencias ambientales existentes del Corredor del Proyecto con todas las obligaciones pendientes de cumplimiento y las obligaciones por ejecutar, y que son objeto de la cesión obligatoria de la que trata la Sección 4.4(a) del mismo apéndice.
El  Concesionario adjudicatario, al aceptar en cesión total las licencias ambientales, debe atender por su cuenta y riesgo todos los requerimientos de gestión ambiental asociados a los mismos que realice la ANLA, tales como, la  remisión de entrega de información (ICA´s – GDB´s asociadas), actualización de planes de gestión del riesgo, atención de visitas se seguimiento, pagos por concepto de seguimiento, además de las obligaciones necesarias  y asociadas a la atención de los acuerdos de consulta previa de las gestiones asociadas a la Autoridad Nacional de Consulta Previa, sin limitarse a estos, hasta obtener el cierre del expediente de Licenciamiento Ambiental.</t>
  </si>
  <si>
    <t>En el apartado 4.1.(b)(i)7, parece que falta un paso entre las observaciones de la Interventoría y la constitución de la mesa de trabajo. No se especifica el plazo del Concesionario para contestar a las observaciones del Interventor.</t>
  </si>
  <si>
    <t>Apéndice Técnico 6 - Sección 4.1.(b)(i)7</t>
  </si>
  <si>
    <t xml:space="preserve">Se informa al interesado que se ajustará la Sección 4.1(b)(i)(7) en el documento final para mayor claridad. </t>
  </si>
  <si>
    <t>Dice que corresponde al Concesionario realizar una Identificación de áreas donde se deba potenciar y adecuar obras de drenaje con el fin de aumentar permeabilidad y conectividad del proyecto a la fauna silvestre…</t>
  </si>
  <si>
    <t>Apéndice Técnico 6 - Sección 4.1 (c) (iii)</t>
  </si>
  <si>
    <t>Como referencia se puede consultar la caracterización de los medios biótico, abiótico y coberturas incluidas en el Cuarto de Información de Referencia, considerando que las medidas de conectividad y permeabiliidad hacen parte de los planes de manejo ambiental en los programas de biodiversidad y servicios ecosiistémicos. La ubicación de estas áreas dependerá de los Estudios de Trazado y Diseño Geométrico y Estudios de Detalle a desarrollar por el Concesionario.</t>
  </si>
  <si>
    <t>¿Hay realizado algún estudio en este sentido, que haya identificado posibles áreas?</t>
  </si>
  <si>
    <t>Además de la ANI / Concesionario deberían tener igualmente condición de asegurado los Bancos Financiadores y los subcontratistas así como todos aquellos intervinientes en la O&amp;M o en la construcción.</t>
  </si>
  <si>
    <t>Carátula - Asegurado</t>
  </si>
  <si>
    <t>Rogamos aclaración acerca de qué son los otros bienes existentes, diferentes a las obras civiles existentes.</t>
  </si>
  <si>
    <t>Sección I - Amparo de Obras Civiles y Otros Bienes Existentes Asegurados por esta Sección</t>
  </si>
  <si>
    <t>Se solicita confirmación de que se trata de una cobertura de contratación opcional por parte del Concesionario.</t>
  </si>
  <si>
    <t>Sección I - Amparo de Obras Civiles y Otros Bienes Existentes Asegurados por esta Sección. Lucro Cesante</t>
  </si>
  <si>
    <t>Sección II - Amparo de Construcción, Reparación, Rehabilitación y/o Mejoramiento. Lucro Cesante</t>
  </si>
  <si>
    <t>Se solicita confirmación de que se trata de una circunstancia opcional dado que el Concesionario podría trasladar la responsabilidad de contratar esta póliza a los contratistas y/o subcontratistas que aporten los vehículos automotores y/o maquinaria amarilla para la ejecución del Contrato.</t>
  </si>
  <si>
    <t>Sección III - Amparo de Equipo y Maquinaria de Construcción</t>
  </si>
  <si>
    <t>Se solicita confirmación de que se trata de endosos incluidos con carácter orientativo y que podrá prescindirse de aquellos que restrinjan la cobertura, sujeto a disponibilidad en el mercado asegurador.</t>
  </si>
  <si>
    <t>Endosos</t>
  </si>
  <si>
    <t>ACCIONA, 22/04/2020</t>
  </si>
  <si>
    <t>Debido a las restricciones impuestas en diversos paises en las últimas semanas por motivo de la Covid-19 (entre otras la imposibilidad de viajar o de reunirse) y puesto que el cronograma definido en la Capítulo 2.3 "CRONOGRAMA DE LA LICITACIÓN PÚBLICA" del Pliego se definió en una situación previa a la Pandemia rogamos revisen y amplien las fechas del mismo desde la primera actividad "Observaciones al Proyecto de Pliego de Condiciones" al menos con una extensión de 60 días hasta que se normalicen de nuevo las condiciones.</t>
  </si>
  <si>
    <t>Capítulo 2.3 Cronograma de la Licitación Pública del Borrador de Pliego de Condiciones</t>
  </si>
  <si>
    <t>Entendemos que una revisión más completa con todos los actores y agentes potencialmente implicados (asesores, industriales, fondos, financiadores) de los documentos redundará en una mayor concurrencia, eficiencia y eficacia en el proceso.</t>
  </si>
  <si>
    <t>Solicitamos a la entidad de acuerdo con el Borrador de Pliegos, modifique el numeral 2.3, cronograma de la licitación pública, con el propósito de ampliar el cierre del proceso de licitación por un plazo no menor de 90 días respecto de la fecha actualmente establecida, esto basado en la situación actual de emergencia sanitaria del país y del resto del mundo. Haciendo énfasis especialmente en el decreto 531 de 2020 de la Presidencia de la República, y la ampliación de las medidas preventivas obligatorias adoptadas, dentro de las cuales se encuentra la restricción de vuelos internacionales y nacionales hasta el final de la emergencia sanitaria.</t>
  </si>
  <si>
    <t>Es importante señalar que para nuestra compañía, es necesario contar con el acompañamiento de nuestros especialistas en el estudio de la presente oferta, muchos de ellos extranjeros. Además indicar que es imprescindible conocer la zona de influencia del proyecto y lo que compone estrictamente las actividades de construcción alcance del presente proceso y dada la situación sanitaria del país y del resto del mundo, esto no es posible.</t>
  </si>
  <si>
    <t>Igualmente debido a las condiciones limitadas en relación a la movilidad previstas en los próximos meses rogamos que habiliten procedimientos virtuales para mantener las opciones de reunión con la Autoridad durante el proceso y se añadan al Pliego como parte del proceso. Por ejemplo mediante Audiencias virtuales como ha ocurrido en otros procesos similares anteriormente.</t>
  </si>
  <si>
    <t>General Condiciones del Borrador de Pliego de Condiciones</t>
  </si>
  <si>
    <t>Inclusión de Efectos del Covid en el Contrato - Parte General:</t>
  </si>
  <si>
    <t>General Condiciones del Contrato Parte General</t>
  </si>
  <si>
    <t>“Coronavirus”: cepa del virus conocida como Coronavirus 2 del Síndrome Respiratorio Agudo Severo (SARS-CoV-2) y la enfermedad conocida como enfermedad del Coronavirus 2019 (COVID-19) que incluye, en ambos casos, cualquier mutación del mismo.</t>
  </si>
  <si>
    <t>Nueva Clausula Coronavirus: El Concesionario podrá suspender los trabajos objeto del proyecto, sin necesidad de consentimiento previo expreso del Cliente, siempre que se dé alguna de las siguientes circunstancias:</t>
  </si>
  <si>
    <t>1. Disposición de cualquier Administración Pública que restrinja el tráfico de personas/mercancías en la República de Colombia y/o en los países desde donde se realizará el suministro de materiales o de mano de obra cualificada.</t>
  </si>
  <si>
    <t>2. Disposición de cualquier Administración Pública que ordene el cierre de centros de trabajo o centros escolares en la República de Colombia.</t>
  </si>
  <si>
    <t>3. Cierre de puertos y aeropuertos en la República de Colombia y/o en los países desde donde se realizará el suministro de materiales o de mano de obra cualificada.</t>
  </si>
  <si>
    <t>4. Infección de algún trabajador del Concesionario y/o de sus contratas en el proyecto que sea contrastado por servicios médicos independientes con impacto efectivo en la continuidad de los trabajos, de acuerdo a las normas de seguridad y salud del mismo Concesionario.</t>
  </si>
  <si>
    <t>5. Que se den perturbaciones en los mercados financieros (crédito, divisas, aseguradores, etc.).</t>
  </si>
  <si>
    <t>6. Evento Covid-19: Considerando el mismo como cualquier cambio de ley, regulación y/o políticas, bloqueo o embargo impuesto por cualquier entidad gubernamental o autoridad sanitaria que afecte a los trabajos y que esté relacionada, directa o indirectamente, con el evento sobrevenido – Covid 19 – ya sea en el ámbito nacional y/o internacional y que tendrá el tratamiento de “Evento Eximente de Responsabilidad” dentro del contrato.</t>
  </si>
  <si>
    <t>Como consecuencia de dicha paralización de los trabajos, el Concesionario tendrá derecho a un día de extensión por cada día de suspensión, más [X] días de movilización, así como al pago de cualquier coste y/o extracoste que dicha paralización genere al Concesionario.</t>
  </si>
  <si>
    <t>En particular, en relación con el romanillo (5) anterior, los efectos derivados de dichas perturbaciones en los mercados financieros darán derecho al Concesionario a, sin carácter limitativo, lo siguiente;</t>
  </si>
  <si>
    <t>• Ajustes de precio debido a inflación adicional generada durante el periodo de suspensión (en comparación con la prevista en los momentos previos a que se conociese el evento causante de la suspensión);</t>
  </si>
  <si>
    <t>• Ajustes de precio debido a variaciones de tipo de cambio que afecten a los costes del proyecto (en comparación con los previstos en los momentos previos a que se conociese el evento causante de la suspensión);</t>
  </si>
  <si>
    <t>• Variación de las condiciones de los seguros aportados (o pendientes de aportar) de acuerdo con lo que sea aceptado por el mercado asegurador, así como posibles variaciones de costes impuestas por las compañías aseguradoras como consecuencia del evento;</t>
  </si>
  <si>
    <t>• Variación de las condiciones de las garantías aportadas (o pendientes de aportar) de acuerdo con lo que sea aceptado por los mercados financieros, así como posibles variaciones de costes impuestas por las entidades financieras como consecuencia del evento;</t>
  </si>
  <si>
    <t>• Los costes que puedan surgir como consecuencia de restricciones en la circulación de capitales;</t>
  </si>
  <si>
    <t>• Las posibles variaciones de impuestos, tasas de cualquier tipo y de cotizaciones sociales generadas por el evento en cuestión;</t>
  </si>
  <si>
    <t>• Renegociación con el cliente de la composición del consorcio constructor en caso de que un componente del consorcio entre en procedimientos de recuperación judicial como consecuencia del evento;</t>
  </si>
  <si>
    <t>Si la suspensión por el Coronavirus durase más de 12 meses continuos, se considerará suspensión prolongada, dando derecho al Concesionario a terminar el contrato. Las consecuencias de dicha terminación se equipararán a las consecuencias de una terminación por causas no imputables al Concesionario, debiendo por tanto éste ser compensada por cualquier costo en que pueda incurrir como consecuencia de dicha terminación, así como por los daños y perjuicios a los que tenga que hacer frente.”</t>
  </si>
  <si>
    <t>Aun siendo conscientes de las nuevas provisiones incluidas en la Capítulo 7.4 Fuerza Mayor Predial (numerales "iv" a "x"), algunos de los plazos propuestos para que aplique el Evento Eximente de Responsabilidad entendemos son excesivamente prolongados y pueden complicar sobremanera la bancabilidad del Proyecto.</t>
  </si>
  <si>
    <t>Capítulo 7.4 del Contrato Parte General</t>
  </si>
  <si>
    <t xml:space="preserve">Se solicita que los plazos definidos en los numerales "iv", "vi", "viii" y "x" sean revisados y reemplazados por la mitad de los actuales. </t>
  </si>
  <si>
    <t>Se solicita que los Eventos de Fuerza Mayor definidos en el Contrato (incluyendo la Fuerza Mayor Predial, la Fuerza Mayor Ambiental y la Fuerza Mayor por Redes) sean además de Eventos Eximentes de Responsabilidad, Eventos de Compensancion, siendo estos eventos aquellos que dejan indemnes al Concesionario y por tanto reequilibrandole a la posición anterior a su ocurrencia.</t>
  </si>
  <si>
    <t>Capítulo 14 del Contrato Parte General</t>
  </si>
  <si>
    <t xml:space="preserve">Se informa al interesado que no se acepta su observación. La existencia de un evento de Fuerza Mayor tiene como consecuencia directa que la obligación afectada por este evento no será exigible al Concesionario por el tiempo en que persista la situación que dio origen a la existencia del evento de Fuerza Mayor. La obligación pendiente de cumplimiento únicamente será exigible al Concesionario cuando la Fuerza Mayor no impida su cumplimiento. 
en lo referente a la inclusión de un mecanismo de compensación específico para el Concesionario, se precisa que de conformidad con la Sección 14.2 (g) del Contrato Parte General cuando quiera que durante la ejecución del Contrato surjan Eventos Eximentes de Responsabilidad que obliguen al Concesionario a paralizar la ejecución de las obras o labores derivadas de la ejecución de este Contrato, la ANI podrá reconocer únicamente al Concesionario los costos ociosos de la mayor permanencia en obra que se llegaren a causar por estos hechos, mediante el reconocimiento de una suma diaria que definirán las Partes de mutuo acuerdo, 
Tal reconocimiento se dará siempre y cuando se cumplan los requisitos definidos en la sección 14.2 (g) (iii)
</t>
  </si>
  <si>
    <t>Respecto a la cesión del Contrato tras el primer año de la Etapa de Operación y Mantenimiento se solicita que sea libre, esto es que no se requiera la autorización de la ANI o esta autorización sea automática si se cumplen los requisitos definidos en 19.6.b.iii.</t>
  </si>
  <si>
    <t>Capítulo 19.6.b.iii Cesión del Contrato</t>
  </si>
  <si>
    <t>Se informa al interesado que no se acepta su observación. El artículo 41 de la Ley 80 de 1993 establece que los contratos estatales son intuitu personae y, en consecuencia, una vez celebrados no podrán cederse sin previa autorización escrita de la entidad contratante. En esta medida, la cesión del Contrato siempre requerirá autorización previa y escrita por parte de la ANI.</t>
  </si>
  <si>
    <t>Se solicita revisar el carácter irrevocable de la Decisión de Amigable Componedor (según clausula 15.1.f.vi) e introducir la opción de acudir a Arbitraje Internacional si alguna de las Partes no está de acuerdo con la Decisión del Amigable Componedor cuando la cuantía en discusión sea superior a [XX] Pesos</t>
  </si>
  <si>
    <t>Capítulo 15.1 del Contrato Parte General</t>
  </si>
  <si>
    <t>Respecto a la medición de los Indicadores en la Unidad Funcional 0 (Capítulo 6 del Apendice Técnico 4 y sus referencias al Indice de Cumplimiento en el resto de documentos) se solicita un periodo de "Puesta a Punto" de [24] meses para poder actuar sobre la infraestructura recibida con el Acta de Inicio y que el Concesionario no se vea penalizado por la gestión previa sobre la Infraestructura.</t>
  </si>
  <si>
    <t>Capítulo 6 Apéndice Técnico 4</t>
  </si>
  <si>
    <t xml:space="preserve">Se solicita que toda la información incluida en el Cuarto de Datos esté lo más actualizada posible (especialmente en referente a Estudio de Pavimentos y Estructuras Existentes). En caso que fuera necesaria la actualización de esa misma información se propone que la Autoridad ejecute los Estudios necesarios para homogeneizar la información disponible para todos los Oferentes y evitar múltiples actuaciones sobre la infraestructura que afecten a los usuarios. </t>
  </si>
  <si>
    <t>Cuarto de Información de Referencia</t>
  </si>
  <si>
    <t xml:space="preserve">Se le informa al interesado que tal y como se establece en el capítulo 13 del contrato, las condiciones de entrega de infraestructura son un riesgo que asumirá el futuro concesionario, por lo que todos los posibles interesados son responsables de realizar la debida diligencia, en cuanto al estado de la infraestructura que podrían recibir. De todas formas, se aclara que en el Cuarto de Datos  se encuentra  la información  más reciente con la que cuenta la Entidad. </t>
  </si>
  <si>
    <t>Se ha hecho una revisión del cuarto de datos del proyecto, y echamos en falta la siguiente documentación:</t>
  </si>
  <si>
    <t>Se informa al interesado que se harán ajustes y complementaciones al cuarto de datos</t>
  </si>
  <si>
    <t>A. Informe MV-C04-DG-IF-001-R0 (Diseño Geométrico Corredor 04) Pág 20: “Se añaden en el Anexo 3, Planos, los diseños correspondientes a las obras que se ejecutarán por parte de la Gobernación del Valle descritos anteriormente (tramo Cali – Cavasa – Candelaria) y, a mayores, los diseños de mejoramiento realizados por el Consorcio Iceacsa – Bonus.” No se ubica el Anexo 3 en la documentación aportada. Ademas:</t>
  </si>
  <si>
    <t>B. Las carpetas:</t>
  </si>
  <si>
    <t xml:space="preserve">D1222 ANEXO 2. FICHAS DE CAMPO ICEACSA  </t>
  </si>
  <si>
    <t xml:space="preserve">D1223 ANEXO 3. PLANO DE LOCALIZACIÓN DE OBRAS  </t>
  </si>
  <si>
    <t xml:space="preserve">D1224 ANEXO 4. INFORMACIÓN EXISTENTE  </t>
  </si>
  <si>
    <t>D3123 ANEXO 2. FICHAS DE CAMPO ICEACSA</t>
  </si>
  <si>
    <t>D3124 ANEXO 4. INFORMACIÓN EXISTENTE</t>
  </si>
  <si>
    <t>D4123 ANEXO 2. FICHAS DE CAMPO ICEACSA</t>
  </si>
  <si>
    <t>D4124 ANEXO 4. INFORMACIÓN EXISTENTE</t>
  </si>
  <si>
    <t xml:space="preserve">Agradecemos publiquen dicha información a la brevedad para proceder con el análisis de la misma. </t>
  </si>
  <si>
    <t>Se solicita confirmación que el Cuarto de Información sigue disponible en la direccion web que aparece en el Borrador del Pliego</t>
  </si>
  <si>
    <t>https://anionline-sharepoint.com/:f:/g/personal/cdatosani02_ani_gov_co/EslXe6ayJ55PiZWYrSYGc24B367_s7v1-Bp-wOEyEKefcQ?e=XWfQDi</t>
  </si>
  <si>
    <t>Pues en los últimos días no se ha sido capaz de acceder a ella.</t>
  </si>
  <si>
    <t>Igualmente se solicita confirmen que todos los archivos que aparecen en el xls "ÍNDICE CDD NMVVC ACP" están realmente volcados en esas carpetas. Se han encontrado numerosos documentos faltantes (aparte de los mencionados en las anteriores Observaciones)</t>
  </si>
  <si>
    <t>Se solicita revisión de Parte Especial 5.1.b.i) 1: Requisito de longitud mínima de 1.000m de Puentes y Viaductos con un máximo de 5 contratos y al menos uno de 150m no tiene sentido. La longitud mínima para cumplir con el primer requisito es ya de 200m (1.000/5) por lo tanto la segunda premisa sobra o son erróneas las cifras.</t>
  </si>
  <si>
    <t>Capítulo 5.1 del Contrato Parte Especial</t>
  </si>
  <si>
    <t>Se solicita revisió de los valores de los porcentajes de la Parte Especial 4.1, cuyo sumatorio no alcanza el 100,00% para algunos casos, debido seguramente a los redondeos de las cifras.</t>
  </si>
  <si>
    <t>Capítulo 4.1 del Contrato Parte Especial</t>
  </si>
  <si>
    <t>Se solicita revisión de la fecha incluida en el Pliego 2.3 Cronograma: Plazo máximo para expedir Adendas: 31/julio/2019</t>
  </si>
  <si>
    <t>Capítulo 2.3 del Borrador de Pliego de Condiciones</t>
  </si>
  <si>
    <t xml:space="preserve">La observación es procedente, se ajustó en los Avisos Modificatorios.  </t>
  </si>
  <si>
    <t>Solicitamos comedidamente nos indiquen preferiblemente georeferenciado en un plano en la zona de influencia del proyecto lo siguiente:</t>
  </si>
  <si>
    <t>Cápitulo IV Infraestructura Proyectada del Apedice Técnico 1</t>
  </si>
  <si>
    <t>1. Nombre, dirección y telefonos de personas, empresas que operen canteras de material del área de influencia del proyecto que CUMPLAN principalmente con los requisitos de calidad (Dureza, Durabilidad, CBR%) que además dentro de su concesión ambiental tengan los permisos al dia y dispongan de un volumen considerable para atender el proyecto durante su etapa de construcción y mantenimiento.</t>
  </si>
  <si>
    <t>2. Nombre, dirección y telefonos de personas, empresas que dispongan de ZODME autorizados por la Alcaldia y/o autoridad ambiental competente en la zona, para la disposición de material de Excavación en toda la longitud del proyecto, adicional zonas de disposición de escombros igualmente con permisos al día y con una capacidad en volumen de disposición que cumpla con las necesidades del proyecto durante su construcción y posterior mantenimiento rutinario en la concesión.</t>
  </si>
  <si>
    <t>En el presente proceso de licitación mas especificamente en la UF2 se menciona el alcance en los mantenimientos periodicos y construcción de retornos que se deben realizar en los tramos comprendidos entre Santander de Quilichao y Palmira el Cerrito, ahora bien, teniendo en cuenta la concesión que actualmente se encuentra en ejecución como es el caso de Popayan - Santander de Quilichao, solicitamos a la entidad nos indique si existe alguna responsabilidad entre ambos concesionarios en cuanto a la construcción de algún retorno en especifico o zonas de transición y/o empalmes en esta zona mas especificamente del municipio de Santander de Quilichao.</t>
  </si>
  <si>
    <t>Cápitulo IV Infraestructura Proyectada del Apendice Técnico 1</t>
  </si>
  <si>
    <t>HERDOIZA CRESPO CONSTRUCCIONES S.A.</t>
  </si>
  <si>
    <t>Proyecto de pliego de condiciones numerales 4.3.4 literal c, numeral 1.3.43 y numeral 1.3.25</t>
  </si>
  <si>
    <t>JURÍDICA</t>
  </si>
  <si>
    <t>Se aclara al interesado que con el fin de acreditar los requisitos de Capacidad Financiera deberá aportar sus Estados Financieros con corte a 31 de diciembre de 2019 o el último cierre ordinario si fuese distinto.  
Así mismo, se aclara al interesado que aun cuando los Estados Financieros que debe presentar tendrán corte a 31 de diciembre de 2019 o el último cierre ordinario si fuese distinto, el valor que se verificará como Patrimonio Neto mínimo será la suma de Quinientos ochenta y un mil cuatrocientos millones ($581.400.000.000) Pesos del Mes de Referencia. 
De acuerdo con lo anterior, se sugiere al interesado revisar las reglas de conversión de monedas contenidas en la Sección 6.5, específicamente las reglas previstas para actualizar los Pesos a Pesos del Mes de Referencia contenidas en la Sección 6.5.3.</t>
  </si>
  <si>
    <t>Solicitamos se aclare para el requisito habilitante de Capacidad Financiera se indique el corte de los estados financieros que se deben presentar.</t>
  </si>
  <si>
    <t>HERDOIZA CRESPO CONSTRUCCIONES S.A., 22/04/2020</t>
  </si>
  <si>
    <t>Considerando los efectos económicos COVID – 19 en América Latina, se tiene previsto algún mecanismo que permita administrar el riesgo de variación de precios en insumos importados por efectos de devaluación, considerando que de acuerdo al Pliego  está asignado en su totalidad al Concesionario.</t>
  </si>
  <si>
    <t>Contrato Parte General Capítulo XIII</t>
  </si>
  <si>
    <t xml:space="preserve">Se aclara al interesado que tal y como ha sido la premisa de todos los programas de concesiones de APP, el riesgo constructivo dentro del cual se encuentra el riesgo por variaciones en los precios de los insumos es un riesgo transferido al privado y no se ha considerado realizar ajustes respecto al mismo. </t>
  </si>
  <si>
    <t>El no pago de la tarifa por parte de los usuarios es un riesgo asignado al concesionario, ¿qué sucede si el mismo se deriva por construcción de rutas alternas por parte del Concedente?</t>
  </si>
  <si>
    <t>En el caso de ser un oferente internacional, para la acreditación del puntaje adicional de Oferentes con Trabajadores en Condición de Discapacidad, ¿se toma como válido cuando las personas con discapacidad residen y desempeñan sus actividades en el mismo lugar donde está domiciliada la Matriz?</t>
  </si>
  <si>
    <t>Proyecto de pliego de condiciones numeral 5.6</t>
  </si>
  <si>
    <t xml:space="preserve">De conformidad con el Proyecto de Pliego de Condiciones y el Decreto 392 de 2018, el requisito relacionado con el puntaje adicional por vinculación de personas en condición de discapacidad debe ser acreditado directamente por el proponente o el integrante de la estructura plural. En consecuencia, no es viable que se acredite a través de la Matriz. 
</t>
  </si>
  <si>
    <t xml:space="preserve">En caso de que las condiciones de financiación y/o costos de liquidez se modifiquen sustancialmente en el proyecto por condiciones ajenas al Concesionario, como las evidenciadas en la reciente pandemia COVID – 19, es posible diseñar un esquema de compartir el mismo con la entidad Concedente.     </t>
  </si>
  <si>
    <t xml:space="preserve">Se aclara al interesado que tal y como ha sido la premisa de todos los programas de concesiones de APP, el riesgo por variaciones en las condiciones de financiación, es un riesgo transferido al privado y no se ha considerado realizar ajustes respecto al mismo. Adicionalmente, el privado deberá considerar las condiciones actuales bajo la coyuntura a la par de las consideraciones que deberá tener el interesado al momento de presentar su oferta. </t>
  </si>
  <si>
    <t>Conforme consta en el proyecto de pliego de Condiciones, los documentos que provengan del exterior, deberán ser apostillados.  Sin embargo, debido a la emergencia sanitaria a causa del COVID-19, existen países que tienen este tipo de trámites suspendidos y no realizan apostillas por ningún concepto. De persistir la suspensión de apostillas en algunos países, se permitirá la presentación de documentación proveniente del extranjero sin apostilla?</t>
  </si>
  <si>
    <t>Proyecto de pliego de condiciones numeral 6.4</t>
  </si>
  <si>
    <t xml:space="preserve">No se acoge la solicitud del interesado. Los documentos públicos otorgados en el extranjero deberán contar con el requisito de apostilla o legalización, según corresponda, teniendo en cuenta que se trata de un requisito establecido en la Ley y que los Decretos expedidos con ocasión de la Emergencia Sanitaria no contemplan excepción alguna para este trámite
</t>
  </si>
  <si>
    <t xml:space="preserve">Considerando que en el proceso se encuentran interesadas en participar inversionistas extranjeros, así como empresas extranjeras, se solicita que en el caso de arbitrajes, el contrato contemple la opción de someter la solución de controversias directamente al arbitraje internacional para dar tranquilidad a las empresas extranjeras.  Adicionalmente, mantener el mecanismo de amigable componedor para la instancias establecidas en el contrato. </t>
  </si>
  <si>
    <t>Contrato Parte General Capítulo XV</t>
  </si>
  <si>
    <t>¿Qué mecanismo de compensación se aplicará al Contratista para las intervenciones que deben ejecutarse por decisiones de autoridad, por fuerza mayor y por otras causas no previstas contractualmente?</t>
  </si>
  <si>
    <t>Contrato Parte General</t>
  </si>
  <si>
    <t xml:space="preserve">Se precis a al observante que la Minuta regula los diferentes eventos en que se solicita el desarrollo de nuevas intervenciones o actividades a cargo del concesionario como consecuencia por ejemplo de una decisión proveniente de una Autoridad Estatal, una Fuerza Mayor, o causas no imputables a este, para los cuales se establecen un mecanismo de compensación particular en cada caso.
Por lo tanto, se aclara que no hay un único mecanismo de compensación aplicable a dichos eventos. </t>
  </si>
  <si>
    <t xml:space="preserve">¿Conforme consta de la Parte Especial del Contrato, en el Capítulo V “Etapa Preoperativa”, se establece que el Contratista encargado de la ejecución del Contrato de Construcción deberá cumplir los requisitos de experiencia mínimos, previstos en dicho documento. Al respecto, se consulta: La experiencia se puede demostrar a través de contratos ejecutados en el exterior o solo dentro del territorio nacional? </t>
  </si>
  <si>
    <t>Contrato Parte Especial Capítulo V</t>
  </si>
  <si>
    <t>Se informa al interesado que la experiencia mínima requerida podrá ser acreditada a través de contratos ejecutados en el exterior siempre y cuando se cumpla con los requisitos de acreditación previstos para el efecto en el Contrato</t>
  </si>
  <si>
    <t xml:space="preserve">En cuanto a la acreditación de experiencia a acreditarse para la ejecución del Contrato de Construcción en virtud de lo previsto en la Parte Especial, Capítulo V, ¿se puede acreditar la experiencia a través de otras empresas en la que el Contratista sea accionista o parte del mismo grupo empresarial? </t>
  </si>
  <si>
    <t>Respecto a los pasos nacionales por centros poblados, el concesionario se haría cargo únicamente de los mencionados en las tablas respectivas, o se deberá hacer cargo de todos los pasos poblados que se encuentren sobre el trazado de las vías concesionadas.</t>
  </si>
  <si>
    <t>Apéndice 1</t>
  </si>
  <si>
    <t>Se aclara al interesado que el Apéndice Técnico 1 incluye todos los pasos nacionales identificados en los tramos objeto del Proyecto.</t>
  </si>
  <si>
    <t>CONCIVILES S.A., 22/04/2020</t>
  </si>
  <si>
    <t>1. Por favor verificar si la nota de la Hoja “OPEX”, del APÉNDICE FINANCIERO 1 INFORMACIÓN FINANCIERA, que indica:</t>
  </si>
  <si>
    <t>Apéndice Financiero 1</t>
  </si>
  <si>
    <t xml:space="preserve">Financiero </t>
  </si>
  <si>
    <t xml:space="preserve">Se aclara al interesado que su entendimiento es correcto y se procede a realizar el ajuste en la nota para que haga referencia al OPEX. </t>
  </si>
  <si>
    <t>“ ** Las subcuentas que se tienen en cuenta para el capex son : interventoría, soporte, MASC y Polca en etapa preoperativa”. Esta la misma nota de la hoja “CAPEX”, y en la hoja OPEX, entendemos se refiere a la etapa de Operación y mantenimiento</t>
  </si>
  <si>
    <t>2. La Parte especial del contrato establece:” 3.4 Valor del Contrato El Valor del Contrato equivale a Tres Billones Seiscientos Noventa Y Siete Millones Ciento Veintiséis Mil Doscientos Cuarenta Y Nueve Pesos del Mes de Referencia ($3.000.697.126.249).”
Entendemos que por “Valor del Contrato”, lo establecido en  el Decreto 1082 de 2105 “Artículo “2.2.2.1.4.3. Valor del contrato en proyectos de Asociación Público Privada de iniciativa pública. El valor de los contratos de los proyectos de Asociación Público Privada de iniciativa pública comprende el presupuesto estimado de inversión que corresponde al valor de la construcción, reparación, mejoramiento, equipamiento, operación y mantenimiento del proyecto según corresponda.” Es decir el “VALOR DEL CONTRATO”, no incluye los costos de: Comisión de éxito, costos de interventoría, costos prediales, costos de compensación ambiental subcuentas de contingencia, policía de carreteras etc.
Igualmente el Contrato Parte especial establece:</t>
  </si>
  <si>
    <t>Contrato Parte Especial</t>
  </si>
  <si>
    <t>Entendemos que por “Valor del Contrato”, lo establecido en  el Decreto 1082 de 2105 “Artículo “2.2.2.1.4.3. Valor del contrato en proyectos de Asociación Público Privada de iniciativa pública. El valor de los contratos de los proyectos de Asociación Público Privada de iniciativa pública comprende el presupuesto estimado de inversión que corresponde al valor de la construcción, reparación, mejoramiento, equipamiento, operación y mantenimiento del proyecto según corresponda.” Es decir el “VALOR DEL CONTRATO”, no incluye los costos de: Comisión de éxito, costos de interventoría, costos prediales, costos de compensación ambiental, subcuentas de contingencia, policía de carreteras etc.</t>
  </si>
  <si>
    <t>Igualmente el Contrato Parte especial establece:</t>
  </si>
  <si>
    <t>“1.194 Para este Proyecto se entenderá por VPIP: es el valor presente del Recaudo Proyecto calculado a la Fecha de Inicio del Contrato expresado en Pesos del Mes de Referencia. El VPIP equivale a Dos Billones Setecientos Ochenta Y Cuatro Mil Seiscientos Cinco Millones Setecientos Noventa Y Seis Mil Cuatrocientos Cuarenta Y Nueve Pesos ($2.784.605.796.449) en valor presente de la Fecha de Inicio y expresado en Pesos del Mes de Referencia en valor presente de la Fecha de Inicio y expresado en Pesos del Mes de Referencia. “ Este es el valor tope de la oferta económica (Ver numeral 8.5.2 del Proyecto de Pliego de Condiciones)
También se establece em la Parte Especial “1.17 Para el presente Proyecto no se encuentra previsto realizar aportes por parte de la ANI” (subrayado fuera del texto).</t>
  </si>
  <si>
    <t xml:space="preserve">La entidad aclara al interesado que el contrato indica que el VPIP corresponde a una cifra expresada en valor presente (es decir que está ajustada tanto por inflación como por la tasa de descuento establecida en el Contrato Parte Especial), mientras que el Valor del Contrato es una cifra que se encuentra expresada en pesos constantes pero no en valor presente. En este sentido, estas cifras no son comparables. Por lo anterior, la estimación de Ingresos de Peajes, siendo estos la única fuente de ingresos, se considera suficiente para la ejecución total de las obligaciones del proyecto. 
</t>
  </si>
  <si>
    <t xml:space="preserve">Bajo las anteriores consideraciones, encontramos un desequilibrio, entre el VPIP ofertado y el valor del contrato y costos adicionales enunciados, estimados en forma preliminar, en más de $650.000.000.000 COP. Atentamente solicitamos aclarar si existe otra fuente de ingresos, prevista en los documentos de la licitación, que permita asumir estos costos. </t>
  </si>
  <si>
    <t xml:space="preserve">La entidad aclara al interesado que el contrato indica que el VPIP corresponde a una cifra expresada en valor presente (es decir que está ajustada tanto por inflación como por la tasa de descuento establecida en el Contrato Parte Especial), mientras que el Valor del Contrato es una cifra que se encuentra expresada en pesos constantes pero no en valor presente. En este sentido, estas cifras no son comparables. Por lo anterior, la estimación de Ingresos de Peajes, siendo estos la única fuente de ingresos, se considera suficiente para la ejecución total de las obligaciones del proyecto. </t>
  </si>
  <si>
    <t>1.   Teniendo en cuenta la magnitud del proyecto, y la extensa documentación que se debe revisar, para su evaluación, atentamente solicitamos ampliar el plazo para observaciones en la etapa de proyecto de Pliego de Condiciones. Solicitamos una ampliación no menor a 30 días, teniendo en cuenta la contingencia por la pandemia del COVID 19.</t>
  </si>
  <si>
    <t xml:space="preserve">Cronograma </t>
  </si>
  <si>
    <t xml:space="preserve">De acuerdo con las observaciones presentadas por los Interesados y con el fin de otorgar plazo prudencial para la revisión de los Documentos del Proceso de Contratación, se modificó el cronograma a través de los Avisos Modificatorios publicados en SECOP. </t>
  </si>
  <si>
    <t>GRUPO ETHUSS S.A.S, 22/04/2020</t>
  </si>
  <si>
    <t>Solicitamos a la entidad contratante, se suspenda y/o amplie en 3 meses el plazo total para presentar observaciones al proyecto de pliego de condiciones; término que sugerimos se inicie a contar desde el vencimiento del plazo fijado actualmente para tal efecto y que se vence el día 22 de abril de 2020. Ó bien se amplíe en 3 meses el plazo para el Cierre del plazo de la Licitación Pública ahora fijado en la fecha del 6 de agosto de 2020.</t>
  </si>
  <si>
    <t>Tiene como sustento nuestra solicitud, que desde el pasado mes de marzo de 2020, el país producto de la pandemia conocida como COVID-19 ha emidido una serie de decretos gubernamentales como lo son el 457 y 531 de 2020 que han restringido la movilidad de personas y vehículos, lo cual sin lugar a dudas ha impedido que como oferente podamos realizar trabajo de campo para validar los datos suministrados por la entidad contratante para la vialbilizacíon financiera, técnica y jurídica del proyecto, tales como el estudio de tráfico, estudio de los diseños y estado actual de la vía, validación de los estados técnicos reportados entre otros y que corresponden a datos elementales que debe tomar directamente el contratista, para comparar respecto de aquellos suministrados por la ANI y así presentar una oferta acorde a los intereses de las partes.</t>
  </si>
  <si>
    <t>Adicionalmente, no solamente se ha perdido tiempo valioso durante la cuarentena para la validación de todo lo anterior, sino que adicionalmente el Gobierno Nacional, en complemento a la prohibición de circulación de vehículos y personas, ha emitido políticas públicas para el desarrollo de actividades como las requeridas anteriormente, y en las que se imponen fuertes protocolos de bioseguridad los cuales, apenas se conocen tal como así lo determina circurlar conjunta de los Ministerios del Interior, Transporte y Salud No. 003 de 2020, lo cual sin lugar a dudas impactará la manera como se realicen los estudios anteriores para presentar nuestra propuesta.</t>
  </si>
  <si>
    <t>Lo anterior, corresponde a proyecciones y estudios básicos que, como oferentes que actualmente ejecutan proyectos para la ANI, sabemos que son indispensables para presentar una oferta competitiva, pero sobre todo seria y responsable que permita a la entidad en virtud de la función pública y contratación administrativa, hacer un juicio de valor acorde a la realidad.</t>
  </si>
  <si>
    <t>Por todo lo anterior, es claro que el cronograma de participación en el proyecto se encuentra seriamente afectado y su recuperacíon depende también de protocolos y medidas adicionales no contempladas al momento de la publicación del proyecto de pliego de condiciones y que ahora resulta necesario tomar en consideración-</t>
  </si>
  <si>
    <t>Por ello, como Contratistas responsables y conocedores de la realidad del país que impacta el proyecto, reiteramos la solicitud de ampliar el plazo de presentación de observaciones al proyecto de pliego de condiciones; plazo que podrá reflejarse inmediatamente o posteriormente con la publicación del pliego definitivo de condiciones y que sin lugar a dudas permitirá la pluraridad de ofertentes tan protegida en la ley 80 de 1993.</t>
  </si>
  <si>
    <t>ODINSA S.A., 22/04/2020</t>
  </si>
  <si>
    <t xml:space="preserve">Teniendo en cuenta la complejidad del proyecto solicitamos modificar el cronograma del proceso de licitación toda vez que con las restricciones de movilidad y en general la afectación derivada de la pandemia del COVID-19 y las medidas tomadas por el Gobierno, se dificulta llevar a cabo las actividades para el estudio, análisis y presentación de la oferta. </t>
  </si>
  <si>
    <t>Proyecto de Pliego de Condiciones sección 2.3 “CRONOGRAMA DE LA LICITACIÓN PÚBLICA”</t>
  </si>
  <si>
    <t>Respecto al Cupo de Crédito Especifico se solicita que los oferentes que no hayan sido adjudicatarios puedan revocar el Cupo Crédito Específico una vez sea publicada la resolución de adjudicación del proceso.</t>
  </si>
  <si>
    <t>Proyecto de Pliego de Condiciones sección 4.3.6 “Cupo de Crédito Específico”</t>
  </si>
  <si>
    <t>Se solicita confirmar si existe un nuevo documento CONPES de 5G como marco de referencia sobre el cual se basa la matriz de riesgos y el contrato del proyecto?  o si la matriz de riesgos se acoge al CONPES 3760 de 4G vigente?</t>
  </si>
  <si>
    <t>Parte General. Anexo 22 Matriz de riesgos</t>
  </si>
  <si>
    <t>Contrato Parte General - Parte Especial</t>
  </si>
  <si>
    <t>FINANCIERA - RIESGOS</t>
  </si>
  <si>
    <t xml:space="preserve"> - Los estudios de Factibilidad cuentan con un estudio de trafico</t>
  </si>
  <si>
    <t xml:space="preserve"> - De acuerdo con el numeral 3.4 (d), al terminar la Etapa de Operación y Mantenimiento, la ANI no reconocerá al concesionario el saldo no devengado del VPIP y al no contar con Soporte de Ingresos, el riesgo comercial es asumido 100% por el Concesionario.</t>
  </si>
  <si>
    <t xml:space="preserve"> - “Las proyecciones de ingresos por concepto de tráfico están relacionadas con variables macroeconómicas, y de desarrollo regional, entre otras, las cuales son variables exógenas al desarrollo de los proyectos y por ende de difícil control por parte del concesionario, quien controla de manera efectiva la calidad y disponibilidad de la infraestructura a su cargo.” - Documento Conpes 3760</t>
  </si>
  <si>
    <t xml:space="preserve"> - Los ingresos del proyecto provendrán exclusivamente por el recaudo de peajes sin tener en cuenta los ingresos por explotación comercial.</t>
  </si>
  <si>
    <t>Contrato Parte Especial "tabla de referencias a la Parte General numeral 1.55</t>
  </si>
  <si>
    <t>Se aclara al interesado que el objetivo de la regulación consiste en establecer que cualquier corredor vial contemplado en el proceso de estructuración, y también aquellos asociados a el/los Plan/es de Ordenamiento Territorial o Departamental pertinentes, así como los que se encuentran registrados en el RUAPP y su prefactibilidad ha sido aprobada o se hayan contratado la estructuración pública por parte de entidades estales previo al cierre del Proceso de Selección del Proyecto, sobre los cuales deberán realizarse un análisis en la Debida diligencia por parte del interesado al momento de realizar su oferta.</t>
  </si>
  <si>
    <t>Dentro de los proyectos que se excluyen del concepto de elusión, no pueden determinarse hasta la fecha de recepción de Ofertas dentro del proceso de Selección, toda vez que estos proyectos excluidos del concepto de Elusión han debido ser considerados en la estructuración del proyecto, etapa que se entiende cerrada al abrir el proceso de Selección.</t>
  </si>
  <si>
    <t>En la Parte Especial en el concepto de Elusión se excluyen los proyectos que se encuentran incorporados en el/los Plan/es de Ordenamiento Territorial o Departamental pertinentes, así como los que se encuentran registrados en el RUAPP y su prefactibilidad ha sido aprobada o se hayan contratado la estructuración pública por parte de entidades estales al momento de la recepción de Ofertas dentro del Proceso de Selección del Proyecto, esta exclusión genera incertidumbre para dimensionar el riesgo por parte del privado, toda vez que no se tendrá certeza de las características de los proyectos que se encuentran en etapa de estructuración y menos de aquellos contratos para estructuración pública que se suscriban antes de la presentación de la oferta.</t>
  </si>
  <si>
    <t xml:space="preserve">Contrato Parte Especial “TABLA DE REFERENCIAS A LA PARTE GENERAL” 1.116; 13.3 (i); 1.45, 3.3(g)(iv), </t>
  </si>
  <si>
    <t>Se aclara al interesado que la observación respecto a la eliminación de la definición de Nuevas Vías Públicas,  no se considera pertinente toda vez que esta definición es la que permite delimitar la materialización del riesgo, y tal y como se menciona en respuestas anteriores deberá ser parte de la Debida Diligencia de cada interesado realizar los análisis respectivos para la etapa comprendida entre la apertura del proceso y cierre del mismo.</t>
  </si>
  <si>
    <t>Dentro de los proyectos que "Tampoco se entenderán como Nuevas Vías Públicas" no pueden determinarse hasta la fecha de recepción de Ofertas dentro del proceso de Selección, toda vez que estos proyectos excluidos del concepto de Elusión han debido ser considerados en la estructuración del proyecto, etapa que se entiende cerrada al abrir el proceso de Selección.</t>
  </si>
  <si>
    <t>Se solicita incluir dentro de los documentos del proceso y desde la fecha de apertura de la licitación, la resolución mencionada en el numeral "4.2 Estructura Tarifaria"</t>
  </si>
  <si>
    <t>Contrato Parte Especial Sección 4.2 (a)</t>
  </si>
  <si>
    <t>sección 6.3</t>
  </si>
  <si>
    <t>Se informa al interesado que la franja fue definida teniendo en cuenta el espacio necesario para la línea de chaflanes y conservando en todos los casos el ancho mínimo requerido por la Ley 1228 de 2008. Así mismo, en tramos que por su condición urbana rige el POT o instumentos de ordenación equivalentes, la sección vial y franja fue definida según estos planes.</t>
  </si>
  <si>
    <t>Esto es, si el ancho de la Franja fue estalecido de acuerdo con la ley 1228 o si por el contrario la franja fue definida por los chaflanes más un ancho adicional. De ser este último el caso, por favor indicar cual fue el ancho adicional establecido.</t>
  </si>
  <si>
    <t>sección 6.2 b)</t>
  </si>
  <si>
    <t>RIESGOS</t>
  </si>
  <si>
    <t xml:space="preserve">Se establece que el concesionario deberá asumir los acuerdos establecidos de consultas previas inidicadas en el capitulo IX del Apendice Técnico 1. Por favor confirmar si los recursos para cumplir con los acuerdos establecidos se tomarían de la Subcuenta Compensaciones Socioambientales? </t>
  </si>
  <si>
    <t>Numeral 13.2 CONTRATO PARTE GENERAL</t>
  </si>
  <si>
    <t>FINANCIERO</t>
  </si>
  <si>
    <t>Se aclara al interesado que su apreciación no es correcta. Las reglas previstas para el uso de recursos de la Subcuenta Compensaciones Socioambientales se encuentran en las Secciones 3.14(g)(vi) y 8.1(d) del Contrato Parte General y no incluye los acuerdos protocolizados relacionados en el Apéndice Técnico 1.</t>
  </si>
  <si>
    <t xml:space="preserve">Por favor confirmar si los recursos para cumplir con los acuerdos establecidos se tomarían de la Subcuenta Compensaciones Socioambientales? </t>
  </si>
  <si>
    <t xml:space="preserve">Se solicita corregir el numeral 8.1 (d) para que los compromisos que sean protocolizados derivados de nuevas consultas previas sean asumidos 100% por la ANI toda vez que este riesgo debe ser asumido por la ANI como “Obras Menores” como lo establece el numeral 13.3 c). </t>
  </si>
  <si>
    <t>Contrato Parte General. 8.1; 13.3</t>
  </si>
  <si>
    <t>En los proyectos de Concesión es común que el Equity aportado sea mayor al Equity contractual y que los costos del proyecto puedan ser menores a las fuentes disponibles en algunos momentos del proyecto.</t>
  </si>
  <si>
    <t>Contrato Parte General numeral 18.3 Terminación Anticipada</t>
  </si>
  <si>
    <t>Solicitamos que las formulas de Liquidación y Terminación anticipada del contrato hagan este reconocimiento al Equity aportado y a todos los costos del proyecto independientemente de las fuentes disponibles. Ya que no incluir estas variables en las formulas va en detrimento de los inversionistas.</t>
  </si>
  <si>
    <t>CONTRATO PARTE ESPECIAL. Página 19 numeral 3.6 (i)</t>
  </si>
  <si>
    <t>La Entidad analizó la solicitud y no la considera procedente por cuanto las obligaciones establecidas en las licencias ambientales enumeradas son necesarias para la adecuada gestión de los aspectos sociales y ambientales de la infraestructura existente que hará parte del Proyecto.</t>
  </si>
  <si>
    <t>Teniendo en cuenta que estos pasivos corresponden a obligaciones de terceros como parte del alcance básico del Contrato de Concesión No, 005 de 1999, Solicitamos aclarar si hay multas pendientes por incumplimiento a las obligaciones establecidas en las Licencias y permisos y de ser así, confirmar cual es el monto de estas obligaciones ambientales (expedientes ambientales 1659, 1015 y 3423 del Ministerio de Ambiente). En todo caso se solicita que se indique el monto máximo a asumir como pasivos ambientales por el nuevo proyecto.</t>
  </si>
  <si>
    <t>El Artículo 2.2.2.3.8.4 del Decreto 1076 de 2015 del 26 de mayo de 2015, señala que “El beneficiario de la licencia ambiental en cualquier momento podrá cederla total o parcialmente, lo que implica la cesión de los derechos y obligaciones de ella se deriva (…)” y no cesión de responsabilidades.
Es así que la ANLA ha señalado en diferentes actos administrativos que “la normativa vigente no contempla alguna posibilidad de cesión de los procesos sancionatorios, los cuales tienen el carácter de intuito personae, por lo cual, la cesión de derechos y obligaciones de una Licencia Ambiental o de un Plan de Manejo Ambiental no implica per se la cesión de los procesos sancionatorios promovidos con ocasión de las infracciones ambientales derivadas de los instrumentos de manejo ambiental, por las que está llamado a responder el titular del instrumento para la época de los hechos”. Por ende, ni procesos sancionatorios, ni multas serán objeto de cesión al adjudicatario de la concesión. Se revisará el Apéndice Técnico y si se encuentra procedente se aclarará en los documentos definitivos.
Actualmente no existe una definición en la normativa ambiental para el término “Pasivo”. Respecto a las licencias ambientales existentes, el Adjudicatario de la concesión debe ejecutar las obligaciones ambientales descritas en el Capítulo IX del Apéndice Técnico 6.
El costo de las obligaciones pendientes de cumplimiento y por ejecutar debe ser valorado por el Oferente teniendo en cuenta que estas obligaciones se definen en el Apéndice Técnico 6 y que puede consultar los expedientes de las licencias ambientales a las que corresponde cada obligación.</t>
  </si>
  <si>
    <t>En las nuevas fórmulas de liquidación se reconoce el minimo entre el costo incurrido y las fuentes de recursos adminisible, lo que castiga si llega a existir un mayor aporte al invertido, pero adicional en las fórmulas se reconoce solo el equity contractual, no el Total. El Equity se multiplica por el factor  FAE (1.0526), no reconocen Deuda Subordinada aportada pero si restan el capital e intereses pagados de esta Deuda. Favor reconsiderar para que sea razonable con lo aportado y sin importar el mecanismo de aporte</t>
  </si>
  <si>
    <t>Parte General</t>
  </si>
  <si>
    <t>Los costos de estructuración a que se hace referencia en la Sección 4.7 de esta Parte Especial no serán tenidos en cuenta para efectos de los Aportes de Equity a que se hace referencia en esta Sección. Favor reconsiderar.</t>
  </si>
  <si>
    <t>Parte Especial</t>
  </si>
  <si>
    <t>Se indica en el numeral: "Se destinarán única y exclusivamente a sufragar las tarifas de peaje de los usuarios de la vía que hayan aportado previamente las sumas depositadas.</t>
  </si>
  <si>
    <t>Parte general 3.14 xii 2) y 4)</t>
  </si>
  <si>
    <t>El beneficiario único de la Subcuenta Tiquetes Prepagados será la ANI."</t>
  </si>
  <si>
    <t>Se solicita eliminar el numeral Parte general 3.14 xii 2)</t>
  </si>
  <si>
    <t>De acuerdo con el numeral 3.10 Reversión Especial del contrato Parte especial, se solicita confirmar si el recaudo de peaje se ve afectado de alguna manera con la reversión especial.</t>
  </si>
  <si>
    <t>Numeral 3.10 Contrato Parte especial</t>
  </si>
  <si>
    <t>En el caso de Empresas que consolidan en grupos empresariales, Cual debe ser utilizado para realizar el evaluacion Capacidad Financiera los estados finacieros Consolidados o los Separados ?</t>
  </si>
  <si>
    <t>Capacidad financiera numeral 4.3 y numeral 1.3.25 del Pliego de Condiciones.</t>
  </si>
  <si>
    <t>Se informa   al interesado que, para el caso propuesto, se deben aportar los Estados Financieros separados del Oferente debidamente auditados y dictaminados de conformidad con lo establecido por la legislación del país de origen.</t>
  </si>
  <si>
    <t>El numeral 13.2 (a)(iv) establece que el Concesionario asumirá los efectos favorables y/o desfavorables variaciones en el valor estimado de las Compensaciones Socioambientales, sin embargo en el numeral 8.1 (c)(ii) se establece que el remanente de los recursos de la Subcuenta Compensaciones Socioambientales será de libre disposición de la ANI, siendo la única beneficiaria de la totalidad de los recursos remanentes y, por tanto, estos recursos se trasladarán a la Subcuenta Excedentes ANI. ¿Cuáles son los efectos favorables que asumiría el Concesionario por las variaciones en el valor estimado de las Compensaciones Socioambientales?</t>
  </si>
  <si>
    <t>Favor confirmar si las obligaciones contenidas en el numeral 6.4 del Apendice tecnico 6 unicamente se activan al momento de la creacion de la subcuenta cambio climatico, esto es a la obtención de financiación por un tercero tal como lo establece el contrato parte general en el numeral 3.14 g) ix) (1)</t>
  </si>
  <si>
    <t>APENDICE TECNICO 6.</t>
  </si>
  <si>
    <t>Contrato parte general en el numeral 3.14 g) ix) (1)</t>
  </si>
  <si>
    <t>Apéndice técnico 1.  Página 46 de 70, Nota 4</t>
  </si>
  <si>
    <t>Apéndice técnico 1.  Página 45 de 70, Nota 3</t>
  </si>
  <si>
    <t>Lo anterior ya que pueden existir limitaciones técnicas, constructivas o de diseño que dificulten que la construcción de las mezcla con GCR pueda ser construida en tramos continuos y esto puede ser una limitante para el contrato y accarrear sobre costos innesesarios al proyecto.</t>
  </si>
  <si>
    <t>En cuanto a la PÓLIZA Calidad de las Obras de Mantenimiento: El objeto de este amparo será cubrir a la ANI de los perjuicios que se le ocasionen como consecuencia de cualquier tipo de daño o deterioro de la infraestructura revertida que resulte imputable a Concesionario por mala calidad en la ejecución de las Obras de Mantenimiento:</t>
  </si>
  <si>
    <t>(i) El valor de este amparo será el señalado en la Parte Especial. (ii) Este amparo deberá tener una vigencia de cinco (5) años contados a partir de la terminación de la Etapa de Reversión. Lo usado comercialmente para esta póliza es que sean 2 años en reversión no 5.</t>
  </si>
  <si>
    <t>El fin previsto de obra para la UF5 es el mes 36 a partir de la fecha de inicio, se solicita que se revise mes de inicio de la retibucion de esta UF el cual esta previsto iniciar en el mes 48</t>
  </si>
  <si>
    <t>Apendice tecnico 1, Parte Especial</t>
  </si>
  <si>
    <t xml:space="preserve">Se aclara al interesado que los plazos señalados en la sección 4.1 de la Parte Especial  están contados a Partir de la Fecha de Inicio, mientras que los plazos señalados en la sección 5.2 de la Parte Especial están contados a parte del Inicio de la Fase de Construcción, fecha que son consistentes entre sí. </t>
  </si>
  <si>
    <t>En la página 24, se informa que "El concesionario tiene la obligación de efectuar un riguroso y completo análisis de todas las eventuales situaciones que se le presenten respecto a la solicitud de adquisición de áreas remanentes, no solo por la expectativa que se generaría en los propietarios, sino también porque de encontrarse en un futuro insuficientes soportes en la adquisición del área remanente no desarrollable, el Concesionario deberá reintegrar el valor cancelado a la Subcuenta de Predios".</t>
  </si>
  <si>
    <t>ANEXO 7. PREDIAL</t>
  </si>
  <si>
    <t>Se aclara al interesado que estas consideraciones deben ser tenidas en cuenta por el Concesionario en el momento de realizar el diseño y determinar las áreas a adquirir, momento en el cual se deben realizar todos los análisis  requeridos para que llegado el momento de la aprobación de los insumos no exista ningún inconveniente para su aprobación. Así que el tiempo será el que transcurra entre la identificación del área a adquirir y la presentación de los insumos y soportes al comité predial.
La suficiencia de soportes se refiere a los puntos precedentes contenidos en la Sección 4.3(c)(iv)(1) del Apéndice Técnico 7 en los que se detallan los certificados y análisis sobre Áreas Remanentes No Desarrollables.</t>
  </si>
  <si>
    <t>PREGUNTA: Cuál sería ese término de tiempo en que se podría determinar la insuficiencia de soportes?. Que define como insuficientes soportes, si cada predio debe tener su correspondiente ficha y documentos soporte, acorde con lo requerido por la ANI y las respectivas aprobaciones por parte de la interventoría y el Comité predial?</t>
  </si>
  <si>
    <t>Para dar cumplimiento a las características Geométricas para vias a cielo abierto en las diferentes unidades funcionales se establece el Cumplimiento de especificaciones de Ley 105 de 1993:  "el trazado y la Franja debe cumplir lo dispuesto en el POT municipal y contar con la aprobación de la autoridad municipal en tramos urbanos. "De ser mayores las especificaciones contempladas en los POT municipales a las establecidas en el contrato". Solicitamos indicar cómo serán fondeados estos mayores costos?</t>
  </si>
  <si>
    <t>APENDICE TECNICO 1.</t>
  </si>
  <si>
    <t>En este numeral se indica que "cada fondeo anual anticipado deberá corresponder al monto mensual indicado en la tabla anterior multiplicado por el número de meses de la etapa y fase correspondiente.", Para el primer fondeo se incluirian los 12 meses correspondientes a la fase de Pre-construccion, para el segundo fondeo se incluirian los 12 meses iniciales de la Fase de Construccion o debera incluirse el numero total de meses de la Fase de Construccion?. Por favor aclarar.</t>
  </si>
  <si>
    <t>Parte especial - Numeral 4.5 d)</t>
  </si>
  <si>
    <t>Apéndice Técnico 1, numeral 4.2, Tabla 6, 11,19 y 23 se establece para todos los tramos que los anchos de carril, de calzada, y de bermas son los existentes, sin embargo se establece que para estos tramos se debe cumplir con la Ley 105 de 1993, es decir anchos mínimos de carril de 3.65m y bermas de 1.8m a ambos costados, adicionalmente, se estable para algunos tramos que se debe cumplir con el trazado y la Franja de los POT municipales.</t>
  </si>
  <si>
    <t>De acuerdo con lo anterior por favor confirmar si la intervención propuesta NO incluye en ningún tramo o sector la ampliación de carriles, calzadas y/o bermas y que las vías existentes ya cumplen con la Ley 105 de 1993 y con los POT municipales. De no ser así por favor modificar el alcance de las intervenciones, modificando el Capex y Opex correspondiente en la estructuración de esta Iniciativa Pública.</t>
  </si>
  <si>
    <t>Apéndice Técnico 1, numeral 6.2 (iv) y (v) de la lectura de estos dos numerales, se entiende que el alcance de la intervención “Rehabilitación” no contempla actualización de la señalización, ni la instalación y/o actualización de sistemas ITS. Por favor confirmar si nuestro entendimiento es correcto.</t>
  </si>
  <si>
    <t>El entendimiento no es correcto porque la señalización está incluida en las intervenciones prioritarias que  su vez hacen parte del alcance de la intervención de Rehabilitación. La instalación y/o actualización de los sistemas ITS no hacen parte del alcance de Rehabilitación en lo que respecta a este Proyecto.</t>
  </si>
  <si>
    <t>No es claro que sucede en caso de incumplir un indicador en la etapa preoperativa. (en los contratos de 4G, en el Apéndice Técnico 2, se incluía una tabla con los indicadores de la etapa preoperativa, indicando la multa específica por el incumplimiento de cada indicador.)</t>
  </si>
  <si>
    <t>Apéndice Técnico 2 y 4</t>
  </si>
  <si>
    <t>Solicitamos incluir el tratamiento de incumplimientos de estos indicadores de la etapa Pre Operativa.</t>
  </si>
  <si>
    <t>Teniendo en cuenta que el Apéndice Técnico 1 tiene prelación sobre el Apéndice Técnico 2 de acuerdo con el numeral 19.15 del Contrato Parte General, se solicita incluir en el Apéndice Técnico 1, lo establecido en los dos últimos párrafos del numeral 3.3.4.2 del Apéndice Técnico 2:</t>
  </si>
  <si>
    <t>Lo anterior para aclarar el ancho de los carriles en las estaciones de peaje.</t>
  </si>
  <si>
    <t>Lo anterior teniendo en cuenta las características especiales inherentes a estos tipos de enlaces.</t>
  </si>
  <si>
    <t>El numeral 13.2 (a)(ii) establece que el Concesionario asume los efectos favorables y/o desfavorables derivados de las variaciones en el Valor Estimado de Predios. Sin embargo, el numeral 7.2 (b) establece que “el remanente de los recursos de la Subcuenta Predios será de libre disposición de la ANI siendo la única beneficiaria de la totalidad de los recursos remanentes y, por lo tanto, estos se trasladarán a la Subcuenta Excedentes ANI.”</t>
  </si>
  <si>
    <t>Contrato Parte General 13.2</t>
  </si>
  <si>
    <t>Favor indicar cuáles son los efectos favorables que asumiría el Concesionario por las variaciones en el Valor Estimado de Predios?</t>
  </si>
  <si>
    <t>El numeral 8.2(d) establece que el remanente de los recursos de la Subcuenta Redes será de libre disposición de la ANI siendo la única beneficiaria de la totalidad de los recursos remanentes y, por lo tanto estos se trasladarán a la Subcuenta Excedentes ANI. Sin embargo el numeral 13.2 (a)(vi) establece que el Concesionario asumirá los efectos favorables y/o desfavorables derivados de las variaciones en el valor estimado para el traslado e intervención de Redes.</t>
  </si>
  <si>
    <t>Contrato Parte General 8.2</t>
  </si>
  <si>
    <t>Favor indicar cuáles son los efectos favorables que asumiría el Concesionario por las variaciones en el valor estimado para el traslado e intervención de Redes?</t>
  </si>
  <si>
    <t>Se solicita que se limiten los eventos geológicos descritos en el numeral 13.2 (a)(xi) a los acaecidos dentro del corredor del proyecto sin que sobrepasen, excedan y/o se extiendan más allá del área de la franja de terreno del corredor vial del Proyecto que ha sido declarada de utilidad pública e interés social de conformidad con lo establecido en la resolución expedida por la ANI y señalada en la Parte Especial</t>
  </si>
  <si>
    <t>De acuerdo con el conttrato el nuevo concesionario deberá “habilitar, reformar (si aplica), mantener y operar...” las instalaciones actuales que entregará la ANI como el Centro de Control, las 8 estaciones de peaje, las estaciones de pesaje, áreas de servicio.</t>
  </si>
  <si>
    <t>Apéndice Técnico #1.Numerales 5.1,5.2,5.3</t>
  </si>
  <si>
    <t>La información disponible en el acta de reversión de la concesión anterior se incluirá en el Cuarto de Información de Referencia (carpeta H). Esta información estará disponible a título meramente informativo acorde con las condiciones de la Sección 1.7 Cuarto de Información de Referencia del Pliego de Condiciones. Sin embargo, en lo que respecta a la situación vigente de las estaciones de peaje, el proponente en su debida diligencia deberá dirigirse al INVIAS, quien es la entidad que actualmente está cargo de su operación, para obtener la información referente al actual estado de la infraestructura que se le entregará al futuro Concesionario.</t>
  </si>
  <si>
    <t>Se solicita nos confirme la ubicación de la información donde se indican las dimensiones, características y estado de las actuales instalaciones para verificación de  áreas de acuerdo con los requisitos de los numerales  5.1, 5.2 y 5.3 del Apéndice técnico 1.</t>
  </si>
  <si>
    <t>Se solicita nos confirme la ubicación de la información con un inventario de elementos de cada estación de pesaje, existencia de báscula estática y/o dinámica, estado de funcionamiento, capacidad de las básculas en toneladas, entre otras.</t>
  </si>
  <si>
    <t>Apéndice Técnico #1.Numeral 3.3 y Apendice Técnico 2 Numeral 3.3.8</t>
  </si>
  <si>
    <t>La información disponible en el acta de reversión de la concesión anterior se incluirá en el Cuarto de Información de Referencia (carpeta H). Esta información estará disponible a título meramente informativo acorde con las condiciones de la Sección 1.7 Cuarto de Información de Referencia del Pliego de Condiciones. Sin embargo, en lo que respecta a la situación vigente de las estaciones de pesaje, el proponente en su debida diligencia deberá dirigirse al INVIAS, quien es la entidad que actualmente está cargo de su operación, para obtener la información referente al actual estado de la infraestructura que se le entregará al futuro Concesionario.</t>
  </si>
  <si>
    <t>El apéndice técnico #1, indica que se deberá acondicionar como mínimo 4 áreas de servicio, las cuales deberán estar separadas a las distancias mínimas necesarias para cumplir con los indicadores de operación.</t>
  </si>
  <si>
    <t>Apéndice Técnico #1 .Numeral 5.3.c</t>
  </si>
  <si>
    <t xml:space="preserve">Se informa al Interesado que el concesionario deberá adecuar las areas de servicio existentes, así como realizar el estudio para el cumplimiento de los indicadores consignados en el Apéndice Técnico 4. Si es del caso, deberá construir las areas de servicio necesarias para cumplir con dichas obligaciones. </t>
  </si>
  <si>
    <t>Se solicita precisar en el contrato si la ubicación de as Áreas de servicio existentes se mantienen durante la vigencia del contrato</t>
  </si>
  <si>
    <t>El apéndice técnico #2, Numeral 2.1 Servicios de carácter obligatorio, especifica la instalación, mantenimiento  de paraderos para el servicio público. ¿hay un número mínimo de paraderos a instalar?  ¿Se suministrarán paraderos por parte de la ANI, que estén actualmente en funcionamiento? Por favor especificar en el contrato la cantidad de paraderos a mantener por parte del Concesionario.</t>
  </si>
  <si>
    <t>Apéndice Técnico #2 .Numeral 2.1</t>
  </si>
  <si>
    <t>La cantidad y ubicación de paraderos obedece a los análisis de tráfico y seguridad vial que adelantará el Concesionario en los Estudios de Trazado y Diseño Geométrico y los Estudios de Detalle. En cuanto a los existentes, 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t>
  </si>
  <si>
    <t>En el indicador de tiempo de atención de accidentes y emergencias Apéndice técnico #4, se especifica  que se excluirán de la medición los tramos paso Nacional por Palmira, salida Palmira-Candelaria, entre otros, ¿significa esto que el concesionario no tendrá la obligación de prestar los servicios de atención directa con el usuario, ni de efectuar recorridos viales, etc. en estos sectores?</t>
  </si>
  <si>
    <t>Apéndice Técnico #4 .Indicador tiempo de atención de accidentes y emergencias</t>
  </si>
  <si>
    <t>Si bien el Concensionario solo tendra exclusión del cumplimiento del Método de Medida de los indicadores: Tiempo de Atención de Accidentes y Emergencias, y Tiempo de Atención de Incidentes, salvo lo dispuesto en el Apéndice Técnico 4 indicadores: "tendrá que informar al Municipio cualquier posible incidente al menos en el tiempo definido para la respuesta de señalización", deberá realizar las funciones de monitoreo y seguimiento necesarias para cumplir las demás obligaciones en de Operación.</t>
  </si>
  <si>
    <t>El apéndice técnico #2, Numeral 3.3.3.1.3, se indica que el Concesionario deberá disponer del servicio de grúa y trasladar el vehículo al Área de Servicio más cercana o algún taller mecánico ubicado en alguna población en la zona atendida por la carretera. Se dice además, que en esta ubicación, el Concesionario deberá disponer de un taller propio o subcontratado … Sin embargo, en el numeral 3.3.3.4 se indica que el Concesionario deberá hacer el suministro de bienes para operación de vehículos (taller mecánico). ¿ por favor clarificar, cuantos talleres de servicio mecánico propio o subcontratado, se requieren como mínimo en el proyecto?</t>
  </si>
  <si>
    <t>Apéndice Técnico #2 .Numeral 3.3.3.1.3 y 3.3.3.4.</t>
  </si>
  <si>
    <t>En ambas Secciones del Apéndice se refiere a los servicios de talleres mecánicos en las Áreas de Servicio, por lo tanto la cantidad mínima de talleres es la cantidad de Áreas de Servicio. A partir de allí si el Concesionario encuentra procedente según su Manual de Operación, puede agregar más talleres en poblaciones cercanas.</t>
  </si>
  <si>
    <t>En el apéndice técnico #2, se indica que el concesionario recibirá las estaciones de peaje con equipos de control de tránsito e igualmente que, una vez recibidas las Estaciones de Peaje, el Concesionario deberá contar con equipos de control en funcionamiento. ¿Se suministrará al Concesionario, información de inventarios, de equipos y estado de funcionamiento de los equipos de control actualmente instalados y que recibirá el Concesionario?</t>
  </si>
  <si>
    <t xml:space="preserve">Apéndice Técnico #2. Numeral 3.3.4.5 y 3.3.5.1 </t>
  </si>
  <si>
    <t>La información disponible en el acta de reversión de la concesión anterior se incluirá en el Cuarto de Información de Referencia (carpeta H). Esta información estará disponible a título meramente informativo acorde con las condiciones de la Sección 1.7 Cuarto de Información de Referencia del Pliego de Condiciones. Sin embargo, en lo que respecta a la situación vigente de las estaciones peaje, el proponente en su debida diligencia deberá dirigirse al INVIAS, quien es la entidad que actualmente está cargo de su operación, para obtener la información referente al actual estado de la infraestructura que se le entregará al futuro Concesionario.</t>
  </si>
  <si>
    <t>8 ¿La operación de las estaciones de pesaje es obligatoria por parte del Concesionario en la etapa preoperativa, una vez se firme el  Acta de inicio?, De ser así, ¿ cual es el convenio que se tiene actualmente con la Policía de Carreteras para el control del pesaje?  ¿Lo anterior por cuanto  el Concesionario debe suscribir el nuevo protocolo en los tres meses siguientes al Acta de inicio del contrato? Apéndice técnico #2.</t>
  </si>
  <si>
    <t>Apéndice Técnico #2. Numeral 3.3.9</t>
  </si>
  <si>
    <t>El proyecto cuenta con Postes SOS en funcionamiento que serán entregados al Concesionario para su operación? De ser así, cuantos postes hay instalados y operando?</t>
  </si>
  <si>
    <t>Apéndice Técnico #2. Postes SOS</t>
  </si>
  <si>
    <t xml:space="preserve">Si bien existen postes SOS, el Concesionario deberá verificar si se adaptan a las Especificaciones Técnicas del contrato por tratarse de instalaciones que se desarrollaron con marcos normativos y tecnológicos anteriores. 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t>
  </si>
  <si>
    <t>Se tiene detalle de los montos asignados a la subcuenta para la policía de Carreteras, en términos de cantidades, especificaciones de equipos, viáticos, que el Concesionario debe asumir a través de esta subcuenta?</t>
  </si>
  <si>
    <t>Contrato parte General. 1.177</t>
  </si>
  <si>
    <t xml:space="preserve">Se informa al interesado que los montos que hacen parte de la subcuenta corresponden a los recursos con los que contará la Policía de Carreteras para la ejecución de todas las obligaciones asociadas a su función dentro del contrato. Estos son recursos finitos, por lo que una vez agotados no se generarán mayores obligaciones al concesionario. La Policía, será la encargada de determinar el uso de los recursos según las necesidades que presente para garantizar el servicio. </t>
  </si>
  <si>
    <t>Con respecto a lo definido en el Apéndice técnico 1, numeral 6.4 (v) "Debe garantizarse la estabilidad geotécnica de todos los taludes y cortes durante la construcción, operación y mantenimiento. Dentro de todas las Intervenciones, se incluyen para todo el Proyecto todas las soluciones en ingeniería que se deban implementar para el tratamiento y estabilización geotécnica y geológica de taludes." entendemos que estas obras de estabilización sólo incluiran los taludes de corte y terraples generados en el proceso de construcción y no incluyen los movimientos en masa  o los problemas de estabilidad geologicas o grandes fallas geologicas sobre el corredor cuya actividad o magnitud es imprevisible y su solución puede acarrear grandes intervenciones fuera del corredor vial con costos indeterminados.  Confirmar sí es correcto nuestro entendimiento.</t>
  </si>
  <si>
    <t>Apéndice técnico 1.  Página 40 de 70, numeral v</t>
  </si>
  <si>
    <t>Se informa que durante la estructuración se cuantificaron las obras de estabillización generadas por el trazado proyectado en dicha etapa. Sin embargo, el Concesionario en sus estudiosy diseños Fase III deberá estimar las obras de estabilización necesarias, para el cumplimiento de los Apéndices, en especial del indicador de disponibildiad consignado en el Apéndice técnico 4. De otra parte, tanto en la Parte General, sección de riesgos asignados al Concesonario, como en la Parte Especial se consigna dicha regulación.</t>
  </si>
  <si>
    <t>Se entiende que los indicadores, definidos en el apéndice 4, que se evaluaran en la etapa Pre-Operativa serán solo los que en el Valor de aceptación incluye los valores de aceptación para esta etapa. Por favor confirmar nuestra interpretación.  Sin embargo, para mayor claridad, y evitar interpretaciones erróneas en el futuro, se solicita que en cada indicador descrito en las Tablas 1, 2 y  3 del Apéndice técnico 4, se haga explicito cuales indicadores son obligatorios y cuales no en cada etapa del proyecto, en especial la etapa pre-operativa.</t>
  </si>
  <si>
    <t>Apéndice técnico 4.  Tabla 1, Tabla2, Tabla 3</t>
  </si>
  <si>
    <t>El entendimiento del interesado es correcto sobre los indicadores de la Etapa Preoperativa. Igualmente, en el Apendice Tecnico 4 se hace explicito cuales son los indicadores que se miden en etapa preoperativa.</t>
  </si>
  <si>
    <t>Apéndice técnico 4.  Página 11 de 35, Tabla 3</t>
  </si>
  <si>
    <t>Es procedente su observación. Se ajustarán y publicarán los documentos en los Pliegos de Condiciones definitivos con la regulación exigida.</t>
  </si>
  <si>
    <t>Apéndice técnico 4.  Página 7 de 35, Tabla 1</t>
  </si>
  <si>
    <t xml:space="preserve">Se entiende que los indicadores que se evaluaran en ciclorutas serán solo los que en el Valor de Acepatación incluye los valores de aceptación para este tipo de vía y sólo serán medidos en etapa Operativa.  ¿Es correcta esta apreciación?, sin embargo se solicita que en cada indicador se haga explícito si se incluye la ciclorruta o no, para evitar futuras controversias. </t>
  </si>
  <si>
    <t xml:space="preserve"> Es correcto que únicamente se evaluarán en ciclorutas los Indicaddores cuyo Valor de Acepatación incluye los valores de aceptación para este tipo de vía. Por otro lado, se acepta la observación, y se ajustará el Apendice Tecnico 4 para hacer explicito cuales son los indicadores que aplican para dicha intervención. Los documentos se publicaran en los pliegos de Condiciones definitivos.</t>
  </si>
  <si>
    <t>En la definición de Vz, corregir por "Ofertas Hábiles No Rechazadas" 8.5.6 (b) (i)</t>
  </si>
  <si>
    <t>Pliego de Condiciones</t>
  </si>
  <si>
    <t>En la definición de V Min, corregir por "Ofertas Hábiles No Rechazadas" 8.5.6 (b) (iii)</t>
  </si>
  <si>
    <t>El plazo para legalizar el cierre financiero (contrato de crédito firmado y/o soporte respectivo) una vez iniciada etapa de construcción debería prorrogable por 8 meses más. Es de esperarse que los bancos incrementen sus exigencias con este nuevo marco contractual y situación reciente de mercado</t>
  </si>
  <si>
    <t>El plazo de cura debería ser mínimo de 90 días, sin exceder 120 días.</t>
  </si>
  <si>
    <t>La TDI debería replantearse según las nuevas condiciones de mercado y perfil de riesgo de activos de infraestructura. Según la volatilidad mostrada por el sector de infraestructura recientemente y las nuevas variables no es razonable pensar en una TDI de aprox. 10% E.A. nominal.</t>
  </si>
  <si>
    <t>La comisión de éxito debería pagarse de forma inversa 30% inicio y 70% al cierre financiero. Esto es acorde con la estructura de capital objetivo de un proyecto de esta naturaleza.</t>
  </si>
  <si>
    <t xml:space="preserve">Se aclara la interesado que el pago de la comisión de éxito no tiene relación con la estructura de financiación que derive del proceso de cierre financiero que deberá adelantar el concesionario. El pago de esta comisión está asociado principalmente a la adjudicación del contrato y solo parcialmente a la consecución del cierre financiero. Por lo tanto las proporciones de pago se consideran consistentes con esta premisa. </t>
  </si>
  <si>
    <t>El cambio tributario puede tener muchas interpretaciones si bien no tiene en cuenta el impuesto de renta, deberian ser cambios en los demás gravámenes pero cambio en tasa? O solo nuevos impuestos? Y respecto al momento de la firma del contrato? O la publicación de pliegos o presentación de la oferta?</t>
  </si>
  <si>
    <t>En el Capitulo III Puentes, Viaductos y otras estructuras numeral 3.1 Estudios y Diseños se menciona (v) Las disposiciones que contemplen los POT con relación al Espacio Público, se solicita precisar que cuando las disposiciones del POT entren en conflicto con la intervención propuesta del tramo descrito en el apendice 1, prime lo dispuesto en el alcance del contrato</t>
  </si>
  <si>
    <t>APÉNDICE TÉCNICO 3</t>
  </si>
  <si>
    <t>La solicitud no es procedente, por cuanto no es posible fijar prioridades que contravengan el cumplimiento de la normativa de ordenamiento territorial.</t>
  </si>
  <si>
    <t>ESPECIFICACIONES GENERALES</t>
  </si>
  <si>
    <t>Se solicita modificar el tiempo máximo de corrección del indicador E15 de un (01) mes a tres (03) meses, esta solicitud se hace teniendo en cuenta que algunos de los requerimientos mencionados en como lo son los descritos para barreras y juntas de dilatación y superficies de pintura de puentes metálicos son actividades que requieren mas de un mes para su planeación y ejecución.</t>
  </si>
  <si>
    <t>APÉNDICE TÉCNICO 4 - INDICADORES PARA DISPONIBILIDAD, CALIDAD Y NIVEL DE SERVICIO</t>
  </si>
  <si>
    <t>La solicitud no es procedente porque el control de Indicadores no pretende ser reactivo. Es posible que con anterioridad a cumplir la frecuencia maxima de medición de este Indicador estipulada en el Apéndice Técnico 4, esto es un año, se identifiquen posibles desviaciones de forma preventiva y con suficiente antelación para llevar a cabo la corrección.</t>
  </si>
  <si>
    <t>CSS CONSTRUCTORES S.A., 22/04/2020</t>
  </si>
  <si>
    <t>4.3.6 CUPO DE CREDITO ESPECIFICO: Se solicita a la Entidad respetuosamente considere disminuir el valor del cupo de crédito, teniendo en cuenta que por motivos de la emergeancia Sanitaria de Covid-19 y que tiene impacto a nivel mundial, los mercados se encuentran cerrados.</t>
  </si>
  <si>
    <t>4.3.6 PLIEGO DE CONDICIONES</t>
  </si>
  <si>
    <t>4.3.6 CUPO DE CREDITO ESPECIFICO: Se solicita a la Entidad respetuosamente considerar otras alternativas como son las pólizas de seguro, para cumplir con el numeral 4.3.6 CUPO DE CREDITO ESPECIFICO del Pliego de Condiciones.</t>
  </si>
  <si>
    <t>4.5 FONDEO DE SUBCUENTAS PATRIMONIO AUTONOMO. Se solicita  a la entidad respetuosamente considerar en este numeral,  que los aportes contractuales  se realicen si y solo si no hay dinero suficiente en la subcuenta correspondiente, para fondear los 6 próximos meses del costo al que hace referencia. Esto para flexibilizar el flujo de caja y acompasarlo con la realidad futura del proyecto.</t>
  </si>
  <si>
    <t>4.5 CONTRATO PARTE ESPECIAL</t>
  </si>
  <si>
    <t>CAPITULO IV. REQUISITOS HABILITANTES. Para fortalecer al sector de construcción del país, se solicita respetuosamente a la Entidad, considere incluir dentro de los requisitos habilitantes, que tanto en el SPV como en el EPC, una empresa Colombiana participe como accionista, con  un portentaje mínimo del 25%. Esto  con el fin de mitigar la competencia desigual, por consecuencia de beneficios estates que otros paises brindan, que hacen que algunos contratistas internacionales puedan ofertar costos mas bajos.</t>
  </si>
  <si>
    <t>CAPITULO IV. PLIEGO DE CONDICIONES</t>
  </si>
  <si>
    <t xml:space="preserve">Se informa al interesado que no se acepta su observación. Los interesados serán libres de evaluar las condiciones de participación en el proceso y no se verán obligados a incorporar a una empresa colombiana como accionistas, de lo contrario se afectaría el principio de libre concurrencia al Proceso de Selección.
Adicionalmente, exigir al SPV que el EPC sea una empresa nacional, implicaría desconocimiento injustificado de los tratados internacionales suscritos por Colombia. 
</t>
  </si>
  <si>
    <t>CAPITULO II TABLA DE REFERENCIAS A LA PARTE GENEREAL, numeral 1.166. Se solicita a la entidad aclarar si el proyecto contará con Aportes ANI y en caso postivo, adicionar el cronograma de aportes.</t>
  </si>
  <si>
    <t>CAPITULO II CONTRATO PARTE ESPECIAL</t>
  </si>
  <si>
    <t xml:space="preserve">Se aclara al interesado que el presente proyecto no contempla recursos públicos (aportes ANI). </t>
  </si>
  <si>
    <t>JOHN LAING, 22/04/2020</t>
  </si>
  <si>
    <t xml:space="preserve">Tráfico y VPIP: ¿Cuál fue el supuesto de tráfico de estructuración para los primeros cuatro años? ¿Con qué tráficos se estructuró el Proyecto? ¿Se tiene en cuenta la situación actual de Covid? De ser el caso, cuáles fueron los fundamentos técnicos para determinar los supuesto alrededor de Covid (regreso a la normalidad, fin de acuertelamiento, efecto en el PIB, etc)  </t>
  </si>
  <si>
    <t>Soporte de Ingresos: Es difícil construir un caso de tráfico creíble para aportar capital y además tomar el riesgo de financiación dado la coyuntura del Covid 19. Entrar a suponer que el tráfico vuelve a la normalidad en el corto plazo es especulativo. Ni el Estado puede proyectar esto con certeza. Sugerimos que además del VPIP se contemple mitigar el riesgo de tráfico a través de i) una garantía de tráfico para la deuda junto con un único diferencial de recaudo por los primeros años mientras el tráfico vuelve a la normalidad y/o ii) que parte de las inversiones queden supeditadas a alcanzar niveles de tráfico y/o que parte de los recaudos de peajes que no son para el proyecto sirvan de soporte de tráfico los primeros años</t>
  </si>
  <si>
    <t>Parte General 3.3</t>
  </si>
  <si>
    <t>Registro de Reaseguradores y Corredores de Reaseguros del Exterior (REACOEX): En REACOEX se admiten reaseguradores con calificación BBB-. Sugerimos no limitar la participación de reaseguradores dado que el mercado local en sus contratos automáticos de reaseguro no cuenta con la capacidad suficiente para respaldar este tipo de proyectos.</t>
  </si>
  <si>
    <t>Parte General 12.3 (i)</t>
  </si>
  <si>
    <t>Reducción de Valores Asegurados Póliza de Cumplimiento: : El valor de las pólizas de cumplimiento como porcentaje son mayores a las de 4G. En construcción no debe ser tan alta dado la baja complejidad técnica. El valor de la póliza de cumplimiento durante operación es excesivo (aproximadamente dos veces el capital). Estos niveles van a encarecer el proyecto sin justificación tanto en el costo de las pólizas como en equity contingente de los sponsors.</t>
  </si>
  <si>
    <t>Parte Especial 7.1</t>
  </si>
  <si>
    <t>Reducción de valor asegurado Póliza de Responsabilidad Civil: de acuerdo con benchmarks de otras concesiones, los valores asegurados son excesivos tanto para la etapa de construcción como la operativa.</t>
  </si>
  <si>
    <t>Parte Especial 7.4</t>
  </si>
  <si>
    <t>CHINA HARBOUR ENGINEERING COMPANY LIMITED COLOMBIA, 22/04/2020</t>
  </si>
  <si>
    <t xml:space="preserve">Solicitamos comedidamente extender todos los plazos previstos actualmente en el cronograma del proceso teniendo en cuenta los retos que está viviendo el país con ocasión de la pandemia del COVID  -19. Esto no solo implica retos sobre la revisión de las condiciones físicas del proyecto sino igualmente retos logísticos para completar los documentos de la respectiva oferta (apostillas, legalizaciones etc.). </t>
  </si>
  <si>
    <t>PROYECTO DE PLIEGO DE CONDICIONES - Sección 2.3</t>
  </si>
  <si>
    <t>De conformidad con lo establecido en la sección 3.1.1 del Proyecto de Pliego de Condiciones:</t>
  </si>
  <si>
    <t>PROYECTO DE PLIEGO DE CONDICIONES - Sección 3.1.1</t>
  </si>
  <si>
    <t xml:space="preserve">Se informa al interesado que el ajuste fue realizado con base en el artículo 8 de la Ley 1508 de 2012 modificado por el artículo 104 de la Ley 1955 de 2019, donde se establece:
"(...)Parágrafo. podrán ser contratantes de esquemas de Asociación Público- Privada bajo el régimen previsto en la presente ley, las Empresas Industriales y Comerciales del Estado, las Sociedades de Economía Mixta en las que el Estado tenga participación superior al cincuenta por ciento (50%), sus filiales y las Sociedades entre Entidades Públicas con participación mayoritaria del Estado superior al cincuenta por ciento (50%) y las empresas de servicios públicos domiciliarios oficiales o mixtas".
</t>
  </si>
  <si>
    <t xml:space="preserve">Sobre este punto, le solicitamos amablemente a la entidad que se sirva explicar el fundamento jurídico de haber incluido la sección subrayada considerando que dicha regla no estaba incluida en los pliegos de previas licitaciones adelantadas por la ANI en proyectos similares (i.e. 4G). </t>
  </si>
  <si>
    <t>En el marco de los requisitos establecidos para que los proponentes acrediten la llamada “Experiencia en Inversión”, en el literal (a) de la sección 4.2.6 del Proyecto de Pliegos de Condiciones se establece que:</t>
  </si>
  <si>
    <t>PROYECTO DE PLIEGO DE CONDICIONES - Literal (a) de la Sección 4.2.6</t>
  </si>
  <si>
    <t>Se informa al interesado que su entendimiento es correcto. Inclusive respecto al primer punto señalado cabe señalar que la nota a pie de página No. 2 indica que “Se entenderá, para todos los efectos previstos en este Pliego de Condiciones, que la fecha del cierre financiero es la fecha de suscripción del documento donde consten las obligaciones del crédito”. Se precisa que ambas condiciones deben haber sido cumplidas en las condiciones y plazos señalados en la Sección 4.2.6. para poder acreditar la experiencia en inversión.</t>
  </si>
  <si>
    <t>“4.2.6 Para los efectos previstos en el presente acápite de Experiencia en Inversión, se entenderá que el (los) Líder(es) han obtenido la financiación para el respectivo Proyecto de Infraestructura cuando:</t>
  </si>
  <si>
    <t>(a) En el caso de créditos con el sistema financiero intermediado, el o los prestamistas y el deudor hayan suscrito el documento donde consten las obligaciones del crédito, principalmente monto, tasa, plazo, forma de pago y condiciones para los desembolsos y además se haya producido al menos el primer desembolso del respectivo crédito. En este orden de ideas quien aporte la Experiencia en Inversión debe haber estado al momento del cierre financiero y del primer desembolso; o (…)”</t>
  </si>
  <si>
    <t>Sobre lo anterior, entendemos que:</t>
  </si>
  <si>
    <t>1. El momento del cierre financiero se entiende que sucede el día en el que el respectivo Contratista (deudor) suscribe el Contrato de Crédito con el respectivo prestamista (acreedor).</t>
  </si>
  <si>
    <t>2. El primer desembolso se entiende que ocurre el día en el que el prestamista transfiere el monto de recursos con ocasión del crédito otorgado.</t>
  </si>
  <si>
    <t>Al respecto, le solicitamos amablemente a la entidad que confirme si nuestro anterior entendimiento es correcto y, en caso de que no lo sea, le agradecemos que por favor nos indique en qué momento se considera que ocurre el "Cierre Financiero" y el "Primer Desembolso".</t>
  </si>
  <si>
    <t>De conformidad con lo establecido en la nota al pie número 3 de la sección 4.2.8:</t>
  </si>
  <si>
    <t>PROYECTO DE PLIEGO DE CONDICIONES - Nota al pie número 3 de la Sección 4.2.8</t>
  </si>
  <si>
    <t>Se  informa al interesado que su entendimiento es correcto.</t>
  </si>
  <si>
    <t>“Ningún Oferente que haya sido inversionista en un Fondo de Capital Privado podrá acreditar la experiencia del Fondo de Capital Privado independientemente de la participación que el mismo haya tenido o tenga en la actualidad.”</t>
  </si>
  <si>
    <t>Sobre lo anterior, solicitamos comedidamente a la entidad que, por favor, confirme si nuestro siguiente entendimiento es correcto:</t>
  </si>
  <si>
    <t>- No es posible que un Oferente que haya sido inversionista en un Fondo de Capital Privado acredite experiencia de dicho Fondo.</t>
  </si>
  <si>
    <t xml:space="preserve">- No obstante, SÍ es posible que un oferente acredite experiencia obtenida bajo figuras asociativas con terceros, incluyendo Fondos de Capital Privado y/o Patrimonios Autónomos. </t>
  </si>
  <si>
    <t>En consideración a las fluctuaciones y variaciones que ha tenido el mercado, como consecuencia del impacto del COVID-19 en la economía mundial, la posible entrada en una recesión global, la reducción abrupta en los precios del petróleo y la rebaja en la calificación de Colombia a BBB- por parte de Fitch Ratings (lo cual ubica a Colombia cerca de perder el “grado de inversión”) se le solicita amablemente a la ANI que:
- Para la presentación de la oferta se solicite la acreditación de un Cupo De Crédito General y que, el Cupo De Crédito Específico sea solicitado únicamente al proponente que resulte como adjudicatario del proyecto. Este tipo de medidas garantizaría la participación de muchos más proponentes en este proyecto.</t>
  </si>
  <si>
    <t>PROYECTO DE PLIEGO DE CONDICIONES - Sección 4.3.6</t>
  </si>
  <si>
    <t>- Para la presentación de la oferta se solicite la acreditación de un Cupo De Crédito General y que, el Cupo De Crédito Específico sea solicitado únicamente al proponente que resulte como adjudicatario del proyecto. Este tipo de medidas garantizaría la participación de muchos más proponentes en este proyecto.</t>
  </si>
  <si>
    <t>En la sección 4.5 y 4.5.1 del Proyecto de Pliego de Condiciones se establece que es posible que el Oferente o sus Integrantes acrediten Requisitos Habilitantes relativos a Experiencia en Inversión con anterioridad al perfeccionamiento de un proceso de fusión o escisión en los siguientes términos.</t>
  </si>
  <si>
    <t>PROYECTO DE PLIEGO DE CONDICIONES - Sección 4.5 y 4.51</t>
  </si>
  <si>
    <t>"4.5 ACREDITACIÓN DE LOS REQUISITOS HABILITANTES DE A) SOCIEDADES ESCINDIDAS O; B) SOCIEDADES FUSIONADAS</t>
  </si>
  <si>
    <t>4.5.1 Cuando el Oferente o sus Integrantes, pretendan acreditar los Requisitos Habilitantes relativos a Experiencia en Inversión con anterioridad al perfeccionamiento de un proceso de fusión o escisión empresarial del cual fue objeto o resultado, deberá adjuntar con su Oferta los siguientes documentos:</t>
  </si>
  <si>
    <t>(a) Documento expedido por la autoridad competente para el efecto en el que se otorgue constancia de que la fusión o escisión ocurrió y qué entidades fueron parte de dicho proceso.</t>
  </si>
  <si>
    <t>(b) En el caso en que no sea posible de acuerdo con la ley del país de origen del Oferente o sus Integrantes que la autoridad competente lo certifique directamente, certificación expedida bajo la gravedad de juramento por el representante legal, en la cual se certifique que la experiencia que se pretende acreditar fue asignada al Oferente en el proceso de fusión o escisión respectivo.</t>
  </si>
  <si>
    <t>(c) La certificación del revisor fiscal o del contador del Oferente o sus Integrantes en la cual acredite los contratos o el porcentaje asignado en el proceso de escisión o fusión.</t>
  </si>
  <si>
    <t>(d) Cuando el Oferente o sus Integrantes hubiere sido objeto de varios procesos de fusión y/o escisión, y pretenda acreditar experiencia obtenida con anterioridad a varios de dichos procesos, deberán adjuntar los documentos de los que tratan los literales anteriores para cada proceso de escisión y/o fusión que ocurrió con posterioridad a la terminación del contrato que se pretende acreditar como experiencia. "</t>
  </si>
  <si>
    <t>Sobre lo anterior, le solicitamos a la entidad que por favor aclare:</t>
  </si>
  <si>
    <t>•¿Cuál es el fundamento jurídico que le permite a un proponente acreditar Requisitos Habilitantes relativos a su Experiencia en Inversión, con anterioridad al perfeccionamiento de un proceso de fusión o escisión empresarial?</t>
  </si>
  <si>
    <t>•¿Existe algún límite sobre el porcentaje de participación que debió haber tenido el respectivo proponente al momento de que se perfeccionara dicho proceso de fusión o escisión, para efectos de que pueda acreditar la totalidad de dicha experiencia?</t>
  </si>
  <si>
    <t>•¿La Experiencia en Inversión que se pretende acreditar bajo esta figura es directamente proporcional al porcentaje de participación que tenía el proponente o su integrante al momento en que se perfeccionó dicho proceso de fisión o escisión? Es decir, ¿Si la participación del proponente al momento de la fusión o escisión era del 30 %, solamente puede acreditar el 30% de la respectiva experiencia en inversión?</t>
  </si>
  <si>
    <t>• ¿Existe algún límite temporal en el que se debió haber realizado dicho proceso de Fusión o Escisión frente al acto de apertura o cierre de la presente licitación?</t>
  </si>
  <si>
    <t>De conformidad con la Sección 4.6.1 del Proyecto de Pliego de Condiciones:</t>
  </si>
  <si>
    <t>PROYECTO DE PLIEGO DE CONDICIONES - Sección 4.6.1</t>
  </si>
  <si>
    <t>“4.6.1 Los Fondos de Capital Privado podrán, en los términos del parágrafo del artículo 2.2.2.1.1.3. del Decreto 1082 del 2015, respaldar la participación de los Oferentes en la Licitación Pública, mediante un Compromiso Irrevocable de Inversión (suscrito por la respectiva sociedad administradora, sociedad comisionista, o sociedad fiduciaria que administre el respectivo Fondo de Capital Privado) de otorgar respaldo al Oferente o Integrante de la Estructura Plural, y al SPV que se constituya como consecuencia de la eventual presentación y Adjudicación de la respectiva Oferta, el cual constituirá compromiso irrevocable de inversión en firme e incluirá expresamente en su texto la indicación del monto de aporte de recursos líquidos por parte del Fondo de Capital Privado que, como mínimo, deberá ser igual al valor establecido en el numeral 4.3.6(a)(i) de este Pliego, según sea aplicable al Oferente (individual o Estructura Plural).”</t>
  </si>
  <si>
    <t>Teniendo en cuenta que el valor establecido en el numeral 4.3.6 (a) (i) es el del valor mínimo del Cupo de Crédito Específico, se le solicita a la entidad que por favor nos aclare lo siguiente:</t>
  </si>
  <si>
    <t>•¿Dicho Compromiso Irrevocable de Inversión reemplazaría la obligación de otorgar el Cupo de Crédito Específico por parte de un Prestamista?</t>
  </si>
  <si>
    <t xml:space="preserve">•¿En el evento de que un proponente otorgue el respectivo Compromiso Irrevocable de Inversión, es necesario que el respectivo Fondo de Capital Privado suscriba el Anexo 11 relativo al “Cupo de Crédito Específico” </t>
  </si>
  <si>
    <t>En la Sección 9.6.1 del Proyecto de Pliego de Condiciones se incluyen las causales que pueden dar lugar al rechazo de la oferta, entre las que se encuentran las siguientes:</t>
  </si>
  <si>
    <t>PROYECTO DE PLIEGO DE CONDICIONES - Sección 9.6.1</t>
  </si>
  <si>
    <t xml:space="preserve">Se aclara al interesado que el artículo 5 de la Ley 1150 de 2007 modificado por la Ley 1882 de 2018 no prevé el rechazo de ofertas por el incumplimiento de requisitos que otorguen puntaje, sino que por el contrario las causales contenidas en los literales (h) y (q) de la Sección 9.6.1 corresponden a eventos en los que el Oferente omite o no acredita alguno de los Requisitos Habilitantes contenidos en el Proyecto de Pliego de Condiciones y no subsana cuando la Entidad lo requiere. </t>
  </si>
  <si>
    <t>"(h) Cuando se omitan requisitos contenidos en el Pliego o Anexos que impidan la comparación objetiva de las Ofertas o no hayan sido subsanadas.  (...)</t>
  </si>
  <si>
    <t>(q) Cuando no se acredite alguno de los requisitos establecidos en este Pliego de Condiciones. "</t>
  </si>
  <si>
    <t>Al respecto, solicitamos amablemente a la entidad que eliminen estas causales toda vez que, en los términos del parágrafo 1 del artículo 5 de la Ley 1150 de 2007 (modificado por la Ley 1882 de 2018), se tiene que únicamente se puede rechazar la oferta por el incumplimiento de requisitos que impliquen la asignación de puntaje. Lo anterior se establece en lo siguientes términos:</t>
  </si>
  <si>
    <t>“La ausencia de requisitos o la falta de documentos referentes a la futura contratación o al proponente, no necesarios para la comparación de las propuestas no servirán de título suficiente para el rechazo de los ofrecimientos hechos” y que solamente el incumplimiento de requisitos que impliquen la asignación de puntaje puedan dar lugar al rechazo de la oferta.</t>
  </si>
  <si>
    <t>“Parágrafo 1°. Modificado Ley 1882 de 2018, artículo 5°. La ausencia de requisitos o la falta de documentos referentes a la futura contratación o al proponente, no necesarios para la comparación de las propuestas no servirán de título suficiente para el rechazo de los ofrecimientos hechos. En consecuencia, todos aquellos requisitos de la propuesta que no afecten la asignación de puntaje, deberán ser solicitados por las entidades estatales y deberán ser entregados por los proponentes hasta el término de traslado del informe de evaluación que corresponda a cada modalidad de selección, salvo lo dispuesto para el proceso de Mínima cuantía y para el proceso de selección a través del sistema de subasta. Serán rechazadas las ofertas de aquellos proponentes que no suministren la información y la documentación solicitada por la entidad estatal hasta el plazo anteriormente señalado.”</t>
  </si>
  <si>
    <t xml:space="preserve">Solicitamos respetuosamente a la entidad que se sirva de aclarar que el riesgo de construcción concerniente a los "efectos derivados del estado de la entrega de la infraestructura existente" (asignado al privado), no conlleva la asunción de pasivos ambientales ni de cualquier otra responsabilidad de naturaleza civil, penal o administrativa que se hubiese generado con anterioridad a la entrega de la infraestructura al Concesionario. Lo anterior es de gran relevancia en la medida en que de cara a la financiación del proyecto, es necesario delimitar los riesgos que asumirá el Concesionario. De igual manera, el Concesionario no debe ser responsable por dichos pasivos o responsabilidades atendiendo, a que este no se encontraba en la mejor posición para gestionar dicho riesgo y por lo tanto no puede admitir responsabilidades que no se generaron con ocasión de sus actuaciones u omisiones. </t>
  </si>
  <si>
    <t>Matriz de riesgos del Proyecto (riesgos de construcción)</t>
  </si>
  <si>
    <t xml:space="preserve">Si bien el riesgo derivado de la variación en los ingresos por cambios en el tráfico es asignado al Concesionario, por considerarse que es este quien se encuentra en la mejor posición para gestionarlo, solicitamos a la entidad se sirva de ajustar y aclarar, tanto en la matriz de riesgos como en el Contrato de Concesión (sección 2.4 de la Parte General), que incluso si la Fecha de Terminación de la Etapa de Operación y Mantenimiento ocurre al cumplirse el año veintinueve (29) contado a partir de la Fecha de Inicio,  cuando no se hubiere obtenido el VPIP, la entidad reconocerá al Concesionario el valor de todas las inversiones que este haya realizado en el Proyecto y que por lo tanto revertirán a la entidad. Se considera importante hacer esta aclaración en la medida en que el artículo 34 de la Constitución Política prohíbe la confiscación, y en esta medida no sería posible para la entidad, recibir las inversiones hechas por el Concesionario, sin remunerarle a este, como mínimo, el valor de las mismas.   </t>
  </si>
  <si>
    <t>Matriz de riesgos del Proyecto (riesgos comerciales)</t>
  </si>
  <si>
    <t>Se informa   al interesado que no se acepta su observación. La naturaleza de los contratos de Asociación Público Privada (APP) involucra la retención y transferencia de riesgos entre las partes sin que exista una garantía de ingreso para el Concesionario, a diferencia de lo que ocurre con otras modalidades contractuales, como por ejemplo, la obra pública. Los contratos de APP son contratos aleatorios, lo que quiere decir que no existe equivalencia de prestaciones entre las Partes y algunos aspectos están sujetos a lo que pueda ocurrir en el futuro. En este caso, el alea del contrato consistente en no obtener el VPIP una vez vencido el plazo del mismo está a cargo del Concesionario y en esta medida, es un riesgo asumido por este. 
De acuerdo con lo anterior, el Adjudicatario suscribirá un contrato en donde aceptará expresamente asumir el riesgo de que, eventualmente, terminado el plazo del Contrato de Concesión no obtenga la totalidad del ingreso esperado, situación que es perfectamente compatible con proyectos de APP en el entorno internacional y con la legislación colombiana. En esta medida, resulta incoherente afirmar que la situación descrita anteriormente pueda implicar una confiscación, en los términos previstos por el artículo 34 de la Constitución Política. Resulta claro que estamos frente a un acuerdo contractual libremente consentido por el Concesionario en donde este asume los riesgos a él asignados y, en función de los mismos, tuvo la libertad y oportunidad suficiente para modelar sus expectativas de ingreso. 
Finalmente, se aclara al interesado que la confiscación, de acuerdo con jurisprudencia de la Corte Constitucional y la Corte Suprema de Justicia, consiste en el apoderamiento arbitrario de todos los bienes de una persona por el Estado, sin compensación alguna y bajo la apariencia de una sanción, cuando en la realidad se trata de una represalia generalmente por parte de quienes detentan el poder (Sentencia C-459/2011 y Sentencias de junio 21 de 1899; marzo 6 de 1952; agosto 10 de 1964 y julio 29 de 1965, entre otras). En esta línea, es posible afirmar que la confiscación consiste en una limitación inconstitucional al derecho de propiedad. 
Ahora bien, los tramos que serán intervenidos por el Concesionario en el marco del Contrato de APP son de propiedad del Estado colombiano, quien otorga al Concesionario la disponibilidad de los mismos de forma tal que este pueda adelantar las actividades de diseño, construcción, operación y mantenimiento establecidas en el Contrato. En esta medida, el Estado le otorga al Concesionario el derecho a explotar los tramos y recaudar los peajes asociados a los mismos para remunerar su actividad, sin transferir ningún título de propiedad sobre el Proyecto respecto del cual pueda predicarse una confiscación en los términos previstos por la Constitución Política.</t>
  </si>
  <si>
    <t>Solicitamos respetuosamente a la entidad nos aclare si se llevarán a cabo (y respecto de qué temáticas) modificaciones a las versiones definitivas de los documentos contractuales que serán publicados en el marco del Proceso de Selección, atendiendo a la coyuntura del COVID-19 y a los efectos que esta situación implicará para el Proyecto.</t>
  </si>
  <si>
    <t>Contrato de Concesión Parte General-Comentario General</t>
  </si>
  <si>
    <t>Teniendo en cuenta la importancia que cobra la financiación en los proyectos bajo el esquema de project finance, solicitamos a la entidad que además de delimitar los fondos que deberán ser aportados por el Concesionario para la ejecución de las Obras Sociales (lo que ya se encuentra aclarado en la sección 4.5(j) de la Parte Especial del Contrato de Concesión) se aclaren otros aspectos que pueden incidir fuertemente en el esquema de riesgos. Un ejemplo de lo anterior es la titularidad de los inmuebles que sean requeridos para la ejecución de las Obras Sociales y/o la titularidad y gestión de los permisos que deban obtenerse en cada caso. Atendiendo a lo anterior, se solicita a la entidad que establezca un protocolo respecto de las actividades que puedan estar asociados a las Obras Sociales, para que el mismo pueda dar tranquilidad a los interesado e incluso a los potenciales prestamistas respecto de la bancabilidad del Proyecto y respecto de la ausencia de riesgos sin identificar y/o delimitar.</t>
  </si>
  <si>
    <t>Contrato de Concesión Parte General-Sección 1.120</t>
  </si>
  <si>
    <t xml:space="preserve">Respecto de la definición de "Sobrantes", solicitamos respetuosamente a la entidad se nos aclare cuál es la problemática que se busca cubrir con la inclusión de este nuevo concepto. Lo anterior, en la medida en que si bien es claro que estas sumas serán trasladadas a la Subcuenta de Excedentes ANI, no es clara la problemática que da lugar a establecer la existencia de estas sumas en exceso y la destinación que tendían las mismas. </t>
  </si>
  <si>
    <t>Contrato de Concesión Parte General-Sección 1.164</t>
  </si>
  <si>
    <t>Observamos con agrado que fue creada la Subcuenta de Cambio Climático como un avance y una novedad de 5G frente a 4G. No obstante, consideramos que no es clara  la forma en la que se llevará a cabo el fondeo de esta subcuenta. Teniendo en cuenta lo anterior, solicitamos respetuosamente a la entidad se nos aclare (i) cómo será fondeada esa subcuenta; (ii) qué entiende la entidad por "fuente de financiación externa"; (iii) que sucederá al momento de la liquidación con los rendimientos de las operaciones de tesorería que acrecentarán dicha subcuenta; y (iv) cual es la razón  para exceptuar los recursos de dicha subcuenta en lo establecido en la sección 18.2(a)(i).</t>
  </si>
  <si>
    <t>Contrato de Concesión Parte General-Sección 1.167</t>
  </si>
  <si>
    <t>Observamos con agrado que fue creada la Subcuenta de Obras Sociales como un avance y una novedad de 5G frente a 4G . No obstante, solicitamos amablemente a la entidad se nos aclare lo siguiente: (i) ¿cuál es el rol del Concesionario respecto de la definición y gestión de las Obras Sociales teniendo en cuenta que de conformidad con la sección 3.14(xi) de la Parte General del Contrato de Concesión, es la ANI quien instruye a la Fiduciaria para que esta gire los montos destinados a cubrir los gastos que se generen a cargo de la ANI para atender las Obras Sociales); y (ii) ¿cuál es la razón de que al momento de la liquidación, los recursos disponibles en esta subcuenta pertenezcan a la ANI?</t>
  </si>
  <si>
    <t>Contrato de Concesión Parte General-Sección 1.175</t>
  </si>
  <si>
    <t>Observamos que fue creada la Subcuenta Policía de Carreteras. Al respecto solicitamos respetuosamente a la entidad se nos aclare lo siguiente: (i) ¿Cual es la razón de que los rendimientos de las operaciones de tesorería sean trasladados mensualmente a la Subcuenta Excedentes ANI? ; y (ii) ¿cuál es la razón de que al momento de la liquidación, los recursos disponibles en esta subcuenta pertenezcan a la ANI?</t>
  </si>
  <si>
    <t>Contrato de Concesión Parte General-Sección 1.177</t>
  </si>
  <si>
    <t>Se le informa al interesado que los rendimientos de esta subcuenta serán trasladados de manera mensual a la Subcuenta Excedentes ANI puesto que no se considera necesario que acrecenten el saldo de la subcuenta, y en cambio se constituyen como una de las fuentes para poder compensar aquellos riesgos a cargo de la ANI que se puedan materializar dentro del contrato. Por otra parte, dado que esta subcuenta es de monto agotable, no se genera un riesgo para el privado frente a ella, por lo cual es lógico que los recursos disponibles al momento de la liquidación serán transferidos a la ANI pues han sido contemplados para la determinación de la retribución estimada.</t>
  </si>
  <si>
    <t xml:space="preserve">Respecto de la Subcuenta de Retenciones, solicitamos respetuosamente a la entidad que los rendimientos que se generen sobre las Retenciones que trata la sección 3.14(xiii)(4), sean transferidos al Concesionario una vez este subsane el evento que dio origen a su retención. Lo anterior, en la medida en que dichos rendimientos pertenecerían al Concesionario quien es titular a su vez de los montos retenidos. De no ser esto viable, solicitamos a la entidad se nos aclaren las razones por las cuales dichos rendimientos pasarían a ser de propiedad de la ANI y cual sería la destinación de los mismos al momento de la liquidación del Contrato de Concesión. </t>
  </si>
  <si>
    <t>Contrato de Concesión Parte General-Sección 1.180</t>
  </si>
  <si>
    <t>Respecto de la Subcuenta Tiquetes Prepagados, solicitamos respetuosamente a la entidad se nos aclare lo siguiente: (i) ¿Cual es la razón de que los rendimientos de las operaciones de tesorería sean trasladados mensualmente a la Subcuenta Excedentes ANI?; y (ii) ¿cuál es la razón de que al momento de la liquidación, los recursos disponibles en esta subcuenta pertenezcan a la ANI?</t>
  </si>
  <si>
    <t>Contrato de Concesión Parte General-Sección 1.181</t>
  </si>
  <si>
    <t>Se le informa al interesado que los rendimientos de esta subcuenta son trasladados de manera mensual a la Subcuenta Excedentes ANI puesto que estos recursos aún no cumplen con las reglas del recaudo de peaje, y por lo tanto estos rendimientos no se deben destinar a la retribución, y en cambio se constituyen como una de las fuentes para poder compensar aquellos riesgos a cargo de la ANI que se puedan materializar dentro del contrato. Respecto a los remanentes la regulación planteada es necesaria puesto que una vez termine la concesión cualquier recurso remanente implicará que hay saldos prepagados que no han sido redimidos en derechos de paso por parte de los usuarios de la vía, que podrán ser reclamados en fechas posteriores y por lo tanto no se considera procedente entregarlos al concesionario que finaliza su contrato.</t>
  </si>
  <si>
    <t xml:space="preserve">Atendiendo a lo dispuesto en la sección 2.4 de la Parte General del Contrato de Concesión, la Fecha de Terminación de la Etapa de Operación y Mantenimiento podrá ocurrir en el año veintinueve (29) contado a partir de la Fecha de Inicio, aún en el caso en que llegada esa fecha el Concesionario no hubiera obtenido el VPIP. Teniendo en cuenta la coyuntura actual respecto del COVID-19 y del impacto que esta situación tendrá frente a la búsqueda de la financiación del Proyecto, solicitamos respetuosamente a la entidad evaluar la posibilidad de que llegado el año veintinueve (29) se le reconozca al Concesionario el valor excedente para que se logre la obtención del VPIP. </t>
  </si>
  <si>
    <t>Contrato de Concesión Parte General-Sección 2.4</t>
  </si>
  <si>
    <t>Atendiendo a lo dispuesto en la sección 2.4 de la Parte General del Contrato de Concesión, la Fecha de Terminación de la Etapa de Operación y Mantenimiento podrá ocurrir en cualquier momento antes del año veintinueve (29) contado a partir de la Fecha de Inicio, una vez se haya alcanzado el VPIP. Atendiendo a lo anterior, ponemos a consideración de la entidad evaluar la posibilidad de incluir en dicha sección, que incluso cuando se hubiere alcanzado el VPIP con anterioridad al año 29, las Partes de común acuerdo puedan extender el plazo del Contrato de Concesión y ampliar su valor hasta el máximo plazo y valor permitido por la ley. Desde nuestra perspectiva esto podría ser beneficioso en tanto se constituye como un incentivo positivo para el Concesionario, quien de llegar a demostrar un correcto y eficiente funcionamiento, podría acceder a la ampliación del plazo y al aumento del valor del Contrato de Concesión.</t>
  </si>
  <si>
    <t>No se acepta la solicitud del interesado. Se aclara que la condición de ampliación de plazo más allá de una disposición particular de este contrato y deberá enmarcarse en los lineamiento normativos de contratación estatal, condiciones que aplican independiente de que se alcance o no el VPIP.</t>
  </si>
  <si>
    <t>Solicitamos a la entidad por favor se nos aclare si las modificaciones hechas a la fórmula contenida en la sección 3.4(a) de la Parte General del Contrato de Concesión responden únicamente a la eliminación de los conceptos correspondientes al VPIP8, VPIP13 y VPIP18 o si las modificaciones a esta fórmula responden a otros motivos.</t>
  </si>
  <si>
    <t>Contrato de Concesión Parte General-Sección 3.4</t>
  </si>
  <si>
    <t xml:space="preserve">El entendimiento del interesado es correcto y las modificaciones de esta fórmula corresponden únicamente a la eliminación de los DRs y a la inclusión del Soporte de Ingresos. </t>
  </si>
  <si>
    <t>Respecto de la facultad en cabeza de la ANI de, en cualquier momento, solicitar la remoción de la Fiducia hasta la suscripción del Acta de Liquidación del Contrato por el incumplimiento de cualquiera de las obligaciones a su cargo descritas en el Contrato, solicitamos a la entidad que por favor se nos aclare mediante qué mecanismos llevará a cabo la ANI el monitoreo y seguimiento al cumplimiento de las obligaciones de la Fiduciaria y qué mecanismos de preaviso y notificación, y protección al debido proceso le serán dados tanto a esta como al Concesionario ante un eventual incumplimiento de la Fiduciaria respecto de sus obligaciones.</t>
  </si>
  <si>
    <t>Contrato de Concesión Parte General-Sección 3.13(b)</t>
  </si>
  <si>
    <t>Solicitamos a la entidad por favor se nos aclaren las razones por las cuales se estableció en la sección 3.14(f) que ante el fondeo en exceso de los montos previstos en la Parte Especial, respecto de las Subcuentas de la Cuenta Proyecto y Cuenta ANI, la ANI no reconocerá sobre el monto en exceso, intereses remuneratorios ni moratorios.</t>
  </si>
  <si>
    <t xml:space="preserve"> Contrato de Concesión Parte General-Sección 3.14(f) </t>
  </si>
  <si>
    <t>Solicitamos respetuosamente a la entidad que se nos aclaren las razones por las cuales se incluyó como una de las obligaciones del Concesionario, presentar a la ANI y al Interventor los estados financieros auditados del Patrimonio Autónomo-Deuda a 31 de diciembre y 30 de junio de cada año calendario, dentro de los primeros diez (10) Días de los Meses de septiembre y marzo de cada año y no auditados en forma trimestral dentro de los quince (15) Días siguientes al vencimiento de cada trimestre.</t>
  </si>
  <si>
    <t xml:space="preserve"> Contrato de Concesión Parte General-Sección 4.2(r)</t>
  </si>
  <si>
    <t>En primer lugar se informa al interesado que esta regulación estaba presente desde la minuta de los últimos contratos 4G y por lo tanto ya fue incorporada en algunos contratos en ejecución. Respecto a la consulta, se considera pertinente dotar a la ANI de toda la información que considere relevante sobre la administración y ejecución de los recursos relacionados con el proyecto, para fines como la revisión de fuentes y usos ante la eventual terminación anticipada y el derecho de auditoría durante la ejecución del contrato, entre otros, sin que por esto se esté modificando alguno de los derechos u obligaciones que establece el contrato o se esté generando un riesgo adicional para el concesionario.</t>
  </si>
  <si>
    <t xml:space="preserve">Es importante mencionar que la ANI no hará parte del Patrimonio Autónomo Deuda y que esta figura es creada de forma independiente, para la gestión de los recursos provenientes de la deuda contraída por el Concesionario bajo un esquema de Project Finance y de cara a los Prestamistas del Proyecto. Por lo anterior, si bien entendemos la obligación que tendría este de presentar dichos estados financieros del Patrimonio Autónomo, no son claras las razones por las cuales (y consideramos que no deberían presentarse), los estados financieros del Patrimonio Autónomo Deuda. </t>
  </si>
  <si>
    <t>Solicitamos a la entidad aclarar en la sección 4.9 de la Parte General del Contrato de Concesión, que el procedimiento para solicitar la ampliación del plazo del Plan de Obras no será exclusivo ante la ocurrencia de un Evento Eximente de Responsabilidad o por causas imputables a la ANI. Por el contrario, dicho procedimiento podrá ser utilizado por el Concesionario cuando de forma general ocurra una situación que afecte su capacidad de cumplir con el Plan de</t>
  </si>
  <si>
    <t xml:space="preserve"> Contrato de Concesión Parte General-Sección 4.9</t>
  </si>
  <si>
    <t>Respecto a la observación, la entidad considera que el evento descrito en la Sección 4.9 del Contrato Parte General se enmarca precisamente en las regulaciones de Eventos Eximentes de Responsabilidad y por causas no atribuibles al concesionario, por lo que no se acoge la solicitud del interesado.</t>
  </si>
  <si>
    <t xml:space="preserve">Obras, y que no sea imputable a las acciones u omisiones del Concesionario. </t>
  </si>
  <si>
    <t>Observamos que en la sección 4.10(d) de la Parte General del Contrato de Concesión se incluyó que, cuando el Concesionario pretenda comprar el plazo que trata dicha sección, deberá presentar una Notificación dirigida tanto a la ANI como al Interventor y con copia a los Prestamistas manifestando su intención de hacer uso de dicha figura de compra de plazo. Ahora bien, dicha Notificación deberá ser presentada con al menos sesenta (60) Días de anticipación al cumplimiento del plazo máximo de ejecución previsto para la Unidad Funcional respectiva descrito en la Parte Especial.</t>
  </si>
  <si>
    <t xml:space="preserve"> Contrato de Concesión Parte General-Sección 4.10</t>
  </si>
  <si>
    <t>Al respecto, solicitamos amablemente a la entidad que modifique el término de sesenta (60) días incorporado, para en su lugar reducirlo a treinta (30) días. Esto, atendiendo a que dos (2) meses es un término muy amplio para decidir sobre la necesidad de acceder a la figura contemplada en esta sección. De igual manera y atendiendo a que es el Concesionario quien llevará a cabo las actividades constructivas y por lo tanto es quien conoce a profundidad el negocio, se considera que un término de treinta (30) días corresponde a un término más acorde con la realidad, para evaluar la necesidad de comprar dicho plazo adicional.</t>
  </si>
  <si>
    <t xml:space="preserve">Solicitamos respetuosamente a la entidad se nos aclare las razones por las cuales para el presente proyecto resultó pertinente  incorporar un Índice de Cumplimiento Predial y cuáles son las razones por las cuales se optó por incluir la figura de una Deducción como respuesta a los incumplimientos mencionados en dicho literal, y no optar por el mecanismo de Multas. </t>
  </si>
  <si>
    <t xml:space="preserve"> Contrato de Concesión Parte General-Sección 7.1(f)</t>
  </si>
  <si>
    <t>Se informa al interesado que el Índice de Cumplimiento Predial permite hacer un seguimiento efectivo de la Gestión Predial del Concesionario en función de los Predios Requeridos para el Desarrollo del Proyecto. Adicionalmente, se incluyó con el objeto de que el concesionario tuviera derecho a la retribución a pesar de 1) no acreditar la totalidad de la(s) Oferta(s) Formal(es) de Compra de Predios o las solicitudes de Cesión de Predios o Adjudicación de Predios de los Predios Requeridos para una Unidad Funcional o 2) no contar con la adquisición de la totalidad de los Predios Requeridos, por causas imputables a este. Actualmente, a menos que se generara un evento eximente de responsabilidad, que deriva en una retribución parcial, el Concesionario NO tendría derecho a tal retribución. El Índice Predial incorpora deducciones, retenciones y multas.</t>
  </si>
  <si>
    <t>Solicitamos amablemente a la entidad que evalúe la posibilidad de modificar la sección 8.1(c )(ii) para en su lugar incluir que al finalizar la ejecución de las Compensaciones Socioambientales, el remanente de los recursos de la Subcuenta Compensaciones Socioambientales no será de libre disposición de la ANI y por lo tanto no será esta la beneficiaria de la totalidad de los recursos remanentes, sino que por el contrario, dichos recursos serán destinados a la Subcuenta de Obras Menores y podrían ser utilizados para llevar a cabo obras que beneficien a la comunidad.</t>
  </si>
  <si>
    <t xml:space="preserve"> Contrato de Concesión Parte General-Sección 8.1 (c )(ii)</t>
  </si>
  <si>
    <t xml:space="preserve">La sección 8.2(d) se expone que al finalizar la Etapa Preoperativa, el remanente de los recursos de la Subcuenta Redes serán de libre disposición de la ANI siendo la única beneficiaria de la totalidad de los recursos remanentes. Al respecto, solicitamos respetuosamente a la entidad nos sean aclaradas las razones por las cuales en el presente Proyecto, dichos remanentes no serán distribuidos entre el Concesionario y la ANI tal y como en proyectos de 4G estaba previsto. Al respecto, sugerimos mantener la distribución e dichos recursos tal y como se reguló en los Contratos de 4G. </t>
  </si>
  <si>
    <t xml:space="preserve"> Contrato de Concesión Parte General-Sección 8.2(d) </t>
  </si>
  <si>
    <t xml:space="preserve">Solicitamos a la entidad que por favor nos aclare las razones por las cuales, ante una Fuerza Mayor por Redes no habría lugar a la posibilidad de que las partes soliciten la Terminación Anticipada del Contrato de Concesión, sino que por el contrario estas, de no llegar a un acuerdo, deberán someterse a la decisión del Amigable Componedor. </t>
  </si>
  <si>
    <t xml:space="preserve"> Contrato de Concesión Parte General-Sección 8.2(i)(i)(2)</t>
  </si>
  <si>
    <t>En consideración a las fluctuaciones y variaciones que ha tenido el mercado, como consecuencia del impacto del COVID-19 en la economía mundial, la posible entrada en una recesión global y con esto la reducción abrupta en los precios del petróleo, lo cual ha afectado seriamente la producción de materiales, el transporte de bienes y, en general, las cadenas logísticas a nivel mundial, se le solicita comedidamente a la ANI que:</t>
  </si>
  <si>
    <t xml:space="preserve"> Contrato de Concesión Parte General-Sección 14</t>
  </si>
  <si>
    <t xml:space="preserve">- Se adicionen nuevos Eventos Eximentes de Responsabilidad en los que se prevea la posible afectación del cumplimiento de las obligaciones del Concesionario (incluidas las relacionadas con el cierre financiero) como consecuencia de eventos macroeconómicos que imposibiliten el cumplimiento del contrato o hagan que su cumplimiento resulte ser excesivamente oneroso para el Concesionario. </t>
  </si>
  <si>
    <t xml:space="preserve">En la sección 15.1(ix) se establece que ningún miembro del Amigable Componedor podrá ser contratista de ningún Concesionario de la ANI. Al respecto, solicitamos a la entidad que elimine dicha redacción atendiendo a que resulta excesivo impedir que contratistas de otros proyectos concesionados, puedan con su experticia, contribuir a resolver las diferencias que se generen entre las Partes en el presente Proyecto. De igual manera, la mencionada redacción podría llegar al extremo de impedir que un contratista de una concesión portuaria (concesionario de la ANI) pueda servir como Amigable Componedor del presente Proyecto. </t>
  </si>
  <si>
    <t xml:space="preserve"> Contrato de Concesión Parte General-Sección 15.1(ix)</t>
  </si>
  <si>
    <t xml:space="preserve">Atendiendo a lo dispuesto en la Sección 18.4(b)(i), en el evento en que surja la obligación de algún reconocimiento económico a cargo de la ANI y a favor del Concesionario, y los recursos de las subcuentas reguladas en la sección 18.2(c )(ii) no fueren suficientes, la ANI contará con un plazo de mil novecientos ochenta (1980) Días contados desde el Día Hábil siguiente a la fecha en que se suscriba el Acta de Liquidación del Contrato para el pago del saldo. Teniendo en cuenta lo anterior, solicitamos se nos aclare la razón para incluir el término específico de mil novecientos ochenta (1980) Días. Lo anterior considerando que entendemos que un plazo razonable para completar el ciclo presupuesta es de 540 Días (tal y como lo ha reconocido la ANI en varias secciones de la Parte General del Contrato). </t>
  </si>
  <si>
    <t xml:space="preserve"> Contrato de Concesión Parte General-Sección 18.4(b)(i)</t>
  </si>
  <si>
    <t>Se informa al interesado que el plazo establecido en el numeral 18.4.(b)(i) corresponde a lo previsto por el artículo 20 de la Ley 1882 de 2018 para el reconocimiento de valores al contratista en el marco de la liquidación del Contrato cuando una autoridad judicial declare la nulidad absoluta del mismo. La suma a reconocer al Concesionario será cancelada en 5 pagos anuales iguales, cuyo primer pago se efectuará quinientos cuarenta (540) Días después de la suscripción del Acta de Liquidación del Contrato y así sucesivamente.</t>
  </si>
  <si>
    <t xml:space="preserve">Teniendo en cuenta la coyuntura actual respecto de la situación de salud pública que vive el País con ocasión del COVID-19, y del impacto que esto traerá para la economía nacional y mundial, solicitamos respetuosamente a la entidad que evalúe la posibilidad de incluir aportes ANI (Vigencias Futuras), los cuales se encuentren en una porción, denominados en dólares. Lo anterior responde a la situación económica que enfrentará el País y en consecuencia, a la dificultad que esto implicará de cara a la obtención de la financiación del Proyecto. Sin duda esto serían un importante incentivo para promover la pluralidad de oferentes y la futura financiación del Proyecto. </t>
  </si>
  <si>
    <t xml:space="preserve"> Contrato de Concesión Parte Especial-Capítulo II (TABLA DE REFERENCIAS A LA PARTE GENERAL)</t>
  </si>
  <si>
    <t xml:space="preserve">Se aclara al interesado que uno de los elementos más relevantes de este proyecto es la estabilidad histórica de sus fuentes de recursos de Recaudo de Peaje, la cual no solo se considera suficiente para la ejecución del Proyecto,  sino que se considera superavitaria para el mismo. Por lo anterior, no se considera procedente la inclusión de aportes públicos dentro de las fuentes del Proyecto. </t>
  </si>
  <si>
    <t xml:space="preserve">Solicitamos a la entidad se aclare la razón por la cual el mes de referencia es el 31 de Diciembre de 2018, atendiendo a que el proceso de licitación fue abierto en el 2020. </t>
  </si>
  <si>
    <t xml:space="preserve">Se aclara al interesado que la fecha de referencia no tiene ninguna incidencia sobre la ejecución de las variables contractuales, toda vez que como su definición misma lo indica su función es únicamente dar una fecha referencial para las indexaciones y/o deflaciones respectivas. Dicho lo anterior la fecha de Dic de 2018, se deriva de las fases del proceso de estructuración y sus respectivos procesos de aprobaciones ante las entidades. </t>
  </si>
  <si>
    <t xml:space="preserve">Atendiendo a lo dispuesto en la sección 3.5 de la Parte Especial del Contrato de Concesión, el Concesionario deberá hacer el primer pago correspondiente al treinta por ciento (30%) de la Comisión de Éxito dentro de los treinta (30) días calendario siguientes al perfeccionamiento del Contrato de Concesión. Teniendo en cuenta lo anterior, solicitamos respetuosamente a la ANI que modifique el mencionado texto, para en su lugar incluir que el primer pago deberá llevarse a cabo una vez sea constituida la Fiducia para que estos montos sean computados en los giros de equity detallados en la Parte Especial del Contrato de Concesión.    </t>
  </si>
  <si>
    <t xml:space="preserve"> Contrato de Concesión Parte Especial-Sección 3.5</t>
  </si>
  <si>
    <t>De conformidad con lo establecido en la sección 3.8 (a) de la Parte Especial del Contrato de Concesión: 
“El plazo para que el Concesionario presente la totalidad de la documentación para acreditar el Cierre Financiero es de trescientos sesenta (360) Días contados desde la Fecha de Inicio”.
En consideración a las fluctuaciones y variaciones que ha tenido el mercado a nivel global, como consecuencia del impacto del COVID-19 en la economía mundial, la posible entrada en una recesión global, la reducción abrupta en los precios del petróleo y la rebaja en la calificación de Colombia a BBB- por parte de Fitch Ratings (lo cual ubica a Colombia cerca de perder el “grado de inversión”) se le solicita amablemente a la ANI que:
-  Se amplíe el plazo para acreditar el Cierre Financiero a un total de 540 Días, toda vez que el límite actual resulta bastante limitado teniendo en cuenta los hechos descritos anteriormente los cuales han afectado seriamente a la banca mundial, no solo en términos de agilidad en los tramites que se adelantan frente a instituciones financieras sino en consideración al hecho de que Colombia se encuentra a punto de perder el “grado de inversión”, lo cual podría hacer mucho más lenta la acreditación del Cierre Financiero.
Sobre este punto, también es necesario recalcar que va a ser necesario socializar con los financiadores los nuevos esquemas de remuneración que se incluyen para proyectos 5G, la nueva distribución de riesgos y, en particular, el hecho de que para este proyecto no se cuenta con vigencias futuras. Es preciso mencionar que la consecución de los recursos de financiación (y sus condiciones) depende mucho de cómo va evolucionando el mercado financiero.</t>
  </si>
  <si>
    <t xml:space="preserve"> Contrato de Concesión Parte Especial-Sección 3.8</t>
  </si>
  <si>
    <t xml:space="preserve">Teniendo en cuenta que en la sección 3.8 de la Parte Especial del Contrato de Concesión se establecieron los plazos de las Fases de la Etapa Preoperativa, solicitamos respetuosamente a la entidad que aclare que únicamente existirá incumplimiento por parte del Concesionario, cuando las razones por la cuales no se cumplieron todas las condiciones precedentes para el inicio de la siguiente fase  (de conformidad con lo establecido en la Parte General del Contrato de Concesión) resulten imputables al Concesionario.  Dicho de otra forma, si vencidas las fechas indicadas en la mencionada sección (12 meses  para la Fase de Preconstrucción y 48 meses para la Fase de Construcción), no se cumplen la totalidad de las condiciones precedentes por razones ajenas al Concesionario, no habrá lugar al incumplimiento del Concesionario. </t>
  </si>
  <si>
    <t>Teniendo en cuenta la coyuntura actual respecto de la situación de salud pública que vive el País con ocasión del COVID-19, y del impacto que esto traerá para la economía nacional y mundial, solicitamos respetuosamente a la entidad que evalúe la posibilidad de disminuir los montos correspondientes a los Giros de Equity que trata la sección 4.4 de la Parte Especial del Contrato de Concesión y que a su vez, dichos montos sean distribuidos en el tiempo para facilitar al Concesionario el aporte de estas sumas se dinero.  En caso de que su respuesta sea negativa, se le solicita comedidamente que nos explique: ¿Cuál es la justificación financiera para exigir un monto tan alto a la subcuenta predial?</t>
  </si>
  <si>
    <t xml:space="preserve"> Contrato de Concesión Parte Especial-Sección 4.4</t>
  </si>
  <si>
    <t xml:space="preserve">En relación con la fuente de los recursos para fondear la Subcuenta Contingencias, la Sección 4.5 (i) (i) de la Parte Especial del Contrato señala que se hará con cargo a los Recursos de Peaje hasta alcanzar el monto de $109.588.776.981 o la fecha máxima de 690 Días desde la Fecha de Inicio, lo que ocurra primero.  A su vez, en la cadena de pagos aplicable a los Recursos de Peaje, regulada en la TABLA DE REFERENCIAS A LA PARTE GENERAL, la Parte Especial del Contrato señala que luego de que se hagan los depósitos a la Subcuenta Depósito Especial del Recaudo (recursos que la ANI pretente usar libremente para servir como fuente de pago de otro proyecto de infraestructura) y a la Subcuenta creada para la UF 0, en tercer lugar los Recursos de Peaje se destinarán a fondear la Subcuenta Contingencias hasta alcanzar el monto  o la fecha máxima señalada. Con los recursos incluidos en esta Subcuenta Contingencias la ANI efectuará los aportes aprobados por el Ministerio de Hacienda y Crédito Público los cuales deberán ser girados desde el Patrimonio Autónomo al Fondo de Contingencias de las Entidades Estatales creado mediante la Ley 448 de 1998, en el momento en el que lo solicite la ANI y según corresponda con el Plan de Aportes vigente.
En otras palabras, a pesar de que la ANI ya cuenta con el 37,28% del total del Recaudo de Peaje del Proyecto y de que le está buscando transferir el riesgo de obtener o no el VPIP al Concesionario (al no incluir en la Parte General una fórmula de liquidación que reconozca el VPIP en caso de vencimiento del plazo del Contrato), la ANI está fondeando la obligación que tiene de aportar al Fondo de Contingencias de las Entidades Estatales con cargo a los Recursos de Peaje que el Concesionario (i.e. el respectivo proponente) presente en su oferta ecónomica en la Licitación. 
Por lo anterior, le solicitamos comedidamente a la ANI modificar las mencionadas secciones de la Parte Especial en el sentido de que el referido monto a ser aportado en la Subcuenta Contingencias sea fondeado con cargo a los recursos que sean depositados a favor de la ANI en la Subcuenta Depósito Especial del Recaudo. </t>
  </si>
  <si>
    <t xml:space="preserve"> Contrato de Concesión Parte Especial-Sección 4.5 (i) (i)</t>
  </si>
  <si>
    <t>Se informa al interesado que la observación no se considera procedente, ya que la estimación de los recursos netos para el proyecto (descontando los aportes a las subcuentas depósito especial y contingencias) resultan suficientes para la ejecución adecuada del proyecto y que los mecanismos referidos ya fueron consultados y aprobados por el Ministerio de Hacienda.</t>
  </si>
  <si>
    <t>De conformidad con lo establecido en el literal (h) de la Sección 4.5 “Fondeo de Subcuentas del Patrimonio Autónomo de la Parte Especial del Contrato de Concesión:
“(i) Durante el Plazo del Contrato, el cual se extenderá en los términos dispuestos en la Sección 2.4 de la Parte General, el Concesionario deberá transferir el Treinta y Siete coma Veintiocho por ciento (37,28%) del total del Recaudo de Peaje obtenido de las Estaciones de Peaje del Proyecto mencionadas en la sección 3.7 de esta Parte Especial a la Subcuenta Depósito Especial del Recaudo. Dicha transferencia se realizará de manera previa y de forma prioritaria antes de efectuar el depósito en la Subcuenta Contingencias y en la Subcuenta de Recaudo.”
Sobre lo anterior, se le solicita comedidamente a la ANI que, por favor reduzca el anterior porcentaje a, por ejemplo, 34%, con el fin de que el 3,28% restante del total del Recaudo se destine para (i) la ejecución de obras menores en el marco del cumplimiento de las obligaciones del Contrato de Concesión y/o (ii) para que dicho monto sirva de aporte al VIPIP, en el evento de que el Concesionario no alcance el VPIP durante el plazo del Contrato de Concesión.</t>
  </si>
  <si>
    <t xml:space="preserve"> Contrato de Concesión Parte Especial-Sección 4.5 (h)</t>
  </si>
  <si>
    <t xml:space="preserve">De acuerdo con lo establecido en la sección 6.1(g) de la Parte Especial del Contrato de Concesión, en caso de que el Concesionario adquiera mayor área a la requerida para el proyecto se causará una Multa por un valor equivalente al área adquirida en exceso, sin perjuicio que la titularidad de las áreas se mantenga en cabeza de la ANI. Al respecto, solicitamos respetuosamente a la ANI que dicha multa sea eliminada, atendiendo a que durante la ejecución del Contrato de Concesión, existen (i) sujetos encargados de la vigilancia y supervisión del Contrato (i.e. el Interventor); y además (ii) fue incluida la obligación de contar con planes y cronogramas encaminados a garantizar el cumplimiento de las obligaciones prediales a cargo del Concesionario, los cuales son revisados por dichos sujetos encargados de la vigilancia del Proyecto (como lo es la Interventoría). </t>
  </si>
  <si>
    <t xml:space="preserve"> Contrato de Concesión Parte Especial-Sección 6.1(g)</t>
  </si>
  <si>
    <t>Se informa al interesado que no se acepta su observación. 
Las multas previstas en la Parte Especial se causarán en el evento en que exista un hecho de incumplimiento imputable al Concesionario en ejecución del Contrato y la imposición de las mismas se regirá de acuerdo con lo señalado en el artículo 86 de la Ley 1474 de 2011 o las normas que lo modifiquen, complementen o sustituyan.</t>
  </si>
  <si>
    <t xml:space="preserve">Solicitamos respetuosamente a la entidad que se sirva de aclarar en la sección 6.1(u) que la Multa por no suscripción del Acta de Inicio de la Fase de Construcción únicamente será procedente cuando dicho evento no sea atribuible al Concesionario. De esta forma, si no es posible llevar a cabo la suscripción del Acta de Inicio de la Fase de Construcción por razones no atribuibles al Concesionario, la mencionada Multa no será procedente. </t>
  </si>
  <si>
    <t xml:space="preserve"> Contrato de Concesión Parte Especial-Sección 6.1(u)</t>
  </si>
  <si>
    <t xml:space="preserve">Solicitamos amablemente a la entidad confirmar si será expedido un documento CONPES con el objetivo de respaldar la asignación de riesgos contenida en la matriz de riesgos del Proyecto para proyectos de 5G, como es el presente caso. </t>
  </si>
  <si>
    <t xml:space="preserve"> Contrato de Concesión Parte Especial-Comentario General</t>
  </si>
  <si>
    <t xml:space="preserve">En el Apéndice Técnico 1 se establece que: "la Infraestructura de la ANI  se entregará al Concesionario en el estado en que se encuentre. Sin embargo, esta información no genera obligación alguna a cargo de la ANI, ni servirá de base para observación o condicionamiento de cualquier tipo, al momento de la entrega por pretendidas o reales diferencias entre esta información  y la real condición del Corredor del Proyecto". Consideramos necesario tener claridad sobre la real condición del Corredor del Proyecto, por esto solicitamos amablemente que se aclare y determine el estado y la real condición del Corredor del Proyecto, de manera tal que queden claras las obligaciones que el Contratista estaría asumiendo a futuro. </t>
  </si>
  <si>
    <t>Apéndice Técnico 1, Sección 3.1</t>
  </si>
  <si>
    <t>La debida diligencia del oferente debe incluir el análisis del estado y condición del activo para la preparación de la Oferta. 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Sin embargo debe hacerse claridad que las vías son actualmente operadas por INVIAS o por los municipios según corrresponda su jurisdicción.</t>
  </si>
  <si>
    <t xml:space="preserve">La Sección 4.1 del Apéndice Técnico 1  sectoriza las vías que hacen parte de la concesión en Unidades Funcionales. Al respecto, sugerimos fuertemente validar si desde una perspectiva técnica (independencia funcional) y financiera (que supere los 1000 SMMLV, de acuerdo con el Decreto 2100 de 2017) es posible aumentar el número de Unidades Funcionales del proyecto de forma que existe un mayor flujo de recursos para el Concesionario, lo que a su vez, favorecerá su  financiación. </t>
  </si>
  <si>
    <t>Apéndice Técnico 1, Sección 4.1</t>
  </si>
  <si>
    <t>No es procedente su solicitud por cuanto las definiciones de los elementos principales del Contrato ya surtieron los análisis y aprobaciones pertinentes. Se invita al interesado a estudiar las condiciones de la UF0 que permite la activación de la Retribución desde le fase de preconstrucción. Asi como, las posibilidades de optimización de plazos de la Fase de Construcción, de las UF de menor complejidad.</t>
  </si>
  <si>
    <t>En el Apéndice Técnico 1 se establece que: "Todas las bahías de paraderos de transporte público existentes en los costados de la vía hacen</t>
  </si>
  <si>
    <t xml:space="preserve">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En cuanto a la solicitud de que queden claras las obligaciones del contratista con relación a los paraderos, analizaremos su solicitud, y en el caso de proceder los ajustes se publicaran en el pliego definitivo. </t>
  </si>
  <si>
    <t>parte de las Unidades Funcionales y, por tanto, el Concesionario tendrá la obligaciones de intervenir sobre ellas". Consideramos necesario identificar las bahías y proporcionar más información al respecto, por esto solicitamos amablemente identificar estas bahías y brindar la información relevante sobre estas, de manera tal que queden claras las obligaciones que el Contratista estaría asumiendo a futuro.</t>
  </si>
  <si>
    <t xml:space="preserve">Solicitamos amablemente  aclarar la expresión "como mínimo", ya que no es clara la obligación que el Concesionario estaría asumiendo. </t>
  </si>
  <si>
    <t>Apéndice Técnico 1, Tabla 7.</t>
  </si>
  <si>
    <t>Las definiciones de obras especiales, pasos nacionales e intersecciones se entienden parte del resultado de desarrollar los Estudios de Trazado y Diseño Geométrico, así como los análisis de tránsito y seguridad vial del Estudios de Detalle. Sin embargo, en consideración que hay obras especiales, pasos nacionales e intersecciones que la ANI considera escenciales para el objeto del Proyecto, estas se listan como condición mínima obligatoria a tener en cuenta en el desarrollo de los Estudios de Trazado y Diseño Geométrico. Esta disposición no impide que el Concesionario sume más obras especiales o intersecciones para mejorar el cumplimiento de Especificaciones Técnicas y especialmente las obligaciones de resultado de los Indicadores.</t>
  </si>
  <si>
    <t xml:space="preserve">Sugerimos cordialmente que se pacte un cronograma entre las partes donde se establezcan las obligaciones concretas del Concesionario en tiempo y modo respecto al Mantenimiento y Rehabilitación periódica de los tramos. </t>
  </si>
  <si>
    <t>Apéndice Técnico 1, Tabla 8.</t>
  </si>
  <si>
    <t>La solicitud no es procedente porque las obligaciones generales son de resultado, y debe tenerse en cuenta la asignación de riesgos según la Sección 13.2 (a)(xv) que le asigna al Concesionario "Los efectos favorables y/o desfavorables derivados de las variaciones en las cantidades de obra que resulten necesarias para adelantar las obras de Mantenimiento y actividades de Operación y de las cantidades de obra que resulten necesarias para la consecución de los resultados previstos para las obras de Mantenimiento y actividades de Operación para cumplir con las obligaciones contractuales". De otra parte, se precisa que en el Apéndice Técnico 1 se consignan las Intervenciones que deberá adelantar el Concesionario, mientras que en la Parte Especial se fija los plazos máximos para realizar las intervenciones por Unidad Funcional, razón por la cual no es procedente la solicitud de pactar cronograma con las obligaciones concretas.</t>
  </si>
  <si>
    <t>Solicitamos amablemente  aclarar la expresión "como mínimo", ya que no es clara la obligación que el Concesionario estaría asumiendo.</t>
  </si>
  <si>
    <t>Apéndice Técnico 1, Tabla 9.</t>
  </si>
  <si>
    <t>La definiciones de obras especiales, pasos nacionales e intersecciones se entienden parte del resultado de desarrollar los Estudios de Trazado y Diseño Geométrico, así como los análisis de tránsito y seguridad vial del Estudios de Detalle. Sin embargo, en consideración que hay obras especiales, pasos nacionales e intersecciones que la ANI considera escenciales para el objeto del Proyecto, estas se listan como condición mínima obligatoria a tener en cuenta en el desarrollo de los Estudios de Trazado y Diseño Geométrico. Esta disposición no impide que el Concesionario sume más obras especiales o intersecciones para mejorar el cumplimiento de Especificaciones Técnicas y especialmente las obligaciones de resultado de los Indicadores.</t>
  </si>
  <si>
    <t>Apéndice Técnico 1, Tabla 12.</t>
  </si>
  <si>
    <t>Apéndice Técnico 1, Tabla 13.</t>
  </si>
  <si>
    <t>Apéndice Técnico 1, Tabla 14.</t>
  </si>
  <si>
    <t>Solicitamos amablemente  aclarar la expresión "como mínimo", ya que no es clara la obligación que el Concesionario estaría asumiendo</t>
  </si>
  <si>
    <t>Apéndice Técnico 1, Tabla 16.</t>
  </si>
  <si>
    <t>Apéndice Técnico 1, Capítulo 5, párrafo introductorio.</t>
  </si>
  <si>
    <t xml:space="preserve">En el Apéndice Técnico 1 se establece que: "La localización de puentes peatonales es referencial, estará a cargo del Concesionario la definición de su ubicación teniendo en cuenta factores como operación de la vía y seguridad vial. El Concesionario deberá realizar una propuesta de tipo y ubicación soportada en un estudio de Análisis de Flujo Peatonal considerando las necesidades de cada población y del resultado de su interacción con las autoridades locales". . Entendemos que la ANI de la mano con el ente estructurador deberían conocer esta localización y establecer el lugar donde estos puentes deberán estar localizados, en alusión al deber de planeación que se deriva de la elaboración de estos documentos. Por tal razón, sugerimos cordialmente que la localización de los puentes peatonales sea definida por la ANI. Lo anterior debido al alto riesgo social que la localización de estos puentes pueden implicar para el Concesionario </t>
  </si>
  <si>
    <t>Apéndice Técnico 1, Sección 5.5.</t>
  </si>
  <si>
    <t>La solicitud no es procedente porque la ubicación de los puentes peatonales debe corresponder con los demás elementos que desarrolle el Concesionario en: los Estudios Trazado y Diseño Geométrtico, en los Estudios de Detalle y del propio análisis de ubicación para esos puentes; ademas de la concertación con las respectivas alcaldías, así como con las autoridades municipales competentes de cada Municipio, teniendo en cuenta para ello los planes locales de manejo del espacio público y el plan de desarrollo del municipio. De otra parte, la planeación debida del Proyecto indica que se debe dotar al Proyecto de puentes peatonales, y se incluyen las condiciones para que las actividades sociales puedan ser abordadas por el Concesionario.</t>
  </si>
  <si>
    <t xml:space="preserve">En el Apéndice Técnico 1 se establece que: "El Concesionario deberá realizar una propuesta de tipo y ubicación soportada en un estudio de Análisis de Flujo Peatonal considerando las necesidades de cada población y del resultado de su interacción con las autoridades locales". Entendemos que la ANI de la mano con el ente estructurador deberían conocer esta localización y establecer el lugar donde estos puentes deberán estar localizados, en alusión al deber de planeación que se deriva de la elaboración de estos documentos. Sugerimos cordialmente que el Análisis de Flujo Peatonal  sea realizado por la ANI. Lo anterior debido al alto riesgo social que la localización de estos puentes implican para el Concesionario. </t>
  </si>
  <si>
    <t xml:space="preserve">En el Apéndice Técnico 1 se establece que: "Construcción, rehabilitación, repotenciación o mantenimiento de las obras de estabilización, revegetalización y mantenimiento de taludes y muros de contención que comprenda, en general, toda la infraestructura necesaria para garantizar la estabilidad de la obra. Debe garantizarse la estabilidad geotécnica y geológica de todos los taludes y cortes durante la construcción, operación y mantenimiento. Dentro de todas las Intervenciones se incluyen para todo el Proyecto, todas las soluciones en ingeniería que se deban implementar para el tratamiento y estabilización geotécnica y geológica de taludes". Consideramos que esta cláusula es amplia y vaga, pues en este proyecto se está concesionando una  carretera y no una cadena de montañas. Sugerimos amablemente que se señalen los puntos concretos en toda la extensión en la vía que serán objeto de actividades de estabilización y taludes, ya que de lo contrario ningún proponente podrá delimitar con certeza el monto de las inversiones que deberá hacer con ocasión de esta obligación. </t>
  </si>
  <si>
    <t>Apéndice Técnico 1, Sección 6.2.(ii)</t>
  </si>
  <si>
    <t>Se informa que durante la estructuración se cuantificaron las obras de estabillización generadas por el trazado proyectado en dicha etapa. Sin embargo, el Concesionario en sus estudios y diseños Fase III deberá estimar las obras de estabilización necesarias, para el cumplimiento de los Apéndices, en especial del indicador de disponibildiad consignado en el Apéndice técnico 4. De otra parte, tanto en la Parte General, sección de riesgos asignados al Concesonario, como en la Parte Especial se consigna dicha regulación.</t>
  </si>
  <si>
    <t>El Apéndice Técnico 2 establece que la: "Siembra y Mantenimiento de la cerca viva" será un servicio de carácter obligatorio por parte del Concesionario. Sugerimos amablemente se elimine esta obligación, pues consideramos que la misma no corresponde dentro de las actividades propias del Concesionario, además puede tener un importante impacto en los costos del proyecto.</t>
  </si>
  <si>
    <t>Apéndice Técnico 2, Sección 2.1.(x)</t>
  </si>
  <si>
    <t>No se considera procedente su solicitud. Ademas, dicho costo ya se encuentra cuantificado, por lo que la siembra y el mantenimiento de la cerca viva, no genera un impacto importante en los costos de las intervenciones del proyecto.</t>
  </si>
  <si>
    <t>Solicitamos amablemente  aclarar la expresión "elementos mínimos", ya que no es claro el total y los elementos que se requieren para el rescate en caso de accidentes .</t>
  </si>
  <si>
    <t>Apéndice Técnico 2, Tabla 2.</t>
  </si>
  <si>
    <t>Se entiende que lo elementos minimos son los exigibles al Concesionario. Sin embargo este podrá incluir más elementos a su cuenta y riesgo si a su juicio son necesarios para el cumplimiento de las obligaciones de Operación y Mantenimiento.</t>
  </si>
  <si>
    <t>El Apéndice Técnico 2 establece que: "Las Áreas de Servicio proporcionarán como mínimo los siguientes servicios complementarios de atención al Usuario". Solicitamos amablemente  aclarar la expresión "como mínimo", ya que no es clara la obligación que el Concesionario estaría asumiendo.</t>
  </si>
  <si>
    <t>Apéndice Técnico 2, Sección 3.3.3.4</t>
  </si>
  <si>
    <t>Le serán exigibles al Concesionario los servicios complementarios de atención al Usuario, señalados e identificados "como minimos". Sin embargo el concesionario podrá incluir más elementos a su cuenta y riesgo si a su juicio son necesarios para el cumplimiento de las obligaciones de Operación y Mantenimiento.</t>
  </si>
  <si>
    <t>El Apéndice 2 estable que: "Adicionalmente, el Concesionario deberá generar información histórica consolidada con una periodicidad que como mínimo deberá ser mensual, generando tablas de datos planos de acceso público de cada uno de los Indicadores de seguimiento de la Concesión, siguiendo las directrices de datos abiertos que el Ministerio de las TIC ha impartido".  Solicitamos amablemente aclarar la expresión "como mínimo", ya que no es clara la obligación que el Concesionario estaría asumiendo.</t>
  </si>
  <si>
    <t>Apéndice Técnico 2, Sección 3.3.10.2</t>
  </si>
  <si>
    <t>El Concesionario debe presentar obligatoriamente una vez al mes la información solicitada, sin que esto impida que consolide la información y la entregue en frecuencias menores a un mes.</t>
  </si>
  <si>
    <t xml:space="preserve">El Apéndice 2 establece que que: "Independientemente del sistema de recaudos que adopte el Concesionario, éste deberá implantar un sistema de identificación de violaciones que registrará la imagen de los vehículos infractores. La imagen deberá permitir identificar, la naturaleza de la infracción en forma inequívoca, así como también los datos del vehículo infractor. Se debe cumplir con la Resolución 0718 del 22 de marzo de 2018 “por el cual se reglamentan los criterios técnicos para la instalación y operación de medios técnicos o tecnológicos para la detección de presuntas infracciones al tránsito y se dictan otras disposiciones”. No obstante, esta Resolución en su Art.3 (j) establece de manera general a los SAST como aquellos "Sistemas o equipos automáticos, semiautomáticos y otros medios tecnológicos para la detección de presuntas infracciones de tránsito", además de definir el procedimiento mediante el cual se autorizará su instalación, las condiciones de calidad bajo las cuales deberán operar, su mantenimiento y calibración y su señalización. No obstante, entendemos que esta Resolución no otorga las facultes a quienes operen SAST de identificar de forma inequívoca la infracción, además de los datos del vehículo. Razón por la cual consideramos que esta obligación se aparta de las capacidades del Concesionario, como de las obligaciones que dicha Resolución le otorga. Por esta razón solicitamos amablemente se elimine esta obligación. </t>
  </si>
  <si>
    <t>Apéndice Técnico 2, Sección 3.3.4.5.</t>
  </si>
  <si>
    <t xml:space="preserve">El Apéndice 2 establece que: "En la Etapa Preoperativa esta obligación estará limitada a un cuerpo de efectivos policiales necesario para cubrir los tres turnos del Día, el número de efectivos policiales necesario para cubrir los turnos en la Etapa Preoperativa y Operativa será determinado conjuntamente entre la Policía de Carreteras, el Concesionario y la Interventoría, acorde con los recursos fondeados". Consideramos que la participación del Concesionario en esta coordinación es poco relevante e innecesaria, razón por la cual solicitamos amablemente que los entes encargados de determinar dichos turnos sean la Interventoría y la Policía de Carreteras. Así mismo, solicitamos que se incluya expresamente en el Apéndice 2 que el Concesionario no realizará gestión alguna de dichos recursos de forma que corresponde a una responsabilidad exclusiva de la Policía y de la Interventoría. </t>
  </si>
  <si>
    <t>Apéndice Técnico 2, Sección 3.3.9.2</t>
  </si>
  <si>
    <t>La solicitud no es procedente, las actividades de la Policía de Carreteras por la importancia que tienen en la Operación del Proyecto deben desarrollarse de forma coordinada con el Concesionario. Los mecanismos de manejo de los recursos ya incluyen la Subcuenta Policía de Carreteras conforme a lo previsto en la Sección 3.14(g)(viii) de la Parte General.</t>
  </si>
  <si>
    <t>El Apéndice 2 establece que: "El Concesionario estará obligado a fondear en la Subcuenta Policía de Carreteras los recursos que se indican y en los plazos establecidos en la Parte Especial, para que la Policía de Carreteras desempeñe sus funciones en las vías que fueron entregadas al Concesionario". Si bien estamos de acuerdo con la realización del Protocolo de Coordinación con la Policía de Carreteras, solicitamos amablemente que se establezca clara y expresamente que las obligaciones del Concesionario serán únicamente fondear esta subcuenta en alusión a las obligaciones derivadas del Protocolo y que el Concesionario no ejerce bajo ninguna forma gestión fiscal sobre la misma.</t>
  </si>
  <si>
    <t>Solicitamos amablemente aclarar la redacción de la siguiente frase, pues no es clara la obligación que el Concesionario estaría asumiendo: "El separador central y las márgenes de la calzada deberán estar en buen estado de limpieza. Para garantizarlo, el Concesionario se obliga mantener estas zonas al menos dos (2) veces al año tendrá que limpiarlo". De nuestro entendimiento ser correcto, se estaría estableciendo la obligación de limpieza del separador al menos dos veces al año  por favor confirmar si nuestro entendimiento es correcto. Sugerimos amablemente determinar un periodo de tiempo claro para  la modalidad de tiempo "al menos"</t>
  </si>
  <si>
    <t>Apéndice Técnico 2, Sección 6.3.6.2.</t>
  </si>
  <si>
    <t>Su entiendimiento es correcto, en lo referente a que la obligación de limpieza del separador será de al menos dos veces al año.</t>
  </si>
  <si>
    <t>El Apéndice Técnico 7 establece que: "Identificación de áreas requeridas. El Concesionario es el responsable de identificar correctamente los predios y las áreas requeridas que serán objeto de adquisición; así mismo, asumirá la responsabilidad derivada de haber adquirido mayores áreas a las requeridas según el diseño. Esta identificación con sus respectivas áreas incluye las eventuales Áreas Remanentes No Desarrollables. En caso de que el Concesionario adquiera</t>
  </si>
  <si>
    <t xml:space="preserve">Apéndice Técnico 7, Sección 4.3.(c).(iii) </t>
  </si>
  <si>
    <t>Se informa al interesado que no se acepta su observación. 
Las multas previstas en la Parte Especial se causarán en el evento en que exista un hecho de incumplimiento imputable al Concesionario en ejecución del Contrato y la imposición de estas se regirá de acuerdo con lo señalado en el artículo 86 de la Ley 1474 de 2011 o las normas que lo modifiquen, complementen o sustituyan.
Se aclara que según la Sección 7.1 de la Parte General, “La totalidad de la Gestión Predial es obligación y responsabilidad del Concesionario” y como parte de esta se encuentra la identificación de áreas requeridas.</t>
  </si>
  <si>
    <t xml:space="preserve">mayor área a la requerida incurrirá en la multa establecida en la Parte General del Contrato". Nos oponemos a dicha multa, pues no debería ser aplicable al Concesionario, ya que la identificación del área requerida no recae únicamente en él, por esta razón solicitamos amablemente no se establezca esta penalidad. </t>
  </si>
  <si>
    <t>Se informa al interesado que no se acepta su solicitud. Las multas previstas se causarán en el evento en que exista un hecho de incumplimiento imputable al Concesionario en ejecución del Contrato y la imposición de las mismas se regirá de acuerdo con lo señalado en el artículo 86 de la Ley 1474 de 2011 o las normas que lo modifiquen, complementen o sustituyan.
Se aclara que según la Sección 7.1 de la Parte General, “La totalidad de la Gestión Predial es obligación y responsabilidad del Concesionario” y como parte de esta se encuentra la identificación de áreas requeridas.</t>
  </si>
  <si>
    <t xml:space="preserve">mayor área a la requerida incurrirá en la multa establecida en la Parte General del Contrato". Solicitamos amablemente se elimine esta responsabilidad por parte del Concesionario en tanto que el proceso de revisión de las áreas a ser adquiridas es un proceso en el que participan tanto la Interventoría como la ANI. </t>
  </si>
  <si>
    <t xml:space="preserve">El Apéndice Técnico 7 establece que: "Será obligatorio la realización de un avalúo puntual para cada uno de los predios. El avalúo de los predios deberá ser realizado por el INSTITUTO GEOGRAFICO AGUSTIN CODAZZI, la entidad que haga sus veces o por un gremio, empresa avaluadora o, lonja de propiedad raíz. En todo caso, cuando sea elaborado por un gremio, empresa avaluadora o lonja de propiedad raíz, ésta deberá elaborar un Avalúo Comercial Corporativo del Predio". Solicitamos que se reconsidere que el INSTITUTO GEOGRAFICO AGUSTIN CODAZZI sea la única entidad encargada de estos avalúos. Consideramos que este Instituto puede ver sobrepasada su capacidad cuando se le soliciten numerosos avaluos y que las lonjas de reconocida reputación en el área del proyecto también pueden realizar los avaluos. Solicitamos amablemente este apartado se mantenga de la misma manera en que fue establecido para las 4G o que sea revisado y replanteado. </t>
  </si>
  <si>
    <t>Apéndice Técnico 7, Sección 4.6</t>
  </si>
  <si>
    <t>Se aclara al interesado que no se establece que el IGAC sea la única entidad encargada y se admiten los avalúos corporativos de gremios, empresa avaluadoras o lonjas. En el Apéndice técnico 7, el literal (d) del numeral 4.6 establece que “ … El avalúo de los predios deberá ser realizado por el INSTITUTO GEOGRAFICO AGUSTIN CODAZZI, la entidad que haga sus veces o por un gremio, empresa avaluadora o, lonja de propiedad raíz.”</t>
  </si>
  <si>
    <t xml:space="preserve">El Apéndice Técnico 7 establece que: "Será de obligatorio cumplimiento por parte del Concesionario radicar ante la Interventoría y la ANI, con periodicidad mensual, desde el inicio de la Fase de Preconstrucción y mientras se ejecute toda la Gestión Predial de las Unidades Funcionales del proyecto, la información predial conforme lo establecen los Anexos (Formatos) 3, 4 y 5 que hacen parte de este Apéndice. Como complemento a esta información, el concesionario deberá enviar mensualmente un informe escrito en el que describa y analice el avance de la gestión predial, la problemática que se presenta y las propuestas o alternativas de solución". Sugerimos cordialmente que este informe tenga una periodicidad por lo menos bimestral, en alusión a los tiempos que se puede demorar la gestión predial y que por lo tanto habrá meses en los que no habrá novedades que reportar. </t>
  </si>
  <si>
    <t>Apéndice Técnico 7, Sección 5.12.(a)</t>
  </si>
  <si>
    <t>Se informa al interesado que no se acepta su solicitud. La gestión predial implica una serie de actividades concatenadas y de ejecución continua en el tiempo, por tal razón se considera que debe haber un seguimiento frecuente y por lo tanto un reporte mensual.</t>
  </si>
  <si>
    <t>El Apéndice Técnico 8 establece que: "Por último, en caso de ser requerido, deberá contar con profesionales de apoyo, para el cumplimiento de las obligaciones a su cargo, con experiencia en gestión social y/o desarrollo de proyectos comunitarios". Solicitamos amablemente se establezca el número, características y calidades específicas que estos profesionales deberán tener, ya que no es clara la obligación que el Concesionario estaría asumiendo.</t>
  </si>
  <si>
    <t xml:space="preserve">Apéndice Técnico, Capítulo 8. </t>
  </si>
  <si>
    <t xml:space="preserve">Solicitamos amablemente corregir este Anexo, pues se está solicitando información tanto del CAPEX como del OPEX de los años 2014 hasta el 2019.  </t>
  </si>
  <si>
    <t>Apéndice Financiero 1: Información Financiera</t>
  </si>
  <si>
    <t>Se informa al interesado que la Entidad considera procedente la observación y realizarán los ajustes respectivos en los Pliegos Definitivos.</t>
  </si>
  <si>
    <t>Apéndice Financiero</t>
  </si>
  <si>
    <t>BRIGARD URRUTIA, 22/04/2020</t>
  </si>
  <si>
    <t>De conformidad con lo establecido en la Sección 4.6.4 del Proyecto de Pliego de Condiciones:</t>
  </si>
  <si>
    <t>PROYECTO DE PLIEGO DE CONDICIONES - Sección 4.6.4</t>
  </si>
  <si>
    <t>Se informa   al interesado que el Compromiso Irrevocable de Inversión constituye una garantía líquida que facilita el cobro por parte de la Entidad en caso de incumplimiento del Oferente.  En esta medida, los Oferentes que participen con un Fondo de Capital Privado cuentan con una garantía que respalda sus obligaciones financieras, a diferencia de los Oferentes que participan sin este respaldo razón por la cual se exige la suscripción de un Acuerdo de Garantía.
El Compromiso Irrevocable de Inversión es un título ejecutivo en la medida en que incluye una obligación clara, expresa y exigible. Teniendo en cuenta la naturaleza de este documento, no resulta necesaria la suscripción de un Acuerdo de Garantía adicional toda vez que la ANI podrá exigir el cumplimiento del dicho compromiso al Fondo de Capital Privado de forma inmediata sin requerir ningún documento adicional.
Finalmente, se aclara al interesado que el Compromiso Irrevocable de Inversión y el Acuerdo de Garantía son similares en la medida en que ambos respaldan la obligación del Oferente frente a la Entidad.</t>
  </si>
  <si>
    <t>“4.6.4 Cuando se presenten Ofertas con respaldo de Fondos de Capital Privado en lo que respecta a Experiencia de Inversión y/o Capacidad Financiera, estos no se encuentran obligados a suscribir el Acuerdo de Garantía (Anexo 3).”</t>
  </si>
  <si>
    <t>Teniendo en cuenta que esta es la única excepción que existe respecto de la obligación de suscribir el Anexo de Garantía (Anexo 3), se solicita amablemente a la Entidad que aclare:</t>
  </si>
  <si>
    <t>• ¿Cuál es el fundamento que justifica el trato diferencial para las ofertas que son respaldadas por Fondos de Capital Privado?</t>
  </si>
  <si>
    <t>• ¿Por qué no es necesario que los Fondos de Capital Privado que respaldan un oferente no deban suscribir el Acuerdo de Garantía?</t>
  </si>
  <si>
    <t>• ¿El Compromiso Irrevocable de Inversión que otorguen dichos Fondos de Capital Privado es equivalente al Acuerdo de Garantía?</t>
  </si>
  <si>
    <t>En la Sección 5.4 del Proyecto de Pliego de Condiciones se regula la forma en la que se otorgarán los puntos correspondientes al “Incentivo a la Industria Nacional” (en total 100 puntos), en particular en el literal (b) de esta sección se mencionan los puntos que podría obtener un proponente de origen extranjero dependiendo del porcentaje de bienes nacionales que estos utilicen para la ejecución del contrato:</t>
  </si>
  <si>
    <t>PROYECTO DE PLIEGO DE CONDICIONES - Sección 5.4</t>
  </si>
  <si>
    <t xml:space="preserve">Se informa al interesado lo siguiente: 
1. Teniendo en cuenta que el artículo 2.2.1.1.1.3.1. del Decreto 1082 define los servicios nacionales como aquellos “Servicios prestados por personas naturales colombianas o residentes en Colombia o por personas jurídicas constituidas de conformidad con la legislación colombiana”, resulta claro que para las personas jurídicas se tendrá en cuenta el lugar de constitución de la sociedad y no el lugar en el que se encuentre la sucursal. 
De conformidad con lo indicado, se obtendrá puntaje por este subcriterio las empresas constituidas en Colombia o aquellas constituidas en otro país con el que exista trato nacional o trato reciproco. 
2. En lo relacionado con el Anexo 20 su entendimiento es correcto y, en consecuencia, el oferente deberá diligenciar el Anexo 14 para la obtención de puntos bajo el subcriterio de "incorporación de bienes nacionales".
</t>
  </si>
  <si>
    <t>“(b) Incorporación de bienes nacionales: Para la aplicación de este criterio se 1 tendrá en cuenta lo dispuesto por el segundo inciso del artículo 2º de la Ley 816 de 2003. Los Oferentes de origen extranjero o aquellos en que la totalidad de la estructura plural no sea nacional, de conformidad con lo dispuesto en el numeral 5.4 de este Pliego de Condiciones, que ofrezcan determinado porcentaje de bienes nacionales en la infraestructura objeto del  contrato, obtendrán el siguiente puntaje:”</t>
  </si>
  <si>
    <t>Sobre la anterior posibilidad, le solicitamos amablemente a la entidad que confirme nuestros siguientes entendimientos:</t>
  </si>
  <si>
    <t>1. Entendemos que una sociedad extranjera que tiene abierta una sucursal en Colombia, por el hecho de estar constituida de conformidad con la legislación colombiana, obtendrá los 100 puntos bajo el subcriterio de "servicios de origen nacional", independientemente de si proviene de un país respecto del cual no existe un Tratado de Libre Comercio/Acuerdo Comercial suscrito con Colombia. Favor confirmar si nuestro entendimiento es correcto.</t>
  </si>
  <si>
    <t>2. Entendemos que para la obtención de los puntos bajo el subcriterio de "incorporación de bienes nacionales", solamente es necesario que el respectivo proponente diligencie el Anexo 14 “Formato de Declaración de Porcentaje de Bienes Nacionales”. Favor confirmar si nuestro entendimiento es correcto o si es necesario adjuntar un documento adicional a este, por ejemplo, el Anexo 20 “Partidas Arancelarias de los Bienes de Apoyo a la 36 Industria Nacional”</t>
  </si>
  <si>
    <t>En repetidas ocasiones, dentro del Proyecto de Pliego de Condiciones y los Anexos que deben ser suscritos por los proponentes, se indica lo siguiente (por ejemplo, en la sección 7.4 del Proyecto de Pliego de Condiciones):</t>
  </si>
  <si>
    <t>PROYECTO DE PLIEGO DE CONDICIONES- Sección 7.4</t>
  </si>
  <si>
    <t>“Los proponentes, con la presentación de su propuesta, aceptan levantar el velo corporativo cuando quiera que ello sea necesario para la verificación de la inexistencia de cualquier conflicto de interés, inhabilidad y/o incompatibilidad, actos de corrupción, colusión y aquellos que afecten la libre y leal competencia, en expresa aplicación del Principio de Transparencia como lineamiento íntegro de la contratación pública y de la actuación de los particulares ante la Entidad.”</t>
  </si>
  <si>
    <t>Al respecto se solicita a la Entidad que se sirva aclarar lo siguiente:</t>
  </si>
  <si>
    <t>• ¿Cuál es el fundamento jurídico y propósito de realizar este tipo de solicitudes?</t>
  </si>
  <si>
    <t>• ¿Esta aceptación le otorga plena libertad a la ANI para que unilateralmente solicite el levantamiento del velo corporativo con la simple sospecha de que se presentó alguno de los eventos mencionados en esta cláusula o esto solo procede en el evento de que existan hallazgos formales por parte de una autoridad judicial?</t>
  </si>
  <si>
    <t>• ¿La aceptación de levantar el velo corporativo implica que podría haber una eventual responsabilidad solidaria de parte de los accionistas del futuro Concesionario? Entendemos que bajo el Art. 18 de la Ley 1682 de 2013 en los proyectos de APP no resulta aplicable responsabilidad solidaria, en tanto que dicha norma señala lo siguiente: "Las personas jurídicas que ejecuten proyectos de infraestructura bajo la modalidad de Asociación Público Privado su régimen de responsabilidad será el que se establezca en las leyes civiles y comerciales de acuerdo con el tipo de empresa que conforme".</t>
  </si>
  <si>
    <t>• En caso de que la anterior respuesta sea que sí podría haber lugar a la existencia de responsabilidad solidaria de los accionistas de un proponente, teniendo en cuenta que es posible que este proponente haga parte de una estructura compleja de un Grupo Empresarial, ¿Hasta dónde se entiende que podría llegar la respectiva responsabilidad solidaria, es decir, abarcaría a todas las sociedades o accionistas que se encuentren encima del proponente? Creemos que claramente NO debe haber ninguna ruptura del velo corporativo en tanto que ello afectaría la estructura de project finance del proyecto.</t>
  </si>
  <si>
    <t>Sin perjuicio de las anteriores preguntas, adicionalmente se le solicita a la entidad que considere la eliminación de este tipo de declaraciones pues teniendo en cuenta que para la ejecución de este tipo de obras es necesario que se adelante un Project Finance, y que, para que un interesado decida participar en este proyecto, es necesario que la responsabilidad de su compañía se encuentre claramente delimitada; dichas variables podrían verse afectadas con la posibilidad de que se levante el velo corporativo del proponente de manera irrestricta e ilimitada y, así, se afecte gravemente el interés de que los potenciales compañías internacionales inviertan en este tipo de proyectos.</t>
  </si>
  <si>
    <t>En el Anexo 2 se incluye una serie de declaraciones a cargo del Proponente entre las que se encuentran las señaladas en la sección (e) y las subsecciones a) hasta la d):</t>
  </si>
  <si>
    <t>ANEXO 2 CARTA DE PRESENTACIÓN DE LA OFERTA</t>
  </si>
  <si>
    <t xml:space="preserve">El entendimiento del interesado no es adecuado.
El Anexo 2 del Proyecto de Pliego es claro en señalar que los oferentes deben adelantar las evaluaciones y estimaciones necesarias para presentar su Oferta, teniendo en cuenta que, como el mismo Pliego lo señala, los estudios adelantados y puestos a disposición en publicados en el cuarto de datos son de referencia.
Los estudios publicados corresponden a nivel fase II para este tipo de proyecto; por lo tanto, los potenciales inversionistas deberán hacer sus propios estudios y análisis técnicos, comerciales, jurídicos y financieros para determinar el valor de sus Ofertas.
</t>
  </si>
  <si>
    <t>“(e) Que hemos visitado los sitios donde se ejecutará el Proyecto y hemos tomado atenta nota de sus características y su situación actual, por lo cual declaro(amos) –bajo la gravedad del juramento que:</t>
  </si>
  <si>
    <t xml:space="preserve">     a) Visitamos e inspeccionamos los sitios en los cuales se desarrollará el Proyecto. Así mismo, realizamos todas las evaluaciones y estimaciones que fueron necesarias  para presentar la Oferta sobre la base de un examen cuidadoso de sus características, incluyendo los estudios, diseños, evaluaciones y verificaciones que consideramos necesarios para formular la Oferta.</t>
  </si>
  <si>
    <t xml:space="preserve">      b) Aceptamos y conocemos el detalle de la infraestructura existente, el alcance de la intervención de cada una de las Unidades Funcionales que se incluyen dentro del proyecto, así como los puntos de inicio y fin de cada una de ellas y las obligaciones de operación y mantenimiento establecidas en el contrato, sus Apéndices Técnicos y documentos anexos.</t>
  </si>
  <si>
    <t xml:space="preserve">    c) Por consiguiente, conocemos las características y situación actual del Proyecto, y</t>
  </si>
  <si>
    <t xml:space="preserve">     d) Con la presentación de la Oferta se ha considerado la viabilidad financiera del Contrato, bajo las condiciones contenidas en nuestra Oferta, y que hemos hecho un cuidadoso examen de los sitios de la obra e investigado plenamente las condiciones de trabajo, los riesgos, y en general, todos los factores determinantes de los costos de ejecución de los trabajos, los cuales se incluyen en los términos de nuestra Oferta.”</t>
  </si>
  <si>
    <t>Sobre lo anterior se le solicita a la entidad que confirme que:</t>
  </si>
  <si>
    <t xml:space="preserve">- Estas declaraciones NO implican que el Proponente se encuentre en la obligación de realizar estudios adicionales equivalentes a los que ya ha adelantado la ANI. Es decir, que el Proponente no requiere adelantar estudios desde cero frente, por ejemplo,  a las condiciones ambientales, prediales y de redes del proyecto, en tanto que dichos estudios ya fueron efectuados por le ANI en el marco del principio de planeación que le asiste bajos las normas de contratación estatal. Lo anterior es especialmente relevante debido a que el plazo que ha tenido la ANI para realizar dichos estudios nunca será equiparable al que tienen los proponentes para participar en la Licitación y mucho más teniendo en cuenta las limitaciones impuestas por el aislamiento preventivo obligatorio que ha sido aplicable en el país en las últimas semanas. </t>
  </si>
  <si>
    <t xml:space="preserve">En este anexo se solicita información sobre la estructura organizacional de los proponentes y para ello se incluye una casilla en una tabla donde dicha información debe ser depositada. Teniendo en cuenta que, existen proponentes que pertenecen a grandes grupos empresariales, se le solicita a la entidad confirmar si, es posible que la información que aparece en dichas casillas pueda ser incluida  a través de documentos adjuntos a dicho anexo para efectos de otorgar mayor claridad sobre los datos que se requieren. </t>
  </si>
  <si>
    <t>Se informa al interesado que sí es posible aportar la información relativa a la estructura organizacional de los proponentes a través de documentos adjuntos al Anexo 5, siempre y cuando se encuentren debidamente relacionados en la casilla correspondiente.</t>
  </si>
  <si>
    <t xml:space="preserve">ANEXO 5: DECLARACIÓN DE BENEFICIARIOS REALES, SITUACIÓN DE CONTROL Y DIAGRAMA DE LA ESTRUCTURA ORGANIZACIONAL. </t>
  </si>
  <si>
    <t>Se le solicita a la entidad indicar si  (i) este documento debe ser suscrito solamente por el Banco que otorga el respectivo Cupo de Crédito Específico o si también debe ser firmado por el proponente y (ii) si este anexo debe ir acompañado de algún comprobante adicional o no sobre la existencia del otorgamiento del respectivo cupo de crédito.</t>
  </si>
  <si>
    <t>ANEXO 11</t>
  </si>
  <si>
    <t>Se informa al interesado lo siguiente:
1. El Anexo 11 sobre Cupo de Crédito Específico debe ir diligenciado por el Banco Aceptable que certifique la existencia del correspondiente cupo de crédito.
2. De acuerdo con lo señalado en la Sección 4.3.6.(viii) del Pliego de Condiciones, las certificaciones de Cupo de Crédito deben estar acompañadas de un documento donde se demuestre que la persona que suscribe la certificación es representante legal del Banco Aceptable.</t>
  </si>
  <si>
    <t>CUPO DE CRÉDITO ESPECÍFICO</t>
  </si>
  <si>
    <t>Se le solicita a la entidad indicar si para el diligenciamiento del Anexo 13 solamente es necesario entregar el ANEXO  13 en donde se indique (i) el proponente,  (ii)  incluir el valor de la oferta económica a ser presentada por el proponente, la cual no debe ser superior al Valor Máximo de la Oferta Económica (  COP $2.784.605.796.449) y  (iii)la firma por el representante de dicho proponente quien debe tener los poderes necesarios para firmarla. Por lo tanto, no es necesario allegar un documento adicional a este anexo.</t>
  </si>
  <si>
    <t>ANEXO 13 - OFERTA ECONÓMICA</t>
  </si>
  <si>
    <t xml:space="preserve">Se informa al interesado que la Oferta Económica deberá ser presentada por los Oferentes a través del Anexo 13 debidamente diligenciado. En línea con lo señalado por la Sección 5.2.4., cualquier documento adicional incluido en la Oferta Económica no será tenido en cuenta por la ANI para la evaluación de la misma. 
Así mismo, se informa al interesado que las "Comas" deberán ser usadas para separar decimales y los "Puntos" para separar el número entero. </t>
  </si>
  <si>
    <t xml:space="preserve">En adición a lo anterior, se solicita a la entidad confirmar en qué casos  el número correspondiente al Valor de la Oferta debe llevar "Comas" o "Puntos". </t>
  </si>
  <si>
    <t>En este Anexo se menciona que, además del diligenciamiento del mismo se debe remitir el siguiente certificado :</t>
  </si>
  <si>
    <t>ANEXO 17(A) ACREDITACIÓN DE VINCULACIÓN LABORAL DE PERSONAS EN CONDICIONES DE DISCAPACIDAD</t>
  </si>
  <si>
    <t>Se informa al interesado que la certificación de la existencia de trabajadores en situación de discapacidad contratados tiene una vigencia de seis (6) meses desde la fecha de su expedición. De acuerdo con lo señalado en el Pliego de Condiciones, este certificado deberá estar vigente a la Fecha de Cierre del Proceso de Selección.</t>
  </si>
  <si>
    <t>(CRITERIO DE PUNTAJE)</t>
  </si>
  <si>
    <t>"[El proponente para acreditar el número de personas con discapacidad en su planta de personal, deberá aportar el certificado expedido por el Ministerio de Trabajo, el cual deberá estar vigente a la fecha de cierre del proceso de selección.]</t>
  </si>
  <si>
    <t xml:space="preserve">Al respecto se solicita a la ANI aclarar cuál es la vigencia que debe tener dicho certificado, es decir, ¿Con cuantos meses de anterioridad a la Fecha de Cierre dicho certificado debió haber sido emitido? </t>
  </si>
  <si>
    <t>Se le solicita a la entidad confirmar si en el numeral 4 del Anexo 18 es posible designar a varias personas como representantes comunes para que individual o conjuntamente representen a la respectiva estructura plural.</t>
  </si>
  <si>
    <t>ANEXO 18</t>
  </si>
  <si>
    <t xml:space="preserve">Se informa al interesado: 
1. Si es posible designar a varias personas como representantes comunes para que representen a la Estructura Plural, de forma individual o conjunta. 
2. Su entendimiento es correcto, el representante común no debe ser persona nacional o domiciliada en Colombia. Sin embargo, es importante tener en cuenta que las personas extranjeras sin domicilio o sucursal en Colombia deberán acreditar un apoderado en Colombia de acuerdo con lo previsto por la Sección 4.14 del Pliego de Condiciones. 
3. De acuerdo con lo establecido por el numeral 6 del Anexo 18,  los Oferentes podrán incluir cláusulas adicionales para regular la relación negocial entre los integrantes. No obstante, las cláusulas que se pacten no pueden implicar condicionamientos para la presentación de la oferta ni contradecir el contenido del Pliego de Condiciones y sus Anexos. 
4. Se informa al interesado que su entendimiento es correcto. El trámite de presentación personal es aquel al que se refieren las normas señaladas. 
</t>
  </si>
  <si>
    <t>DOCUMENTO DE CONSTITUCIÓN DE ESTRUCTURA PLURAL</t>
  </si>
  <si>
    <t>Adicionalmente, entendemos que el representante común no es necesario que sea una persona nacional o domiciliada en Colombia. Favor confirmar nuestro entendimiento.</t>
  </si>
  <si>
    <t>En adición a esto, se solicita a la entidad confirmar si es posible realizar algún cambio o modificación a los términos de este documento.</t>
  </si>
  <si>
    <t xml:space="preserve">Finalmente, entendemos que cuando el pliego (Sección 4.1.5 iii) hace referencia a que los poderes (o los documentos de conformación de la respectiva Estructura Plural) deben “contar con presentación personal”, se refiere al trámite regulado en el Art. 73 del Decreto Ley 960 de 1970. Lo anterior en línea con lo señalado por el Art. 5 del Decreto 19 de 2012.  Les agradecemos confirmar si nuestro entendimiento es correcto. </t>
  </si>
  <si>
    <t>Se le solicita a la entidad que por favor confirme si, para efectos de obtener los puntos a ser otorgados por el "Factor de Calidad" solamente resulta necesario diligenciar la información incluida en el Anexo 19 "Factor de Calidad" y que no se requiere allegar información adicional a esta.</t>
  </si>
  <si>
    <t>ANEXO 19 FACTOR DE CALIDAD</t>
  </si>
  <si>
    <t>En caso de que si sea necesario allegar información adicional, se solicita a la entidad que por favor indique cuál información debe ser suministrada.</t>
  </si>
  <si>
    <t>Se solicita a la Entidad, teniendo en cuenta la  urgencia económica y sanitaria que se está presentando a nivel mundial, como consecuencia de la pandemia COVID-19, que los requisitos de Apostilla, Legalización y Traducciones Oficiales,  solamente sean exigidos al Proponente que resulte Adjudicatario del presente proceso.</t>
  </si>
  <si>
    <t>PROYECTO DE PLIEGOS DE CONDICIONES</t>
  </si>
  <si>
    <t xml:space="preserve">No se acoge la solicitud del interesado. Los documentos públicos otorgados en el extranjero deberán contar con el requisito de apostilla o legalización, según corresponda, teniendo en cuenta que se trata de un requisito establecido en la Ley y que los Decretos expedidos con ocasión de la Emergencia Sanitaria no contemplan excepción alguna para este trámite.
En cuanto al requisito de traducción oficial, la Circular Única Externa de la Agencia Nacional de Contratación Pública – Colombia Compra Eficiente, establece en el numeral 10.4 Documentos en idioma extranjero. “Para que los documentos en un idioma distinto al castellano puedan ser apreciados en el Proceso de Contratación deben ser presentados en su lengua original junto con la traducción oficial al castellano”. Este requisito tampoco ha sido exceptuado por los Decretos expedidos por la Emergencia Sanitaria y, en consecuencia, los documentos otorgados en un idioma distinto al castellano deberán aportarse en los términos señalados en el Proyecto de Pliego de Condiciones. 
</t>
  </si>
  <si>
    <t>Lo anterior, en la medida en que, actualmente, este tipo de trámites resultan ser mucho más demorados debido a las medidas de confinamiento que se han decretado a nivel mundial, lo cual podría tener como consecuencia que muchos proponentes interesados en este proyecto no alcancen a presentar su oferta con el cumplimiento de estas formalidades.</t>
  </si>
  <si>
    <t>Solicitamos amablemente a la entidad que asigne el riesgo referente a las "variaciones en las condiciones macroeconómicas que tengan impacto en el proyecto" al Público, atendiendo a que el Concesionario no tiene la posibilidad de gestionar este riesgo y además, tomando en consideración que la asignación infinita del mismo puede generar un desequilibrio económico del contrato en detrimento del privado. Se considera relevante poner de presente que el artículo 5 de la Ley 80 de 1993 señala la obligación que tiene la administración de reestablecer el equilibrio de la ecuación económica del contrato a un punto de no pérdida por la ocurrencia de situaciones imprevistas que no sean imputables a los contratistas.</t>
  </si>
  <si>
    <t>Matriz de riesgos del Proyecto (riesgo Soberano)</t>
  </si>
  <si>
    <t>Por otra parte, y atendiendo a que aun no existe un documento CONPES para los proyectos 5G, ponemos a su consideración que el documento CONPES 3760 de 2013 estableció, frente a las variables macroeconómicas, que los efectos derivados de las variaciones de estas, debían asignarse al Estado, atendiendo a que el Concesionario no tiene control sobre las mismas. En este sentido, el Documento CONPES 3760 de 2013 textualmente dispuso : "Es importante tener en cuenta que las proyecciones de ingresos por concepto de tráfico están relacionadas con variables macroeconómicas, y de desarrollo regional, entre otras, las cuales son variables exógenas al desarrollo de los proyectos y por ende de difícil control por parte del concesionario, quien controla de manera efectiva la calidad y disponibilidad de la infraestructura a su cargo".</t>
  </si>
  <si>
    <t>Solicitamos respetuosamente a la entidad se aclare, en el riesgo concerniente a la Colusión del proceso, que si bien el mismo tiene una asignación compartida, pues es deber tanto de la entidad como de los contratistas, abstenerse de incurrir en prácticas que puedan ocasionar "perjuicios técnicos, financieros y/o legales contra la entidad e Imposibilidad de ejecución de un contrato", el proponente que resulte adjudicatario, no deberá responder por tales perjuicios, cuando quien hubiese incurrido en dichas prácticas de colusión fuese un proponente que no resultó adjudicatario.</t>
  </si>
  <si>
    <t>Matriz de Riesgos para Procesos de Contratación (Colusión del proceso)</t>
  </si>
  <si>
    <t xml:space="preserve">Solicitamos a la entidad aclarar tanto en la Parte General del Contrato de Concesión, como en la Parte Especial, que el concepto de Elusión no estará limitado únicamente a las vías alternas que sean identificadas en la etapa de estructuración y hasta el cierre del proceso de selección. Lo anterior, en la medida en que el desarrollo de nuevas vías paralelas, durante el tiempo del proyecto concesionado, afectaría los ingresos del Concesionario y por lo tanto el valor presente del Recaudo de Peaje calculado a la Fecha de Inicio del Contrato (VPIP).  Es relevante poner de presente que la certeza en los riesgos y situaciones que pueden afectar el Recaudo por Peajes es fundamental teniendo en cuenta que las estimaciones sobre dichos ingresos facilitarán la financiación del Proyecto y además permitirán al Concesionario tener una expectativa real del negocio. Adicionalmente, frente al riesgo de elusión, es importante mencionar que quien se encuentra en la mejor posición para gestionarlo es el Público (i.e. la ANI como autoridad en concesiones viales) y no el Concesionario. De lo anterior se desprende que dicho riesgo se encuentra asignado a la entidad de forma total y no parcial, por lo que el Concesionario no debería sufrir los efectos de la implementación de otras rutas alternas que puedan afectar su Recaudo de Peaje. Por lo anterior solicitamos no delimitar el riesgo de elusión a las rutas mencionadas en la Parte Especial del Contrato de Concesión.  </t>
  </si>
  <si>
    <t>Contrato de Concesión Parte General-Sección 1.55</t>
  </si>
  <si>
    <t>Respetuosamente solicitamos a la entidad se nos aclare cuál es el propósito de la inclusión del concepto referente a "Sanciones". Lo anterior, atendiendo a que no es claro a qué sanciones se hace referencia. Es importante recalcar la importancia de la tipicidad de las sanciones en el derecho administrativo sancionados, principio que se encuentra amparado en el derecho fundamental al debido proceso y sobre el cual se ha pronunciado la Corte Constitucional afirmando la imposibilidad de sancionar a un particular sin que sea clara y conocida por este la sanción a ser impuesta. En este contexto, la Corte Constitucional en sentencia C-713 de 2012 dispuso textualmente: "Esta Corporación ha señalado que el principio de legalidad exige: “(i) que el señalamiento de la sanción sea hecho directamente por el legislador; (ii) que éste señalamiento sea previo al momento de comisión del ilícito y también al acto que determina la imposición de la sanción; (iii) que la sanción se determine no solo previamente, sino también plenamente, es decir que sea determinada y no determinable” y tiene como finalidad proteger la libertad individual, controlar la arbitrariedad judicial, asegurar la igualdad de todas las personas ante el poder punitivo estatal y en su materialización participan, los principios de reserva de ley y de tipicidad".</t>
  </si>
  <si>
    <t>Contrato de Concesión Parte General-Sección 1.115</t>
  </si>
  <si>
    <t xml:space="preserve">No se acoge la observación toda vez que es la misma norma especial, esto es artículo 86 de la Ley1474 de 2011 la que habilita a las Entidades Públicas para imponer  las sanciones pactadas en el contrato al indicar:  “Las entidades sometidas al Estatuto General de Contratación de la Administración Pública podrán declarar el incumplimiento, cuantificando los perjuicios del mismo, imponer las multas y sanciones pactadas en el contrato, y hacer efectiva la cláusula penal. Para tal efecto observarán el siguiente procedimiento: (…)”, de manera que, no se tiene discusión sobre la facultad que le asiste al GIT Sancionatorios para imponer sanciones, pero siempre y cuando estas se encuentren determinadas en el contrato, razón de ser de la inclusión en la minuta, figura que además se encuentra debidamente tipificada pues allí se indica que proceden para incumplimientos definitivos, o no subsanables, frente a los cuales no quepa la conminación, de manera que, tanto el supuesto de hecho que da lugar a la sanción como su consecuencia se encuentra consagrada, ya  que en el texto se indica el valor, a modo de tope, por el que resulta procedente sancionar.
También resulta pertinente aclarar que la sanción y la cláusula penal vienen disciplinadas de manera diferente en el contrato, pues tal y como bien se indica, ambas se aplican en supuestos de hecho diferentes, pues, aunque comparten el presupuesto de procedencia del incumplimiento obligacional definitivo, la cláusula penal se aplica en supuestos de caducidad y terminación anticipada del contrato, de manera que las sanciones resultan aplicables para los supuestos restantes, esto es, que configuren incumplimientos no subsanables y que no se den en el marco de una terminación anticipada del contrato o caducidad.
</t>
  </si>
  <si>
    <t xml:space="preserve">Por otra parte, es importante mencionar que, en caso de que el concepto de "Sanción" busque hacer referencia a la ejecución de la cláusula penal,  el artículo 17 de la Ley 1150 de 2007 dispone que la ejecución de esta cláusula penal debe estar precedida de la declaratoria de incumplimiento del particular atendiendo a que el debido proceso es un principio rector en materia sancionatoria de las actuaciones contractuales y debe velarse por la protección del mismo. Atendiendo a lo anterior solicitamos comedidamente se nos aclare a qué sanciones se hace referencia bajo el concepto de "Sanción" y de hacerse referencia a la ejecución de la cláusula penal,  solicitamos que dicho término sea eliminado atendiendo a las razones expuestas anteriormente y a que la cláusula penal está prevista solo para resultar aplicable ante la terminación anticipada del contrato (Sección 10.6 de la Parte General).  </t>
  </si>
  <si>
    <t>Contrato de Concesión Parte General-Sección 1.149</t>
  </si>
  <si>
    <t>Solicitamos respetuosamente a la entidad se nos aclaren las razones por las cuales fue eliminado el siguiente texto (el cual está contenido en los contratos de concesión de 4G): "En relación con las Multas: A partir de la Notificación para Toma o de la Notificación Derecho de Toma, según corresponda, no se generarán nuevas Multas. Esta estipulación sólo tendrá aplicación hasta A) el vencimiento del sexagésimo Día contados a partir de la aprobación del nuevo concesionario por parte de la ANI, o B) al Día siguiente de la Notificación de no aprobación del nuevo concesionario por parte de la ANI. Lo señalado en la presente Sección no afectará el trámite y cobro de las Multas que tengan origen en incumplimientos anteriores a la Notificación para Toma o de la Notificación Derecho de Toma".</t>
  </si>
  <si>
    <t>Contrato de Concesión Parte General-Sección 3.12(ix)</t>
  </si>
  <si>
    <t xml:space="preserve">Al respecto es relevante mencionar que esta sección juega un papel fundamental en la viabilidad y consecución de la financiación del Proyecto en la medida en que para los prestamistas no es aceptable la figura de la toma de posesión si esta no resulta a su vez atractiva para quien pueda entrar a ser el nuevo contratista bajo el Contrato de Concesión. De esta forma, un nuevo contratista no encuentra atractivo entrar a un proyecto sabiendo que a partir del siguiente día puede encontrarse incumplido (siendo objeto de imposición de multas), sin tener el tiempo suficiente para organizar la ejecución del negocio. </t>
  </si>
  <si>
    <t xml:space="preserve">Si bien es claro que el Concesionario tendrá la obligación de fondear la Subcuenta Interventoría y Coordinación, solicitamos respetuosamente a la entidad que ante el incumplimiento de dicha obligación o ante el incumplimiento parcial de la misma, no se recurra por parte de la ANI al uso de los recursos contenidos en las Subcuentas Recaudo Peaje y/o Ingresos por Explotación Comercial. Lo anterior, atendiendo a que la certeza sobre los recursos que estarán contenidos en dichas subcuentas será fundamental para gestionar la financiación del Proyecto. Así, solicitamos a la entidad que utilice otros mecanismos contractualmente previstos para apremiar el cumplimiento de dicha obligación (por ejemplo mediante la imposición de multas), para así garantizar a los Prestamistas que los recursos contenidos en dichas subcuentas no serán utilizados para cubrir diferentes asuntos. a su vez, esto es fundamental, atendiendo a que estas subcuentas serán el punto sensible del Proyecto y por lo tanto de la financiación del mismo (ante la actual ausencia de vigencias futuras en este Proyecto). </t>
  </si>
  <si>
    <t xml:space="preserve"> Contrato de Concesión Parte General-Sección 3.14(h)(v)(7)</t>
  </si>
  <si>
    <t>La entidad considera que contar con los recursos requeridos por la Subcuenta de Interventoría y Coordinación es de vital importancia para garantizar la ejecución adecuada del contrato, por lo que el mecanismo planteado asegura la liquidez necesaria, evitando que como consecuencia del incumplimiento de esta obligación por parte del concesionario se generen impactos negativos en el desarrollo del proyecto,</t>
  </si>
  <si>
    <t>Si bien comprendemos la importancia de llevar a cabo las actividades descritas en el numeral 3.2.1 del Apéndice Técnico 5 (Obligaciones del Concesionario con relación a las Redes) solicitamos a la entidad que por favor aclare en dicho literal, que la condición precedente, correspondiente a las obligaciones relacionadas con Redes, no será aplicable cuando quiera que por razones ajenas a la voluntad del Concesionario, dichas actividades aun no hayan podido ser completadas. En otras palabras, solicitamos aclarar que será posible suscribir el Acta de Inicio de la Fase de Construcción aun cuando no se hayan realizado las actividades descritas en el numeral 3.2.1 del Apéndice Técnico 5, siempre que esto responda a razones no imputables al Concesionario.</t>
  </si>
  <si>
    <t xml:space="preserve"> Contrato de Concesión Parte General-Sección 4.4(d)</t>
  </si>
  <si>
    <t>Teniendo en cuenta lo establecido en la sección 14.1, si vencido el plazo previsto en el Plan de Obras para la terminación de una Unidad Funcional, ésta no se hubiere completado por Eventos Eximentes de Responsabilidad o por razones imputables a la ANI, se suscribirá por las Partes un Acta de Terminación Parcial de Unidad Funcional y se pondrán en servicio las Intervenciones que se hayan realizado.  Al suscribir dicha Acta de Terminación Parcial se le podrá pagar al Concesionario el 0,75 , 0,80 , o el 0,90 de la Retribución que hubiere obtenido de haber completado totalmente la Unidad Funcional (según el % de inversión efectivamente realizado por el Concesionario).</t>
  </si>
  <si>
    <t xml:space="preserve"> Contrato de Concesión Parte General-Sección 14.1</t>
  </si>
  <si>
    <t>Se aclara al  observante que los montos mínimos de inversión establecidos han sido el resultado de un análisis cuidadoso respecto al uso de incentivos que puedan generarse respecto a la terminación de las obras afectadas por un Evento Eximente de Responsabilidad (EER)
Adicionalmente, la Sección 14.1(e) de la Parte General del contrato ya establece un plazo a partir del cual, en caso de persistir las causas que dieron lugar al EER, sin que se haya podido culminar las Intervenciones por razones ajenas al Concesionario “las Partes de buena fe revisarán el alcance del Contrato para determinar si resulta viable modificar el alcance de las Intervenciones, incluyendo la posibilidad de modificar o desafectar la Unidad Funcional respectiva, previo recálculo de la Retribución que refleje las modificaciones realizadas, que se hará por el mutuo acuerdo de las Partes o por el Amigable Componedor”.
En virtud de lo anterior no se acoge la solicitud del observante</t>
  </si>
  <si>
    <t xml:space="preserve">Al respecto, en la experiencia en 4G se ha observado que por diferentes circunstancias, despues de la firma de la respectiva Acta de Terminación Parcial de Unidad Funcional, los Eventos Eximentes de Responsabilidad que dieron lugar a la suscripción de dicha acta no se logran superar (incluso luego de muchos meses). Esto implica que un importante porcentaje de la Retribución quede atrapado sin que el Concesionario pueda obtener la respectiva Retribución en su totalidad.  Por lo anterior, solicitamos incluir una regla en la que si, luego de completado un plazo luego de la firma del Acta de Terminación Parcial (e.j. 6 meses), por razones ajenas al Concesionario no es posible superar el respectivo Evento Eximente de Responsabilidad, se le podrá pagar el 100% de la Retribución. En su defecto, sugerimos que luego de completarse ese plazo (ej. 6 meses), las Partes podrán identificar y cuantificar concretamente el porcentaje de la inversión que no se pudo ejecutar con ocasión del respectivo Evento Eximente de Responsabilidad, de forma que se sustente la viabilidad de aumentar proporcionalmente la Fracción para establecer la Compensación Especial (por ejemplo pudiendo llegar hasta 0,99). </t>
  </si>
  <si>
    <t>De acuerdo con lo establecido en la sección 4.17(a)(vii) de la Parte General del Contrato de Concesión, si pasados ciento ochenta (180) Días contados desde la suscripción del Acta de Terminación de Unidad Funcional, de conformidad con la Sección 4.17(a)(v)(2) (la cual hace expresa referencia a las las Especificaciones Técnicas del Apéndice Técnico 1) el Concesionario no ha cumplido a cabalidad con las Especificaciones Técnicas, salvo por lo previsto en los Apéndices Técnicos 5, 6, 7 y 8, se realizará la Retención. Teniendo en cuenta que el Apéndice Técnico 1 no hace ninguna referencia a las Especificaciones Técnicas que trata la sección  4.17(a)(v)(2) de la Parte General del Contrato de Concesión (como si sucedía expresamente en los contratos de concesión de proyectos de 4G respecto de la sección 2.4 del Apéndice Técnico 1), no son claras cuales serían aquellas Especificaciones Técnicas que darían lugar a la suspensión de la Retribución.</t>
  </si>
  <si>
    <t xml:space="preserve"> Contrato de Concesión Parte General-Sección 4.17(a)(vii) y 4.17(a)(v)(2) </t>
  </si>
  <si>
    <t>En este contexto y atendiendo a que la certeza en los conceptos que dan lugar a la suspensión de la Retribución (denominados en 5G como las "Retenciones") son aspectos fundamentales a la hora de lograr la financiación del Proyecto, solicitamos respetuosamente a la entidad incluir una lista taxativa y clara en el Apéndice Técnico 1 que delimite cuales son las Especificaciones Técnicas que pueden dar lugar a dicha suspensión de la Retribución bajo lo señalado en la sección 4.17(a)(vii)  de la Parte General del Contrato de Concesión.</t>
  </si>
  <si>
    <t>La Sección 1.7  de la Parte General señala: "Acta de Terminación de Unidad Funcional” Es el documento que suscribirán el Vicepresidente de Gestión Contractual de la ANI, el Vicepresidente Ejecutivo de la ANI o quien haga sus veces, el Gerente de Proyecto de la ANI, el Interventor y el Concesionario dentro de los cinco (5) Días Hábiles siguientes al cumplimiento de la totalidad de los requisitos previstos en la Sección 4.18 de esta Parte General".</t>
  </si>
  <si>
    <t xml:space="preserve"> Contrato de Concesión Parte General-Sección 7.1</t>
  </si>
  <si>
    <t xml:space="preserve">No se acoge la solicitud planteada por el interesado.
Se precisa que una vez puesta a disposición la Unidad funcional por parte del concesionario, es necesario surtir el trámite de verificación previsto en la Sección 4.17 de la Parte General y se procederá a la suscripción del Acta de Terminación de Unidad Funcional, cuando: 
(1) No haya lugar a correcciones o complementaciones, por cumplirse con la totalidad de las Especificaciones Técnicas y demás obligaciones de este Contrato, o
(2) Cuando al menos cumpla con: (A) las Especificaciones Técnicas del Apéndice Técnico 1 y (B) los Indicadores señalados en la Parte Especial. En este caso se consignará en el Acta de Terminación de Unidad Funcional aquellas obligaciones pendientes de cumplimiento por parte del Concesionario y se empezará a causar y a pagar la Retribución, de conformidad con el Contrato.
Se recuerda también al interesado que la Ley es clara al señalar que para tener derecho a la Retribución es necesario contar no solo con la disponibilidad de la infraestructura, pues también se deben cumplir los estándares de calidad y niveles de servicio, previstos contractualmente.
</t>
  </si>
  <si>
    <t>En relación con el proceso de verificación requerido para suscribir las Actas de Terminación de Unidad Funcional, en 4G se ha observado que puede ser un proceso demorado y complejo, lo que en la práctica ha implicado demoras en los cronogramas de pago por debates interpretativos y cruces de correspondencia entre el Interventor, la ANI y el Concesionario.</t>
  </si>
  <si>
    <t>Al respecto y en relación con el proceso de verificación, sugerimos amablemente modificar las Secciones 1.7. y 4.17 de la Parte General, de forma que se defina un plazo máximo y una fecha cierta (desde que el Concesionario ponga a disposición de la ANI la Unidad Funcional) en la que se deba suscribir el Acta de Terminación de Unidad Funcional.  En todo caso, ya si con posterioridad a dicho plazo máximo la ANI o la Interventoría identifica que existe el incumplimiento de alguna especificación, la Sección 4.17 (d) (ii) de la Parte General ya regula que "En todo caso, de encontrarse un incumplimiento de una especificación después de que se haya suscrito el Acta de Terminación de Unidad Funcional, no implicará de manera alguna que se suspenda la Etapa de Operación y Mantenimiento ni que se suspenda el desembolso de la Retribución por Unidad Funcional al Concesionario, sin perjuicio de la aplicación de Deducciones y Multas a las que hubiere lugar conforme a lo dispuesto en el presente Contrato".</t>
  </si>
  <si>
    <t xml:space="preserve">Sin duda un ajuste en el sentido aquí solcitado será un gran avance para evitar las demoras que se han observado en varios proyectos en relación con el proceso de suscripción de las respectivas Actas de Terminación de Unidad Funcional. </t>
  </si>
  <si>
    <t>De acuerdo con la versión publicada del Contrato de Concesión, si transcurridos noventa (90) Días las Partes concluyeran que no es viable modificar el alcance del presente Contrato, las Partes de común acuerdo podrán solicitar la Terminación Anticipada del Contrato. Respecto de lo anterior, consideramos que podría haber posibles dificultades en lograr que las Partes de común acuerdo puedan solicitar la Terminación Anticipada del Contrato. Por lo anterior, solicitamos a la entidad que por favor modifique la mencionada sección así:</t>
  </si>
  <si>
    <t xml:space="preserve"> Contrato de Concesión Parte General-Sección 8.1 (j)</t>
  </si>
  <si>
    <t xml:space="preserve">"Si transcurridos noventa (90) Días las Partes concluyeran que no es viable modificar el alcance del presente Contrato (i) las Partes de común acuerdo podrán solicitar la Terminación Anticipada del Contrato o (ii) cualquiera de las Partes podrá solicitar que se declare la Terminación Anticipada del Contrato ante el Amigable Componer o ante el respectivo Tribunal de Arbitramento". </t>
  </si>
  <si>
    <t>Se observa que en las secciones 13.2 y 13.3 se incorporó un texto según el cual "Se exceptúa el documento denominado matriz de riesgos del Proyecto, publicado en el SECOP, el cual es de referencia y no hace parte del Contrato de Concesión ni tiene carácter de vinculante".</t>
  </si>
  <si>
    <t xml:space="preserve"> Contrato de Concesión Parte General-Sección 13.2 y 13.3</t>
  </si>
  <si>
    <t>Al respecto, ponemos de presente que la Ley 1150 de 2007 en su artículo 4 dispone que  los pliegos de condiciones deberán incluir la estimación, tipificación y asignación de los riesgos previsibles involucrados en la contratación y adicionalmente, que en las licitaciones públicas, los pliegos de condiciones de las entidades estatales deberán señalar el momento en el que, con anterioridad a la presentación de las ofertas, los oferentes y la entidad revisarán la asignación de riesgos con el fin de establecer su distribución definitiva. De esta forma, es evidente que la entidad tiene la obligación de incluir la matriz de riesgos para la revisión de la misma por parte del Concesionario durante la etapa previa a la presentación de las ofertas. De igual manera dispone que dicha asignación, contenida en la matriz de riesgos, debe ser revisada en conjunto con la entidad, para así establecer la distribución definitiva de los riesgos. Una lectura diferente, de acuerdo con la cual dicha matriz no fuese vinculante, sería contraria a lo establecido en la Ley 1150 de 2007 en tanto carecería de sentido llevar a cabo una audiencia de asignación de riesgos sobre un documento que no es vinculante para las partes.</t>
  </si>
  <si>
    <t>Por otra parte, el artículo 11.5 de la Ley 1508 de 2012  establece como uno de los requisitos para abrir procesos de selección de contratistas para la ejecución de proyectos de asociación público privada (de iniciativa pública),  la adecuada tipificación, estimación y asignación de los riesgos, posibles contingencias, la respectiva matriz de riesgos asociados al proyecto. Así, en coherencia con lo establecido en la Ley 1150 de 2007, la entidad tiene la obligación de llevar a cabo la tipificación y estimación de los riesgos del proyecto, los cuales se materializan en la matriz de riesgos que es publicada en el marco del proceso de selección.</t>
  </si>
  <si>
    <t xml:space="preserve"> Por todo lo anterior, consideramos que el texto incluido en las mencionadas secciones 13.2 y 13.3 de la Parte General del Contrato de Concesión, al establecer que la matriz de riesgos es un documento de referencia no vinculante, contradice lo señalado en el ordenamiento jurídico respecto de la importancia y vinculatoriedad de la matriz de riesgos de los proyectos de esta naturaleza. Es con fundamento en lo anterior, que solicitamos respetuosamente a la entidad que elimine dicho texto por ser contrario a la Ley. </t>
  </si>
  <si>
    <t xml:space="preserve">Solicitamos respetuosamente a la entidad que en las secciones 17.2(e) y 17.2 (g), se aclare que  tanto la declaratoria de Terminación Anticipada del Contrato de Concesión, como la declaratoria judicial de nulidad absoluta del Contrato de Concesión, podrán ser emitidas por autoridades administrativas y no exclusivamente de autoridades judiciales. Esto, atendiendo a que en el desarrollo de los proyectos de concesiones carreteras ya  hubo pronunciamientos similares hechos por autoridades administrativas (como por ejemplo la Superintendencia de Industria y Comercio) que no podrían clasificarse bajo ninguna de las mencionadas causales de Terminación Anticipada del Contrato de Concesión, por tratarse de una autoridad administrativa y no judicial. </t>
  </si>
  <si>
    <t xml:space="preserve"> Contrato de Concesión Parte General-Sección 17.1</t>
  </si>
  <si>
    <t>La Sección 18.1 de la Parte General señala: “El Contrato se liquidará en un término máximo de ciento ochenta (180) Días contados a partir de la fecha de suscripción del Acta de Reversión, de acuerdo con lo previsto en el artículo 60 de la ley 80 de 1993, modificado por el artículo 217 del Decreto 19 de 2012”.</t>
  </si>
  <si>
    <t xml:space="preserve"> Contrato de Concesión Parte General-Sección 18.1</t>
  </si>
  <si>
    <t>Al respecto, para efectos de que el proceso de liquidación no se bloquee en el evento en que las Partes no lleguen a un acuerdo sobre la suscripción del Acta de Reversión, sugerimos amablemente modificar dicha Sección en los siguientes términos:</t>
  </si>
  <si>
    <t xml:space="preserve">“El Contrato se liquidará, de acuerdo con lo previsto en el artículo 60 de la ley 80 de 1993, modificado por el artículo 217 del Decreto 19 de 2012, en un término máximo de ciento ochenta (180) Días contados a partir de (i) la fecha de suscripción del Acta de Reversión o (ii) de la fecha de expiración del Plazo Máximo de la Etapa de Reversión, lo que ocurra primero”. </t>
  </si>
  <si>
    <t>Atendiendo a que en la sección 18.3 no se incluyó una fórmula de liquidación del Contrato en caso de vencimiento del Plazo sin obtener VPIP, solicitamos amablemente a la entidad se nos aclaren los motivos que dieron lugar a dicha eliminación. Adicionalmente solicitamos se aclare de forma general en cada una de las fórmulas contenidas en dicha sección, que el Concesionario tendrá derecho a recibir, dentro de su pago por terminación, el valor correspondiente a todas las inversiones que hayan sido hechas por este al Proyecto. Se recuerda que en la medida en que el artículo 34 de la Constitución Política prohíbe la confiscación,  no sería posible para la entidad, recibir las inversiones hechas por el Concesionario al momento de la Reversión, sin remunerarle a este, como mínimo, el valor de las mismas</t>
  </si>
  <si>
    <t xml:space="preserve"> Contrato de Concesión Parte General-Sección 18.3</t>
  </si>
  <si>
    <t>A diferencia de 4G, observamos que la ANI ha eliminado la fórmula de liquidación que resultaría aplicable en el evento en que se presente la Liquidación del Contrato en Caso de Vencimiento del Plazo sin Obtener el VPIP. En otras palabras, la ANI le está transfiriendo completamente al Concesionario el riesgo de que el Recaudo de Peaje no sea suficiente para obtener el retorno de sus inversiones al momento en que expire el plazo del Contrato de Concesión.</t>
  </si>
  <si>
    <t>Ahora bien, por otro lado, en la Sección 4.5 (h) de la Parte Especial la ANI está indicando que el Concesionario deberá transferir el 37,28% del total del Recaudo de Peaje a la Subcuenta Depósito Especial del Recaudo. De este modo, mientras que el Concesionario asume completamente el riesgo comercial de que el Recaudo de Peaje sea suficiente o no para el retorno de sus inversiones, la ANI, por su lado, está destinando un importante porcentaje de dicho Recaudo para la Subcuenta Depósito Especial del Recaudo, Subcuenta que será de libre disposición de la ANI para servir como fuente de pago de otro proyecto de infraestructura (tal y como actualmente lo indica la Parte Especial).</t>
  </si>
  <si>
    <t>Al respecto, consideramos que, debido a que el VPIP máximo que la ANI considera se puede obtener en este proyecto es el que corresponde al Valor Máximo de la Oferta Económica señalado en el pliego de condiciones (i.e. $2.784.605.796.449), sería razonable garantizarle al Concesionario que ese VPIP que oferta con su propuesta económica es una cifra que de manera cierta y concreta el Concesionario va a obtener bien sea durante la ejecución del Contrato (i.e. con el Recaudo de Peaje) o luego de la expiración de su plazo (i.e. a través de la formula de liquidación).</t>
  </si>
  <si>
    <t>Por esta razón, solicitamos que en lugar de descontar el referido 37,28% del total del Recaudo de Peaje con destino a la Subcuenta Depósito Especial del Recaudo, se descuente un porcentaje menor (por ejemplo 30%), de forma que el saldo no descontado (ej. 7,28%) sirva para pagarle al Concesionario la diferencia de recaudo que se vaya presentando en ciertos años del Contrato (ej. años 8, 13 y 18 tal y como se hizo en 4G). Esto permitirá que la cifra que la ANI deba pagar al finalizar el Contrato sin que se haya logrado recaudar el VPIP sea mucho menor (debido a que ya se habrá calculado la diferencia de recaudo en los años 8, 13 y 18).</t>
  </si>
  <si>
    <t>Es importante señalar que la importancia de tener un esquema que compense la diferencia de recaudo en ciertos años (lo que en 4G se denominó el DR8, DR13 Y DR 18) y de que la fórmula de liquidación remunere la totalidad del VPIP oferta por el respectivo proponente durante la Licitación es especialmente relevante en la actualidad, dado que coyunturas globales como el COVID 19 hacen cada vez más impredecible y menos cierto el recaudo de peaje durante la vida de un proyecto a largo plazo.</t>
  </si>
  <si>
    <t xml:space="preserve">No incluir una fórmula de liquidación y un esquema de DR con cortes de cuentas en ciertos años genera una evidente incertidumbre no solo para el Concesionario sino también para los posibles financiadores del proyecto. De hecho, bajo el esquema actualmente propuesto por la ANI en la Parte General del Contrato, al no existir una fórmula de liquidación que compense el VPIP al expirar el plazo del Contrato, puede darse la situación de que el valor recibido por el Concesionario por Recaudo de Peaje al año 29 ni siquiera le alcance a remunerar sus inversiones hechas en el Proyecto, lo que a todas luces resultaría inconstitucional en tanto que en Colombia está prohibida la confiscación (Art. 34 de la Constitución Política).  </t>
  </si>
  <si>
    <t xml:space="preserve">En otras palabras, la ausencia de dicha fórmula de liquidación puede implicar que el Concesionario (y los Prestamistas) haga numerosas inversiones en el Proyecto que sean beneficiosas para la ANI y para la comunidad, sin que al final se le remuneren al Concesionario las prestaciones ejecutadas, lo que materialmente puede constituir una confiscación. </t>
  </si>
  <si>
    <t>En relación con la fórmula prevista en la Sección 18.3 (c) de la Parte General aplicable cuando se presente la Terminación Anticipada con anterioridad al inicio de la Fase de Construcción, observamos que, a diferencia de lo regulado en 4G, la ANI eliminó dentro de la lista de costos a ser reconocida al Concesionario las “Comisiones y otros pagos a los Prestamistas, distintos del servicio de la deuda (intereses y principal), en el Mes h”.</t>
  </si>
  <si>
    <t xml:space="preserve"> Contrato de Concesión Parte General-Sección 18.3 (c) </t>
  </si>
  <si>
    <t xml:space="preserve">Al respecto, le agradecemos a la ANI confirmar el fundamente de haber eliminado dicho costo dentro de la lista de costos a ser reconocidos bajo la fórmula de liquidación. Al respecto consideramos que dicha eliminación es relevante, especialmente para los potenciales financiadores del proyecto, por lo que sugerimos mantener la misma redacción prevista en 4G. </t>
  </si>
  <si>
    <t>En relación con la fórmula prevista en la Sección 18.3 (c) de la Parte General aplicable cuando se presente la Terminación Anticipada con anterioridad al inicio de la Fase de Construcción, observamos que la ANI incluyó el siguiente texto resaltado sobre los valores a ser reconocidos por la fórmula de liquidación:</t>
  </si>
  <si>
    <t>“Para los Meses h posteriores a la Fecha de Inicio se reconocerán exclusivamente los costos asociados con las siguientes actividades y se deberán verificar por parte del Interventor los siguientes criterios: (A) que hayan sido ejecutadas para contribuir a satisfacer el interés público, (B) que estén estrictamente asociadas al objeto del Contrato, (C) que los costos correspondan a precios de mercado asociados a las condiciones particulares del Proyecto al momento de su causación de acuerdo con la modalidad contractual y (D) que el bien y/o servicio haya sido debidamente entregado y/o prestado:</t>
  </si>
  <si>
    <t>(…)</t>
  </si>
  <si>
    <t>El valor reconocido por estas actividades se definirá con base en los valores brutos efectivamente pagados (sin incluir depreciaciones, amortizaciones o valorizaciones) que corresponderán exclusivamente a los costos directos asociados con estas actividades en los cuales se verifique que el bien y/o servicio efectivamente se haya prestado y/o recibido y será establecido por las Partes de mutuo acuerdo o, en su defecto, por el Amigable Componedor, pero en todo caso su valor no podrá ser superior al consignado en los registros contables del Patrimonio Autónomo para estos rubros, registrados en los estados financieros y certificados por el Interventor, ni superior al valor de mercado, de acuerdo con las condiciones particulares del Proyecto” (Subrayado y negrillas fuera de texto).</t>
  </si>
  <si>
    <t xml:space="preserve">Al respecto, solicitamos explicar el fundamento de haber incluido dichas nuevas reglas (que no se supere el valor de mercado, etc.), las que sin duda se convierten en una barrera adicional y en un potencial foco de disputas para que se pueda reconocer el pago de la fórmula de liquidación. De hecho, independientemente de que el valor de las obras realizadas sea o no de mercado, por disposición constitucional que prohíbe la confiscación (Art. 34 de la Constitución), la ANI está obligada a pagarle al Concesionario lo efectivamente invertido y que resulta en beneficio de la Entidad y la comunidad. De lo contrario, estaríamos ante un claro evento de confiscación y/o de enriquecimiento sin causa de la Entidad. </t>
  </si>
  <si>
    <t>En relación con la fórmula prevista en la Sección 18.3 (f) de la Parte General aplicable cuando se presente Terminación Anticipada por decisión unilateral de la ANI, en virtud de lo autorizado por el Artículo 32 de la Ley 1508 de 2012, observamos que la ANI incluyó el siguiente texto en relación con el componente 𝐶𝑜𝑠𝑡𝑜𝑠 𝑓𝑢𝑡𝑢𝑟𝑜𝑠 de la fórmula:</t>
  </si>
  <si>
    <t xml:space="preserve"> Contrato de Concesión Parte General-Sección 18.3 (f) </t>
  </si>
  <si>
    <t>“La proyección de dichos costos se definirá con base en el estudio técnico que entregue un especialista técnico seleccionado entre las Partes. El estudio realizado por el tercero deberá estar alineado con las obligaciones del Concesionario establecidas en el Contrato, incluyendo sus Apéndices Técnicos, deberá incluir los costos de prestación de los Servicios Adicionales si los hubiere, y los APUs que defina la ANI y se encuentren vigentes al momento de cálculo”.</t>
  </si>
  <si>
    <t xml:space="preserve">Al respecto, solicitamos explicar el fundamento de haber incluido dichas nuevas reglas, las que sin duda se convierten en una barrera adicional y en un potencial foco de disputas para que se pueda reconocer el pago de la fórmula de liquidación. Es importante definir quien realizará el estudio técnico, en qué plazo y quien asumirá sus costos, de forma que el Concesionario y los Prestamistas tengan certeza sobre el momento en el tiempo y sobre el impacto que dicho proceso puede causar en el pago de la fórmula de liquidación. </t>
  </si>
  <si>
    <t xml:space="preserve">Sugerimos amablemente que  el riesgo de consulta previa no sea asignado al concesionario , pues el Concesionario no fue partícipe de la realización de esta Consulta ni de los acuerdos a los que se llegaron con estas comunidades. De esta forma, sugerimos que los riesgos derivados de los acuerdos logrados con las comunidades sean asumidos por la ANI. </t>
  </si>
  <si>
    <t xml:space="preserve">Apéndice Técnico 1, Capítulo 9. </t>
  </si>
  <si>
    <t>OHL, 22/04/2020</t>
  </si>
  <si>
    <t>Se solicita a la Entidad publicar la informacion técnica disponible (planos y diseños de ingenieria) de los tramos "Vía la Villa Rica – Caloto y Vía la Herradura – Matapalo" correspondientes a factor de calidad.</t>
  </si>
  <si>
    <t>Proyecto Pliego de condiciones</t>
  </si>
  <si>
    <t>Se incluirá, en el Cuarto de Información de Referencia (carpeta G), la información disponible del tramo Villarica Caloto. Así mismo, se presenta el KMZ del Tramo Herradura Matapalo, al inicio del Cuarto de Información de Referencia. Esta información estará disponible a título meramente informativo acorde con las condiciones de la Sección 1.7 Cuarto de Información de Referencia del Pliego de Condiciones.</t>
  </si>
  <si>
    <t>El numeral 5.5 Factor de Calidad señala que se otorgarán quince (15) puntos a los proponentes que ofrezcan el uso de "Mezcla Asfáltica reciclada" en una longitud continua de mínimo el 10% de la longitud total de cada Unidad Funcional. Al respecto y de cara a la ejecución de dicha actividad, entendemos que el uso de la Mezcla Asfáltica reciclada podrá ejecutarse en los tramos de construcción y mantenimiento. Favor confirmar que nuestro entendimiento es correcto.</t>
  </si>
  <si>
    <t>Proyecto Pliego de Condiciones</t>
  </si>
  <si>
    <t>El entendimiento es correcto, se informa al interesado que se incluirán ajustes para aclarar la cuantificación del porcentaje en los documentos del Pliego de Condiciones definitivo.</t>
  </si>
  <si>
    <t>En línea con la observación anterior, se solicita aclarar si la longitud indicada en el numeral 5.5 y en el Anexo No. 19 se refiere a las vias por Km/Carril, Km/ Calzada Sencilla o km/Doble calzada.</t>
  </si>
  <si>
    <t>Las longitudes de las Unidades Funcionales se refieren a longitudes origen-destino. Se informa al interesado que se ajustaran los documentos para aclarar la cuantificación del porcentaje, y se publicaran con los Pliegos de Condiciones definitivos.</t>
  </si>
  <si>
    <t>Teniendo en cuenta lo establecido en el numeral 4.4. respecto de la posibilidad que le asiste al proponente de acreditar su experiencia en inversión por parte de (i) sus sociedades controladas (directa o indirectamente), (ii) de sus Matrices, o (iii) de sociedades controladas por sus Matrices, se solicita a la Entidad modificar el numeral 5.6.4 como se indica a continuación, teniendo en cuenta que la sociedad que acredite su planta de personal, será aquella que acredita como mínimo el 40% de la experiencia en inversión.</t>
  </si>
  <si>
    <t>Juridica</t>
  </si>
  <si>
    <t>Se aclara al interesado que la Sección 4.4 del Pliego de Condiciones regula la posibilidad de acreditar Requisitos Habilitantes a través de sociedades controladas por el Oferente, su matriz o sociedades controladas por su matriz. Por otro lado, el requisito contenido en la Sección 5.6 corresponde a un requisito puntuable para Oferentes con trabajadores en condición de discapacidad, por lo que el tratamiento previsto para cada caso no es el mismo.
Teniendo en cuenta lo anterior, y en cumplimiento de lo establecido por el Decreto 392 de 2018, si la oferta es presentada por una Estructura Plural, se tendrá en cuenta la planta de personal del Integrante del Oferente que aporte como mínimo el cuarenta por ciento (40%) de la experiencia requerida para la respectiva contratación.</t>
  </si>
  <si>
    <t>El numeral 8.5.6 establece cuatro (4) alternativas para la asignación de puntaje de la oferta económica (mediana con valor absoluto, media geométrica, media aritmética baja y menor valor), al respecto vemos con preocupación que estas cuatro (4)  alternativas no estimulan a las compañías interesadas a realizar estudios profundos y detallados del proyecto, en aras de optimizarlos para poder trasladarle el mayor beneficio económico posible al Estado producto de su baja en la oferta económica, por el contrario, puede favorecer a compañías que no realizaron un debido estudio derivandose en la presentación de propuestas económicas más altas, razón por la cual se solicita modificar el numeral 8.5.6 estableciendo unicamente la alternativa del menor valor para la asignación del puntaje de la oferta económica, tal como se reguló en los procesos de concesiones de cuarta generación, los cuales han sido experiencias exitosas.</t>
  </si>
  <si>
    <t>Respecto del Capítulo III, se solicita aclarar si se requerirán actuaciones adicionales sobre las infraestructuras existentes y de que tipo; o si por el contrario la actuación sobre las mismas se limitan a labores de mantenimiento y conservación.</t>
  </si>
  <si>
    <t>Apéndice Técnico 1 Alcance del proyecto</t>
  </si>
  <si>
    <t>Dentro del Apéndice Técnico 1 se define en cuales tramos se requieren intervenciones actuaciones que modifiquen la infraestructura existente, consiganda en el Capitulo III del Apéndice Técnico 1. No obstante, se deben considerar las obligaciones de mantenimiento consigandas en los Apéndices Técnicos, especialmente, el 1,2,3 y 4.</t>
  </si>
  <si>
    <t>Se solicita a la Entidad publicar un plano exclusivo con la ubicación de las infraestructuras existentes en donde se puedan evidenciar los peajes, centro de control de operación, areas de servicio y de pesaje relacionadas en el Capítulo III.</t>
  </si>
  <si>
    <t>Se incluirá, en el Cuarto de Información de Referencia (carpeta H), la información disponible de la reversión de la concesión anterior. Esta información estará disponible a título meramente informativo acorde con las condiciones de la Sección 1.7 Cuarto de Información de Referencia del Pliego de Condiciones. Adicionalmente, en el Apéndice Técnico 1 se consignan las coordendas, las cuales le permitirán realizar la ubicación requerida .</t>
  </si>
  <si>
    <t>Se solicita a la Entidad publicar en el cuarto de datos la información técnica (planos y diseños) de las obras de construcción de la variante el Bolo.</t>
  </si>
  <si>
    <t>Se incluirá en el Cuarto de Información de Referencia (carpeta H) la información disponible, referente a la reversión, de la variante El Bolo, De otra parte, en las carpetas F y G, tambien se consigna información refereida a la Variante . Esta información estará disponible a título meramente informativo acorde con las condiciones de la Sección 1.7 Cuarto de Información de Referencia del Pliego de Condiciones.</t>
  </si>
  <si>
    <t>De acuerdo a la Tabla 7 y a la información del cuarto de datos, entendemos que la tipología de intervención viabilizada por la Entidad en la Interseccion Versalles, corresponde a un paso deprimido vehicular. Favor confirmar que nuestro entendimiento es correcto.</t>
  </si>
  <si>
    <t>El entendimiento es correcto, la intersección Versalles deberá ser a desnivel.</t>
  </si>
  <si>
    <t>En relación con la observación anterior, entendemos que la Interseccion Versalles con paso deprimido, es la Intersección socializada con las comunidades y autoridades de Palmira. Favor confirmar que nuestro entendimiento es correcto.</t>
  </si>
  <si>
    <t>El entendimiento es correcto. Se aclara al interesado que la tipología de la intersección fue desarrollada con participación del municipio de Palmira.</t>
  </si>
  <si>
    <t>Respecto de las intersecciones relacionadas en la Tabla 7, se solicita a la Entidad informar los predios que ya fueron adquiridos para la Intersección Versalles.</t>
  </si>
  <si>
    <t xml:space="preserve">Se aclara al interesado que los predios para la intersección Versalles deben ser adquiridos por el Proyecto, y estos se encuentran cuantificados dentro del mismo. </t>
  </si>
  <si>
    <t>Se solicita a la Entidad publicar los planos y detalles de cimentaciones para los Box Culverts planteados en el capitulo de hidraulica para las unidades funcionales 1, 2, 3 y 4 teniendo en cuenta que dicha informacion no se encuentra en el cuarto de datos.</t>
  </si>
  <si>
    <t>Se informa al interesado que se complementará el Cuarto de Información de Referencia, (carpeta B). Esta información estará disponible a título meramente informativo acorde con las condiciones de la Sección 1.7 Cuarto de Información de Referencia del Pliego de Condiciones.</t>
  </si>
  <si>
    <t>Se solicita a la Entidad publicar los planos de las canalizaciones de fibra óptica  existentes en los diferentes corredores viales, que sirven para las comunicaciones de los diferentes peajes y su correspondiente interconexion con el centro de control de operación.</t>
  </si>
  <si>
    <t>Se incluirá, en el Cuarto de Información de Referencia (carpeta H), la información disponible de la reversión de la concesión anterior. Esta información estará disponible a título meramente informativo acorde con las condiciones de la Sección 1.7 Cuarto de Información de Referencia del Pliego de Condiciones. No obstante, se aclara que los peajes se encuentran actualmente en operación por parte de INVIAS.</t>
  </si>
  <si>
    <t>Se solicita a la Entidad publicar los planos de los puentes peatonales relacionados en el numeral 5.5 que se ubican sobre vias en calzada sencilla y calzada doble.</t>
  </si>
  <si>
    <t>Se incluirá, en el Cuarto de Información de Referencia (carpeta H), la información disponible de la reversión de la concesión anterior. Esta información estará disponible a título meramente informativo acorde con las condiciones de la Sección 1.7 Cuarto de Información de Referencia del Pliego de Condiciones.</t>
  </si>
  <si>
    <t>Se solicita informar si existen procesos sancionatorios ambientales en curso y/o en firme a causa de la obligaciones ambientales mencionadas en la Tabla 2 del apendice tecnico 1 del Capitulo VIII.</t>
  </si>
  <si>
    <t>La información solicitada se puede consultar en los expedientes de las licencias que reposan en la ANLA. Sin embargo es pertinente aclarar que el Artículo 2.2.2.3.8.4 del Decreto 1076 de 2015 del 26 de mayo de 2015, señala que “El beneficiario de la licencia ambiental en cualquier momento podrá cederla total o parcialmente, lo que implica la cesión de los derechos y obligaciones de ella se deriva (…)” y no cesión de responsabilidades.
Es así que la ANLA ha señalado en diferentes actos administrativos que “la normativa vigente no contempla alguna posibilidad de cesión de los procesos sancionatorios, los cuales tienen el carácter de intuito personae, por lo cual, la cesión de derechos y obligaciones de una Licencia Ambiental o de un Plan de Manejo Ambiental no implica per se la cesión de los procesos sancionatorios promovidos con ocasión de las infracciones ambientales derivadas de los instrumentos de manejo ambiental, por las que está llamado a responder el titular del instrumento para la época de los hechos”. Por ende, ni procesos sancionatorios, ni multas serán objeto de cesión al adjudicatario de la concesión.</t>
  </si>
  <si>
    <t>Se solicita a la Entidad publicar los planos tecnicos de la intervencion de taludes y sitios criticos para cada unidad funcional.</t>
  </si>
  <si>
    <t>La información solicitada se puede consultar en el Cuarto de Información de Referencia, carpeta C.</t>
  </si>
  <si>
    <t xml:space="preserve">Se solicita a la Entidad publicar la información correspondiente a los acuerdos y/o convenios suscritos con las empresas propietarias de redes de hidrocarburos conforme el Capitulo II, con el fin de definir los alcances  de las intervenciones a realizar en materia del traslado y/o manejo constructivo de las diferentes redes y sus obras civiles asociadas a lo largo del corredor del proyecto. </t>
  </si>
  <si>
    <t>Apéndice Técnico 5 Interferencias con Redes</t>
  </si>
  <si>
    <t>En línea con la observación anterior, se solicita a la Entidad definir que redes de hidrocarburos de las listadas en el Capítulo II serán responsabilidad del concesionario y cuales serán responsabilidad de los terceros que las operan y/o son sus propietarios.</t>
  </si>
  <si>
    <t xml:space="preserve">Se solicita a la Entidad publicar la información correspondiente a los acuerdos y/o convenios suscritos con las empresas propietarias de redes de alta tensión conforme el Capítulo II, con el fin de definir los alcances  de las intervenciones a realizar en materia del traslado y/o manejo constructivo de las diferentes redes y sus obras civiles asociadas a lo largo del corredor del proyecto. </t>
  </si>
  <si>
    <t>En línea con la observación anterior, se solicita a la Entidad definir que redes de alta tensión de las listadas en el Capítulo II serán responsabilidad del concesionario y cuales serán responsabilidad de los terceros que las operan y/o son sus propietarios.</t>
  </si>
  <si>
    <t>Respecto de lo indicado en el Capitulo II identificación de redes potencialmente afectadas por el proyecto, entendemos que la responsabilidad operativa de la ejecución del traslado de las redes sera de los prestadores del servicio. Favor confirmar nuestro entendimiento es correcto.</t>
  </si>
  <si>
    <t>Se solicita a la Entidad, suministrar para cada intervencion de las listadas en el Capítulo II un plano general de su ubicación.</t>
  </si>
  <si>
    <t>Puede consultarse en la Carpeta F del Cuarto de Información de Referencia la información relativa a la debida diligencia con empresas propietarias y operadoras dede redes. Esta información estará disponible a título meramente informativo acorde con las condiciones de la Sección 1.7 Cuarto de Información de Referencia del Pliego de Condiciones. Se aclara que no se identificaron convenios ni durante la estructuración se realizaron convenios sobre redes de hidrocarburos. Sin embargo hay información confidencial que no se incluye en la publicación.</t>
  </si>
  <si>
    <t>Se solicita informar si existen procesos sancionatorios ambientales en curso y/o en firme a causa de la obligaciones ambientales mencionadas en la Tabla 2. En caso afirmativo se solicita a la Entidad suministrar los documentos correspondientes que soportan dichos procesos en curso y/o ejecutoriados.</t>
  </si>
  <si>
    <t>Apendice Tecnico 6 - Gestión Ambiental</t>
  </si>
  <si>
    <t>Se informa al interesado que se acepta su observación y se publicarán los documentos solicitados, en el Cuarto de Información de Referencia. Se precisa que esta información estará disponible a título meramente informativo acorde con las condiciones de la Sección 1.7 Cuarto de Información de Referencia del Pliego de Condiciones.</t>
  </si>
  <si>
    <t xml:space="preserve">En línea con la observación anterior, se solicita a la Entidad publicar los documentos firmados y las actas de concertacion con las comunidades presentes en el proyecto, a efectos de poder validar en el estudio de licitacion cuales son sujetos de modificación y/o ampliación. </t>
  </si>
  <si>
    <t xml:space="preserve">Se informa al interesado que se acepta su observación y se publicarán los documentos solicitados en la Carpeta I. </t>
  </si>
  <si>
    <t>En línea con la observación 25 anterior, se solicita publicar la informacion correspondiente en donde se valide el nivel de cumplimiento de las obligaciones ambientales por parte del anterior concesionario.</t>
  </si>
  <si>
    <t>Dicha información se puede consultar en los expedientes de las licencias que reposan en ANLA, sin embargo las obligaciones pendientes de cumplimiento y por ejecutar se listan en el Capítulo IX del Apéndice Técnico 6.</t>
  </si>
  <si>
    <t>Se solicita a la Entidad informar sobre los compromisos adquiridos por el anterior contratista con las comunidades étnicas presentes en la zona del proyecto (Zona del Hormiguero, Dos aguas Cascajal Verdeda Cascajal, Playa renaciente en Cali, comunidad negra - Bocas de Palo,) en materia predial.</t>
  </si>
  <si>
    <t xml:space="preserve">Apendice Tecnico 7 - Gestión Predial </t>
  </si>
  <si>
    <t>Predial</t>
  </si>
  <si>
    <t>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Para los acuerdos protocolizados con las comunidades en el marco del presente proyecto se tienen los acuerdos en el Apéndice Técnico 1 y las actas firmadas que se incluirán en el Cuarto de Información de Referencia, dichos acuerdos no incluyen aspectos prediales para el Corredor del Proyecto.</t>
  </si>
  <si>
    <t>Se solicita informar si existe acuerdo bilateral de negociación de precios para la adquisicion de predios con comunidades etcnicas. En caso afirmativo se solicita a la Entidad publicarlo en el cuarto de datos e indicar su ruta de acceso.</t>
  </si>
  <si>
    <t>Se solicita a la Entidad suministrar los documentos firmados y las actas de concertacion con las comunidades presentes en el proyecto en materia predial a efectos de poder validar en el estudio de licitacion cuales son sujetos de modificación y/o ampliación.</t>
  </si>
  <si>
    <t>Se informa al interesado que las actas firmadas se incluirán en el Cuarto de Información de Referencia, en la carpeta "I"</t>
  </si>
  <si>
    <t>Se solicita a la Entidad informar sobre los compromisos adquiridos por el anterior contratista con las comunidades etnicas presentes en la zona del proyecto en materia Social.</t>
  </si>
  <si>
    <t>Apendice Tecnico 8 - Gestión Social</t>
  </si>
  <si>
    <t>Se solicita a la Entidad publicar los documentos en donde se dejó constancia de los acuerdos citados en la observación 31 anterior.</t>
  </si>
  <si>
    <t>Se solicita a la Entidad informar la totalidad de comunidades etcnicas y/o afradescendientes existentres en cada una de las unidades funcionales y suministrar los documentos de acuerdo suscritos con dichas comunidades</t>
  </si>
  <si>
    <t>Para las unidades funcionales donde se realizará construcción de vía, el Ministerio del Interior certificó a las siguientes comunidades, con las cuales se surtió el proceso de consulta previa: Consejos Comunitario San Isidro, Consejo Comunitario de Bocas del Palo y Consejo Comunitario Dos Aguas de Cascajal.
Las actas de protocolización suscritas con esas comunidaddes y con el Ministerio del Interior se encuentran disponibles en el Cuarto de Información de Referencia, carpeta (I) para su consulta. 
Para las demás comunidades con acuerdos establecidos en la concesión anterior, referirse a los expedientes enumerados en el Capítulo IX del Apéndice Técnico 6.</t>
  </si>
  <si>
    <t>Se solicita a la Entidad eliminar el último párrafo del numeral 1.22 Cambio tributario permitiendo que el impuesto de renta haga parte de los impuestos incluídos en éste acápite.</t>
  </si>
  <si>
    <t>Contrato - Parte General</t>
  </si>
  <si>
    <t>El numeral 1.79, Fuerza Mayor, indica:</t>
  </si>
  <si>
    <t>Al respecto consideramos que el plazo establecido por la Entidad es excesivo, por lo cual se propone reducirlo a 100%.</t>
  </si>
  <si>
    <t>En el numeral 4.2 la Entidad señala que durante la etapa de Construcción y a los dos (2) meses de suscribir el acta de inicio, el concesionario deberá entregar el "Cronograma Trabajo Predial, de trámites ambientales y redes". Al respecto y teniendo en cuenta que las intervenciones de cada unidad funcional son diferentes en cuanto a las estructuras a construir y sus plazos, se solicita a la Entidad modifical el plazo del numeral 4.2 a cinco (5) meses permitiendo entregar los citados cronogramas por unidad funcional conforme el plan de obras de cada una.</t>
  </si>
  <si>
    <t>Respecto del literal (f) del numeral 4.11. Ahorros por cambio de Especificaciones Técnicas sólo a favor de ANI, se sugiere regresar a la redacción de 4G en aras de compartir los ahorros por cambio de Especificaciones Técnicas entre la Entidad y el Concesionario, en razón a que es por cuenta del concesionario que se van a ahorrar dichos costos, con lo cual este beneficio deberia ser compartiddo entre ambas partes.</t>
  </si>
  <si>
    <t>La Entidad considera que la observación no es procedente toda vez que el riesgo  cambio de Especificaciones Técnicas hace parte del área regulatoria y es asumido por el Público de conformidad con lo regulado en la Sección 4,11(f).</t>
  </si>
  <si>
    <t>El literal (a) del numeral 4.13. incluye como de responsabilidad del Concesionario los costos de servidumbres, al respecto se solicita a la Entidad eliminarlos de éste acápite o en su defecto aclarar que el concesionaria se responsbilizará de los mismos siempre y cuando correspondan al fruto de las negociaciones directas con los legitimos tenentes de los derechos de los predios, en donde el gobierno y la ANI sirvan de garantes para que dichos costos esten dentro de la ley aplicable y los costes del mercado.</t>
  </si>
  <si>
    <t>Teniendo en cuenta que estos costos están asociados a fuentes de materiales y las vías de acceso a las mismas, los costos son entera responsabilidad del Concesionario.</t>
  </si>
  <si>
    <t>El numeral 6.3 señala que será obligación del Concesionario asumir los efectos de las modificaciones y adecuaciones a los estudios de factibilidad de trazado y diseño geométrico, cuándo estos trazados excedan el área de la franja de terreno del corredor. Al respecto se solicita revisar esta obligación para que sea asignada al Contratista únicamente cuando la modificación haya sido concebida por el mismo, teniendo en cuenta que la necesidad de la modificación y/o adecuación del trazado podría deberse a deficiencias demostrables del Trazado y/o Diseño Geométrico entregado por la Entidad.</t>
  </si>
  <si>
    <t>Respecto del literal (b) del numeral 7.2. se sugiere que el remanente de los recursos de la subcuenta de predios sea distribuido por partes iguales entre la Entidad y el Concesionario, teniendo como base el contrato de las concesiones de cuarta generación.</t>
  </si>
  <si>
    <t>Los subnumerales (vi) y (vi) literal (a) del numeral 7.4 establecen que se entenderá Fuerza Mayor Predial transcurridos diesciocho (18) y doce (12) meses de la demanda de los procesos de expropiación de predios legales y predios baldios, respectivamente. Al respecto se solicita a la Entidad modificar dichos plazos a doce (12) y ocho (8) meses, ya que plazos tan largos pueden repercutir en la culminación oportuna de las unidades funcionales y por ende la concesión.</t>
  </si>
  <si>
    <t>Se solicita a la Entidad modificar el plazo establecido en el literal (b) del numeral 7.4 Fuerza Mayor Predial a 365 días, so pena de generar dilataciones en la construcción de las unidades funcionales del proyecto.</t>
  </si>
  <si>
    <t>Se aclara  al interesado que la entidad considera que el plazo establecido de 730 días para la terminación de la Unidad Funcional afectada de acuerdo con la sección 7.4 (b), es adecuado, por lo anterior no se acoge la observación del interesado.</t>
  </si>
  <si>
    <t>Respecto del subnumeral (ii) literal (c) del numeral 8.1. se sugiere que el remanente de los recursos de la subcuenta de compensaciones socioambientales sea distribuido por partes iguales entre la Entidad y el Concesionario, teniendo como base el contrato de las concesiones de cuarta generación.</t>
  </si>
  <si>
    <t>Respecto de los sobrecostos establecidos en el literal (c) del numeral 8.1 se solicita modificar la redacción de forma que la Entidad sea quien asuma los sobrecostos por compensaciones socioambientales, en el caso de que se demuestre tecnicamente que el trazado realizado por la misma a efectos de la estructuración tenia errores de tipo tecnico plenamente demostrables.</t>
  </si>
  <si>
    <t>Se informa al Interesado que tal y como está establecido en el contrato, el riesgo de diseños es asignado 100% del concesionario y por lo tanto no es procedente el planteamiento descrito toda vez que los estudios y diseños realizados por la entidad son diseños fase II y netamente referenciales. Adicionalmente en caso que exista una nueva comunidad en el capítulo mencionado dicho riesgo será asumido en las condiciones allí descritas.</t>
  </si>
  <si>
    <t>Al respecto se considera que el plazo establecido en el literal (j) del numeral 8.1 es muy largo, por lo cual se propone reducirlo a trescientos sesenta y cinco (365) días, plazo que consideramos suficiente teniendo en cuenta además que el concesionario contará con la ayuda de la Entidad y los terceros involucrados para finalizar los tramites necesarios en materia ambiental.</t>
  </si>
  <si>
    <t>Respecto del subnumeral (ii) literal (c) del numeral 8.1. se sugiere que el remanente de los recursos de la subcuenta de redes sea distribuido por partes iguales entre la Entidad y el Concesionario, teniendo como base el contrato de las concesiones de cuarta generación.</t>
  </si>
  <si>
    <t>Respecto de los riesgos (a) Variaciones en el valor de predios y compensaciones socioeconómicas, (b) Variaciones en el valor de compensaciones socioambientales, (e) Variaciones en el valor del traslado y/o intervención de Redes, (q) (r) Fuerza Mayor predial (t) Fuerza Mayor ambiental (v) Fuerza Mayor por interferencia redes (w) Fuerza Mayor por trámites ante las autoridades estatales, (u) Efectos por las decisiones de la autoridad competente en las consultas previas del proyecto y (x) Acaecimiento de eventos no asegurables se solicita a la Entidad revisarlos y reasignarlos 100% a su cargo, sustentado en que las decisiones derivadas de estos riesgos dependen de diferentes entidades aprobadoras y/o prestadores de servicios publicos, en las que el Contratista no tiene ninguna ingerencia.</t>
  </si>
  <si>
    <t>Contrato parte general</t>
  </si>
  <si>
    <t>Al respecto consideramos que un 3% de los ingresos brutos es un valor muy alto de asumir y que al final este riesgo se traduce en un mayor valor de oferta, razón por la cual se solicita a la Entidad modificar dicho porcentaje a un 1% de los ingresos brutos.</t>
  </si>
  <si>
    <t>El subnumeral (ii) literal (d) del numeral 7.2 Recursos para la adquisición de predios y compensaciones económicas, establece:</t>
  </si>
  <si>
    <t>Analizado lo anterior, se observa que se está trasladando un riesgo muy alto al Concesionario del 30% del 80% restante (200%-120%) que es igual a un 24%, sumado a lo estipulado en el subnumeral i, por lo que el concesionario estaría asumiendo un 144%, razón por la cual se solicitá regular que a partir del 120% todos los sobrecostos sean asumidos por la Entidad.</t>
  </si>
  <si>
    <t>El subnumeral (iii) literal (c) del numeral 8.1 Gestión Social y Ambiental, literal c establece:</t>
  </si>
  <si>
    <t>Analizado lo anterior, se observa que se está trasladando un riesgo muy alto al Concesionario del 30% del 80% restante (200%-120%) que es igual a un 24%, sumado a lo estipulado en el subnumeral (iii)(1), el concesionario estaría asumiendo un 144%, razón por la cual se solicitá regular que a partir del 120% todos los sobrecostos sean asumidos por la Entidad.</t>
  </si>
  <si>
    <t>Elliteral (d) del numeral 8.1 Gestión Social y Ambiental, establece en relación a los compromisos deriviados de las consultas previas:</t>
  </si>
  <si>
    <t>Al respecto se solicita que los costos de compromisos derivados de acuerdos de nuevas consultas previas sean asumidos 100% por la Entidad y no en partes iguales 50% como está en el documento, ya que estos tratan de nuevos compromisos y por ende la Entidad es quien debe asumirlos en su totalidad siempre y cuando se traten del mismo trazado.</t>
  </si>
  <si>
    <t>El subnumeral (ii) del literal (e) del numeral 8.2 Redes, establece:</t>
  </si>
  <si>
    <t>Analizado lo anterior se está trasladando un riesgo muy alto al Concesionario del 30% del 80% restante (200%-120%) que es igual a un 24%, sumado a lo estipunlado en el subnumeral (iii)(1), el concesionario estaría asumiendo un 144%razón por la cual se solicitá regular que a partir del 120% todos los sobrecostos sean asumidos por la Entidad.</t>
  </si>
  <si>
    <t>El subnumeral (xviii) del numeral 13.2 Variación de ingresos por recaudo de peaje establece:</t>
  </si>
  <si>
    <t>Analizada la cita anterior, entendemos que la Entidad asume las coberturas derivadas del cálculo de soporte de ingresos, no obstante en la Parte Especial del contrato se señala de manera expresa que dicho Calculo de Soporte no aplica para este contrato, al respecto es importante aclarar que el riesgo por demanda de tráfico es el mayor riesgo para este contrato, razón por la cual se solicita adoptar un mecanismo de revisión del tráfico por periodos de cinco (5) años, de manera similar a como se realizó en las Concesiones 4G, ya que de no establecerse compensaciones en el contrato al respecto, se compromete la liquidez del concesionario y por ende el éxito del proyecto.</t>
  </si>
  <si>
    <t>En virtud de lo anterior, se solicita a la Entidad modificar la asignación del citado riesgo 100% a cargo de la Entidad.</t>
  </si>
  <si>
    <t>El numeral 1.165 Soporto de Ingreso establece:</t>
  </si>
  <si>
    <t>Contrato parte especial</t>
  </si>
  <si>
    <t>Dado que el riesgo por demanda de tráfico es el mayor riesgo contractual para el concesionario, invitamos a la Entidad a revisar la asignación actual de este riesgo que actualmente está 100% para el Concesionario, ya que se podría comprometer seriamente el equilibrio económico del contrato y por ende el éxito del proyecto.</t>
  </si>
  <si>
    <t xml:space="preserve">Se aclara al interesado que estas obras al ser optativas y de dependencia exclusiva de la debida de diligencias a realizar por parte del Concesionario al momento de ofertarlas, es consistente con la asignación de riesgo planteada y por lo tanto no se considera procedente la observación. </t>
  </si>
  <si>
    <t>Al respecto no entendemos la razón de porque se quieren asignar al concesionario esos riesgos para las obras adicionales rompiendo el esquema de asignación actual para el restoo de la infraestructura a construir y/o mantener, con la generación de un posible desequilibrio dle contrato y la inconclusión de las obras.</t>
  </si>
  <si>
    <t xml:space="preserve">Matriz de riesgos del proyecto </t>
  </si>
  <si>
    <t>Se aclara al interesado que se ha analizado su observación pero se considera no procedente, por lo que la asignación de riesgos se mantiene conforme lo expuesto en el proceso licitatorio. Las condiciones relativas a los permisos y licencias ambientales de esta observación se regulan en la Fuerza Mayor Ambiental de la Sección 8.1.</t>
  </si>
  <si>
    <t>Se solicita a la Entidad incluir dentro de este riesgo que el mismo será asumido por el concesionario siempre y cuando las demoras le sean imputables imputables a este.</t>
  </si>
  <si>
    <t>En el evento que la observación anterior no sea tenida en cuenta se solicita a la Entidad modificar la asignación del riesgo para que sea asumida por el Contratista y la Entidad de forma compartida.</t>
  </si>
  <si>
    <t>Riesgo No. 20: Efectos de la variación en los ingresos por cambios en el tráfico</t>
  </si>
  <si>
    <t xml:space="preserve">Se aclara al interesado que los controles e informes sistemáticos sobre información de tráfico y recaudo ya se encuentran incluídos en las actividades de las Secciones 3.3.4 y 3.3.5 del Apéndice Técnico 2. </t>
  </si>
  <si>
    <t>Riesgo No. 23: Efectos de la variación de los ingresos por explotación comercial</t>
  </si>
  <si>
    <t>Riesgo No. 27: Efecto de las variaciones en la Liquidez generada por variaciones en el tráfico</t>
  </si>
  <si>
    <t>Se solicita a la Entidad incluir como mitigación de los citados riesgos la realización de revisiones de trafico a lo largo del plazo de ejecución de la Concesión (similar a los proyectos de 4G), para que las partes tengan pleno conocimiento del tráfico presente en la vía concesionada y los cambios que el mismo tenga, teniendo en cuenta que el trafico es muy dinamico y depende de diferentes variables socioeconómicas que pueden afectarlo y por ende también los ingresos de explotación comecial.</t>
  </si>
  <si>
    <t>Riesgo No. 34: Efectos de los cambios en la normatividad (General)</t>
  </si>
  <si>
    <t>Se solicita a la Entidad reasignar este riesgo 100% a su cargo, teniendo en cuenta que es quien está en mejor posición para gestionarlo.</t>
  </si>
  <si>
    <t xml:space="preserve">Con el fin de otorgar plazo prudencial para la revisión de los Documentos del Proceso de Contratación se modificó el cronograma a través de los Avisos Modificatorios publicados en el SECOP </t>
  </si>
  <si>
    <t>Tiene como sustento nuestra solicitud, que desde el pasado mes de marzo de 2020, el país producto de la pandemia conocida como COVID-19 ha emidido una serie de decretos gubernamentales como lo son el 457 y 531 de 2020 que han restringido la movilidad de personas y vehículos, lo cual sin lugar a dudas ha impedido que como oferente podamos realizar trabajo de campo para validar los datos suministrados por la entidad contratante para la vialbilizacíon financiera, técnica y jurídica del proyecto, tales como el estudio de tráfico, estudio de los diseños y estado actual de la vía, validación de los estados técnicos reportados.</t>
  </si>
  <si>
    <t>CONSORCIO MALLA VIAL DEL CAUCA, 22/04/2020</t>
  </si>
  <si>
    <t>REVISANDO EL CONTRATO PARTE GENERAL EN CONSONANCIA CON EL CAPITULO V (PAGINA 145 Y 146), ASI MISMO EL CAPITULO V DEL CONTRATO ESPECIAL (PAGINA 41) REFERENTE A LOS CONTRATISTAS ENCARGADOS DE LA EJECUCIÓN DE LOS CONTRATOS DE DISEÑO, CONSTRUCCIÓN, OPERACIÓN Y MANTENIMIENTO. SOLICITAMOS A LA ENTIDAD NOS ACLARE SI ¿ESTA EXPERIENCIA A ACREDITAR DEBE SER DEMOSTRADA AL CONCESIONARIO ADJUDICATARIO?, ¿O SE DEBE PRESENTAR EN EL PRESENTE PROCESO DE LICITACIÓN PÚBLICO A LA ANI? PUES NOS PERCATAMOS QUE EN EL BORRADOR DE PLIEGOS DE CONDICIONES SOLO EXIGEN CUMPLIMIENTO DE EXPERIENCIA EN INVERSIÓN.</t>
  </si>
  <si>
    <t>CONTRATO PARTE ESPECIAL Y GENERAL</t>
  </si>
  <si>
    <t>JURIDICO</t>
  </si>
  <si>
    <t>Se aclara al interesado que los requisitos mencionados deberán ser acreditados por el Concesionario que resulte adjudicatario.</t>
  </si>
  <si>
    <t>SOLICITAMOS AMPLIACIÓN DEL PLAZO DE ENTREGA DE LA PRESENTE LICITACIÓN HASTA POR LO MENOS LA ULTIMA SEMANA DE OCTUBRE DE 2020, DEBIDO A LA EMERGENCIA SANITARIA QUE ESTAMOS PASANDO EN EL MUNDO, ES NECESARIO QUE TENGAN EN CUENTA QUE UN PROYECTO DE INFRAESTRUCTURA DE ESTE TAMAÑO CONLLEVA ESTUDIOS Y DISEÑOS CON DISPONIBILIDAD 100% DE PROFESIONALES EN SITIO, QUE EN ESTE MOMENTO NO ES POSIBLE LLEVAR A CABO DEBIDO AL CIERRE INDEFINIDO DEL AEROPUERTO EL DORADO Y VIAS INTERMUNICIPALES.</t>
  </si>
  <si>
    <t>BORRADOR DE PLIEGOS</t>
  </si>
  <si>
    <t xml:space="preserve">De acuerdo con las observaciones presentadas por los Interesados y con el fin de otorgar plazo prudencial para la presentación de las Ofertas dentro del Proceso de Contratación, se modificó el cronograma a través de los Avisos Modificatorios publicados en el SECOP </t>
  </si>
  <si>
    <t>KMA CONSTRUCCIONES S.A.S., 22/04/2020</t>
  </si>
  <si>
    <t>De acuerdo con el proyecto de pliego de condiciones se estableció la fecha de audiencia de aclaración al pliego y audiencia de riesgos para el próximo 11 de mayo de 2020.</t>
  </si>
  <si>
    <t>Proyecto de Pliego de Condiciones</t>
  </si>
  <si>
    <t xml:space="preserve">Se informa al interesado que la audiencia de aclaraciones al Pliego de Condiciones y audiencia de riesgos está prevista en el Cronograma.  
De acuerdo con lo establecido por el artículo 1 del Decreto 537 de 2020, las audiencias públicas que deban desarrollarse en procesos de selección podrán adelantarse a través de medios electrónicos durante el tiempo que dure la Emergencia Sanitaria decretada por el Ministerio de Salud y Protección Social, garantizando el acceso a los proponentes, entes de control y cualquier ciudadano interesado. Teniendo en cuenta lo anterior, y en la medida en que la Emergencia Sanitaria continúe con posterioridad al 30 de mayo del año en curso y/o se mantengan las restricciones de aglomeraciones decretadas por el Gobierno Nacional, la audiencia podrá realizarse a través de medios electrónicos.
En todo caso, aun cuando la referida audiencia se lleve a cabo de forma presencial, con el fin de permitir el acceso a personas que puedan verse limitadas para participar de forma directa, se informa al interesado que la audiencia será transmitida a través de un webinar cuyos datos de acceso serán publicados con la debida antelación.
</t>
  </si>
  <si>
    <t>De acuerdo con el Aviso modificatorio 1a fecha se postergó para el 3 de Junio de 2020.</t>
  </si>
  <si>
    <t>2.3 CRONOGRAMA DE LA LICITACIÓN PÚBLICA</t>
  </si>
  <si>
    <t>Así mismo, de conformidad con las declaraciones dadas el pasado 20 de abril de 2020, por el presidente de la República frente a la prolongación del aislamiento hasta el 10 de mayo de 2020, y la posibilidad de que se prolongue la emergencia sanitaria agradecemos indicar los protocolos que se van a llevar a cabo para las audiencias, así como determinar la posibilidad de llevar a cabo las mismas de manera virtual.</t>
  </si>
  <si>
    <t>De acuerdo con el proyecto de pliego de condiciones se establece:</t>
  </si>
  <si>
    <t>Proyecto de Pliego de Condiciones, numeral 1.8</t>
  </si>
  <si>
    <t>1.8 VISITAS AL LUGAR DONDE SE DESARROLLARÁ EL PROYECTO, DEBIDA DILIGENCIA E INFORMACIÓN SOBRE EL PROYECTO</t>
  </si>
  <si>
    <t>1.8.1 Será responsabilidad de los Oferentes visitar e inspeccionar los sitios en los cuales se desarrollará el Proyecto. Los interesados deberán realizar todas las evaluaciones y estimaciones que sean necesarias para presentar su Oferta sobre la base de un examen cuidadoso de sus características, incluyendo los estudios, diseños, evaluaciones y verificaciones que consideren necesarios para formular la Oferta con base en su propia información.</t>
  </si>
  <si>
    <t>Comedidamente solicitamos permitir acceso a las instalaciones existentes que harán parte del Contrato, como son CCO, Áreas de Servicios, Estaciones de Peajes y Pesajes, a efecto de evaluar el estado de las mismas.</t>
  </si>
  <si>
    <t>De acuerdo con el numeral 4.2.10. (c) (iv) del Proyecto de Pliego de Condiciones, se establece:</t>
  </si>
  <si>
    <t>Proyecto de Pliego de Condiciones numeral 4.2.10. (c) (iv)</t>
  </si>
  <si>
    <t>No se acoge la observación de eliminar el requisito, teniendo en cuenta que la fecha de expedición de la certificación de los contratos en ejecución permite a la Entidad conocer el panorama reciente del estado de ejecución del contrato. No obstante, teniendo en cuenta la situación generada por la Emergencia Sanitaria, se ajustará este plazo a un término de expedición no mayor a seis (6) meses.</t>
  </si>
  <si>
    <t>Que el contrato no haya sido objeto de terminación por caducidad o incumplimiento del contratista ni haber hecho efectivas las garantías de cumplimiento otorgadas por el contratista respectivo. En este último evento, si el contrato está en ejecución la certificación no podrá tener una fecha de expedición mayor de tres (3) meses contados desde la publicación de la presente Licitación Pública en el SECOP.</t>
  </si>
  <si>
    <t>Solicitamos unificar la Definición de “Líder” en los documentos precontractuales, toda vez que en el numeral 4.1.5 (v) del Proyecto de Pliego de Condiciones, se establece una definición diferente a la que se establece en el numeral 1.103 del Contrato Parte General.</t>
  </si>
  <si>
    <t>Proyecto de Pliego de Condiciones numeral 4.2.10. (c) (iv) y numeral 1.103 del Contrato Parte General</t>
  </si>
  <si>
    <t xml:space="preserve">Se aclara al interesado que la definición de "Líder" señalada en el Pliego de Condiciones coincide con la definición de "Líder" del Contrato Parte General.
De acuerdo con el Proyecto de Pliego de Condiciones, Líder será el(los) Integrante(s) de la Estructura Plural en quien(es) concurra(n) los requisitos señalados en la Sección 4.1.5 del Pliego. Estos requisitos son: (i) tener una participación del 25% en la Estructura Plural, (ii) acreditar Experiencia en Inversión directamente o a través de terceros y (iii) haber indicado su calidad de Líder en la Carta de Presentación.  
Los anteriores requisitos son los requisitos contenidos en la definición de "Líder" del Contrato Parte General.
</t>
  </si>
  <si>
    <t>En ese sentido, solicitamos que la definición sea la establecida actualmente en el Contrato Parte General, numeral 1.103</t>
  </si>
  <si>
    <t>De acuerdo con el numeral 5.5. del Proyecto de Pliego de condiciones para ser acreedor del puntaje por Factor de Calidad se deberán ofrecer obras adicionales, así como calidad de la mezcla Densa en Caucho Reciclado en el 10% de la longitud total que conforma cada una de las Unidades Funcionales del proyecto.</t>
  </si>
  <si>
    <t>Proyecto de Pliego de condiciones, numeral 5.5.</t>
  </si>
  <si>
    <t xml:space="preserve">En ese sentido, solicitamos publicar en el cuarto de información de referencia los documentos técnicos y estudios y diseños que se hayan adelantado para los tramos adicionales que trata este numeral. </t>
  </si>
  <si>
    <t>En ese sentido, solicitamos precisar:</t>
  </si>
  <si>
    <t xml:space="preserve">(i) la longitud mínima o volumen mínimo que se deberá tener en cuenta de mezcla Densa en Caucho Reciclado, toda vez que las unidades funcionales tienen datos de longitud de referencia en el Contrato Parte Especial y Apéndice Técnico 1. </t>
  </si>
  <si>
    <t>(ii) si la mezcla Densa en caucho debe aplicar en la longitud de la Unidad Funcional 0 de Operación y Mantenimiento Rutinario o únicamente se deberá tener en cuenta en las demás Unidades Funcionales. En caso que aplique a la UF0 solicitamos eliminar este requerimientos toda vez que entendemos que la UF0 únicamente tendrá intervención de Operación y Mantenimiento Rutinario.</t>
  </si>
  <si>
    <t>Contrato Parte Especial, numeral 4.1. (b). Apéndice Técnico 1, numeral 3.1 y 4.1. Apéndice Técnico 4, Capítulo 6.</t>
  </si>
  <si>
    <t xml:space="preserve">Se aclara al interesado que si bien la intervención fijada para la Uf 0 es mantenimiento rutinario y operación, para el cumplimiento de los indicadores de dicha UF no se excluye que se puedan realizar actividades relacionadas con mantenimientos extraordinarios (Periódico). De otra parte, las demás Unidades Funcionales tendrán como intervención el mantenimiento periodico de la infraestructura que las componen, lo anteior con el fin de cumplir los Indicadores asociados con dicha intervención.
En cuanto al punto (ii) la medición de indicadores se realizará sobre la infraestructura que tenga a cargo el concesionario, la cual cambiará de acuerdo con la fase en la que se encuentre, o a medida que se suscriban la terminación de Unidades Funcionales, en los terminos de la Parte Especial. </t>
  </si>
  <si>
    <t>Por su parte en el Apéndice Técnico 4, varios indicadores entre ellos IRI y ahuellamiento no serán evaluados para la UF0</t>
  </si>
  <si>
    <t>En ese sentido, entendemos:</t>
  </si>
  <si>
    <t>(i) La UF0 NO contempla Mantenimientos Periódicos a lo largo de la Concesión, es correcta nuestra apreciación?</t>
  </si>
  <si>
    <t>(ii) Los Mantenimientos Rutinarios de la UF0 a lo largo de la Concesión, que se dividirá en dos etapa, a saber:</t>
  </si>
  <si>
    <t>- Etapa I: Antes de suscrición del Acta de Terminación de las Unidades Funcionales será la longitud de las vías recibidas de conformidad con el CAITULO III del Apéndice Técnico 1,</t>
  </si>
  <si>
    <t>- Etapa II: Después de la suscripción del Acta de Terminación de la Unidades Funcionales, será la longitud de las vías recibidas de conformidad con el CAITULO III del Apéndice Técnico 1, más las vías intervenidas en las demás Unidades Funcionales, menos las vías que tengan reversión especial, es correcta nuestra apreciación?</t>
  </si>
  <si>
    <t>De acuerdo con el numeral 4.5. (a) del Contrato Parte Especial se establecen los montos de aporte para la subcuenta predial, donde adicionalmente se evidencia que éstos deberán ser aportados en un período inferior a 2 años de concesión, lo que se traduce en menos de 1 año después de iniciada la Etapa de Construcción</t>
  </si>
  <si>
    <t>Documento Contrato Parte Especial. Sección 4.5 literal (a)</t>
  </si>
  <si>
    <t>Sin perjuicio del análisis que se realizará en cuanto al valor de los predios, solicitamos comedidamente que los aportes puedan realizarse en un período más largo, así:</t>
  </si>
  <si>
    <t>(i) los predios necesarios para la ejecución de las obras en una período de mínimo 1410 días, como se establece para los aportes de compensaciones ambientales</t>
  </si>
  <si>
    <t>(ii) los predios que no son necesarios para la construcción de las obras, 1800 días</t>
  </si>
  <si>
    <t xml:space="preserve">Así mismo, solicitamos comedidamente a la ANI revisar el estado de las subcuentas prediales en los proyectos 4G, las cuales han sido fondeadas con mucha anticipación respecto al momento que realmente se han necesitado. No se puede perder de vista que fondear las subcuentas de manera anticipada a lo que realmente necesita el proyecto, implicará mayores costos financieros para el mismo. </t>
  </si>
  <si>
    <t>Bajo este esquema, si bien es cierto que contractualmente el concesionario tendrá la obligación de fondear las subcuentas en un mayor periodo de tiempo, en todo caso, no eliminará la obligación que tendrá de entregar las Unidades Funcionales en el tiempo contractualmente establecido, pero a todas luces mejorará las condiciones financieras del proyecto haciéndolo más económico para el estado.</t>
  </si>
  <si>
    <t>De acuerdo con el numeral 4.5. (c) del Contrato Parte Especial se establecen los montos de aporte para la subcuenta redes, donde adicionalmente se evidencia que éstos deberán ser aportados en un período inferior a 1.5 años de concesión lo que se traduce en menos de 6 meses después de iniciada la Etapa de Construcción.</t>
  </si>
  <si>
    <t>Documento Contrato Parte Especial. Sección 4.5 literal (c)</t>
  </si>
  <si>
    <t>Sin perjuicio del análisis que se realizará en cuando al valor de los traslados de redes, solicitamos comedidamente que los aportes puedan realizarse en un período similar al período de la Etapa de Construcción o hasta 1740 días</t>
  </si>
  <si>
    <t xml:space="preserve">Así mismo, solicitamos comedidamente a la ANI revisar el estado de las subcuentas de redes en los proyectos 4G, las cuales han sido fondeadas con mucha anticipación respecto al momento que realmente se han necesitado. No se puede perder de vista que fondear las subcuentas de manera anticipada a lo que realmente necesita el proyecto, implicará mayores costos financieros para el mismo. </t>
  </si>
  <si>
    <t>De acuerdo con el contrato Parte Especial se indica que Para efectos de lo dispuesto en la Sección 1.158 de la Parte General, y de acuerdo con lo establecido por la Resolución No. [°]del [°], la estructura tarifaria que regirá el Proyecto, sin incluir las tasas correspondientes al Fondo de Seguridad Vial será la definida en la mencionada Resolución de Peajes.
En ese sentido, solicitamos comedidamente:
(i) Publicar la Resolución de los peajes de que trata el numeral 4.2. de la Parte Especial.
(ii) Indicar para los cinco (5) peajes que tienen categorías especiales cuál es la tarifa que aplica para estas categorías.</t>
  </si>
  <si>
    <t>Contrato Parte Especial, numeral 4.2.</t>
  </si>
  <si>
    <t>(i) Publicar la Resolución de los peajes de que trata el numeral 4.2. de la Parte Especial.</t>
  </si>
  <si>
    <t>(ii) Indicar para los cinco (5) peajes que tienen categorías especiales cuál es la tarifa que aplica para estas categorías.</t>
  </si>
  <si>
    <t>De acuerdo con el numeral 4.5. (d) se establecen los fondeos que se deberán realizar para la subcuenta Interventoría. Sin embargo, no está claro si durante los meses de reversión se deberán seguir realizando los fondeos. En ese sentido, solicitamos comedidamente indicar, si los aportes a la Subcuenta Interventoría y Supervisión aplican también en la Etapa de Reversión</t>
  </si>
  <si>
    <t>Documento Contrato Parte Especial. Sección 4.5 literal (d)</t>
  </si>
  <si>
    <t xml:space="preserve">Se aclara al interesado que efectivamente deberá fondear la Subcuenta de Interventoría durante la Etapa de Reversión. </t>
  </si>
  <si>
    <t>De acuerdo con los documentos publicados en el cuarto de información de referencia, se evidencia un estudio de tráfico y demanda del año 2018 donde se calculan las proyecciones de tráfico hasta el año 2050. 
De acuerdo con la coyuntura actual, donde el flujo de vehículos se ha visto disminuido considerablemente frente a lo que se proyectó en ese estudio y como quiera que este tipo de circunstancias podrían repetirse en el futuro, donde inclusive el Gobierno Nacional decrete la necesidad de interrumpir el cobro de los peajes, solicitamos comedidamente se incluya en el presente contrato el Cálculo de la Diferencia de Recaudos (DR) para los años 8, 13, 18 y 29 de concesión, similar a como se implementó en los proyectos 4G, pero utilizando como respaldo la Subcuenta de Depósito Especial y/o la Subcuenta de Contingencias como medida de mitigación de este riesgo que puede darse dada la coyuntura actual y futura
Esta modificación en el Contrato coadyuvará a que el proyecto tenga mayores garantías en la obtención del cierre financiero.</t>
  </si>
  <si>
    <t>• Se sugiere permitir el restablecimiento del valor asegurado en un lapso de 90 días cuando la suma que se ha visto disminuida es menor al 10% del total del límite asegurado y en 30 días cuando sea mayor a dicho porcentaje.</t>
  </si>
  <si>
    <t>Contrato Parte General 12.3 (a)</t>
  </si>
  <si>
    <t xml:space="preserve">Seguros </t>
  </si>
  <si>
    <t>Respecto a la restricción de acceso a restricción de acceso a mercados de reaseguro en garantías del contrato de concesión, En el documento CONTRATO DE CONCESIÓN BAJO EL ESQUEMA DE APP No [•] DE [•] PARTE GENRAL su CAPÍTULO XII GARANTÍAS Y MECANISMOS DE COBERTURA DE RIESGOS clausula 12.3 Reglas Generales Aplicables a las Garantías Literal (i) indica: En el caso de incorporarse reaseguros los reaseguradores deberán encontrarse inscritos en el Registro de Reaseguradores y Corredores de Reaseguros</t>
  </si>
  <si>
    <t>del Exterior (REACOEX) que administra la Superintendencia Financiera de Colombia y, además, cumplir con las características que a continuación se expresan: y que ampliamente se encuentran detalladas en los incisos (i) y (ii) sub-numerales (1) a (4); sin embargo en REACOEX se admiten reaseguradores con calificación BBB- de acuerdo con los criterios definidos por el Regulador:</t>
  </si>
  <si>
    <t>En razón de lo anterior y teniendo en cuenta las importantes necesidades de capacidad demandadas en éste proyecto, se hace necesario no limitar la participación de Reaseguradores dado que el mercado local en sus contratos automáticos de reaseguro no cuenta con la capacidad suficiente para respaldar éste tipo de proyectos, en especial para la Etapa Contractual del proceso una vez celebrado el Contrato de Concesión, eliminando las limitaciones de acceso al mercado de Reaseguro Facultativo, claro está manteniendo lo definido por la Superintendencia Financiera de Colombia respecto del Registro de REACOEX</t>
  </si>
  <si>
    <t>• En relación con el Seguro de Obras Civiles, el Contrato Parte General establece que el seguro se tomará para cada Unidad Funcional (UF) y cubrirá los daños que pueda llegar a sufrir la infraestructura de dicha Unidad Funcional, independientemente de la causa que genere el daño. Art 12.8 (a) (i). situación que evidenciamos como una redacción que puede presentar dificultades para su aseguramiento, pues en los seguros de daños usualmente hay exclusiones de reaseguro y de ley que no permitirán garantizar la indemnización independientemente de la causa del daño, motivo por el cual se sugiere modificar la redacción para que la póliza cubra los daños que pueda llegar a sufrir la infraestructura de dicha Unidad Funcional de acuerdo con las condiciones establecidas en el apéndice financiero 3.</t>
  </si>
  <si>
    <t>Contrato Parte General y Apéndice Técnico 3</t>
  </si>
  <si>
    <t>• En el Art 12.8 (a) (ii) del Contrato Parte General se establece que cuando la UF incluya la entrega de infraestructura existente, la póliza de obras civiles deberá amparar las obras existentes, desde la Fecha de Inicio. El valor inicial del seguro de obras civiles corresponderá al valor asegurado que resulte del estudio de pérdida máxima probable. Sugerimos que se permita al Concesionario asegurar el 100% del valor de la infraestructura existente o el valor que resulte del estudio de PML según lo que resulte más conveniente para éste durante la negociación con el mercado asegurador.</t>
  </si>
  <si>
    <t>Se acepta la observación, y en caso de tomarse el seguro con un valor asegurado que no acude a la limitación de sumas por PML, éste no será exigible</t>
  </si>
  <si>
    <t>• El clausulado ANI para Obras Civiles, incluye amparos que generalmente son sublimitados en la suscripción. Se sugiere que la Parte General del Contrato, tal como se indica en el numeral 12.7 en lo que respecta a Responsabilidad Civil Extracontractual, se definan los sublímites mínimos aceptados para que haya uniformidad en la búsqueda de cotizaciones. Por ejemplo, no es normal que los mercados de reaseguro otorguen cobertura de LEG 3, remoción de escombros o gastos de extinción al 100%.</t>
  </si>
  <si>
    <t>• Se sugiere que se defina con anticipación lo referente al cubrimiento del Lucro Cesante que no aparece definido o se especifique si será o no obligatoria la contratación de éste amparo, pues los mercados aseguradores que pretendan asegurar el Lucro Cesante derivado del proyecto, deben asegurar también la parte de daño material, en caso que así sea.</t>
  </si>
  <si>
    <t>Apéndice Financiero Póliza de Obras Civiles Sección I y II.</t>
  </si>
  <si>
    <t>Se le aclara al observador que el amparo de lucro cesante es opcional para la ANI en su calidad de contratante, y la decisión de tomar o no el amparo corresponde al concesionario, quien debe evaluar si es de su interes o si sus prestamistas le van a exigir esa cobertura, que en todo caso está a su disposición en la póliza de obras civiles, precisamente para guardar la forma como el mercado asegurador suele suscribir el amparo dentro del un seguro de daños.</t>
  </si>
  <si>
    <t>• Con respecto a la obligación de contar con pólizas en las cuales conste el aseguramiento de vehículos automotores y maquinaria amarilla se sugiere que sea permitido que el Concesionario pueda trasladar ésta obligación al contratista y/o subcontratistas propietarios de dichos bienes, no obstante, la Concesión deberá evaluar la facilidad de obtener dichas certificaciones.</t>
  </si>
  <si>
    <t>Contrato parte general, 12.8. (b)</t>
  </si>
  <si>
    <t>• Cuando la Concesión opte por asegurar la Obra por el 100% del valor del Contrato no debería exigirse un PML para la suscripción de las Actas de Terminación por cada Unidad Funcional, toda vez que el mismo sólo cobra relevancia cuando el valor asegurado corresponde al indicado en dicho estudio como máxima pérdida probable. Por lo cual la referencia al Estudio de Pérdida Máxima Probable debería ser una opción del Concesionario.</t>
  </si>
  <si>
    <t>Contrato Parte General 12.8. (a)(iv).</t>
  </si>
  <si>
    <t>• En el apéndice financiero dispuesto para la póliza de Obras Civiles, debería permitirse incluir como asegurados adicionales al Contratista (EPC) así como todos los subcontratistas de la obra con el objetivo de cubrir toda la cadena de producción de la obra y evitar posibles ambigüedades que lleven a los mismos a suscribir pólizas adicionales dando como resultado un doble seguro sobre los mismos bienes.</t>
  </si>
  <si>
    <t>• El clausulado general dispuesto para éste seguro (Apéndice Financiero) describe al final del mismo el texto de varios endosos aplicables, sugerimos que se aclare que los mismos son de contratación voluntaria por parte del Concesionario de acuerdo al análisis, conveniencia y negociación de los mismos con la Aseguradora que emita la póliza.</t>
  </si>
  <si>
    <t>• En el Contrato parte especial en la sección de responsabilidad civil, se declara que el valor asegurado deberá ser de COP $188.347.237.763. lo cual parece un valor excesivo de acuerdo con Benchmark de otras concesiones, por cuanto sugerimos revisar. De igual forma ocurre con el límite requerido para la Etapa de OyM de COP 935.143.288.084.</t>
  </si>
  <si>
    <t>Contrato Parte Especial. Sección Responsabilidad Civil</t>
  </si>
  <si>
    <t>En cuanto al seguro de responsabilidad civil El Decreto 1082 de 2015, Artículo 2.2.1.2.3.1.17. Suficiencia del seguro de responsabilidad Civil  Numeral 5 establece un máximo valor de 75.000 SMMLV.  Es del caso anotar que el valor del riesgo por responsabilidad civil no tiene proporcionalidad ni hay estadísticamente un factor de correlación para vincular el valor de las etapas con el valor asegurado necesario, máxime cuando se trata de actividades peligrosas en desarrollo de construcción pesada. así las cosas se hará la corrección para establecer un valor único para el seguro de responsabilidad civil en el valor de 75.000 SMMLV en todos los momentos de la vigencia del contrato.</t>
  </si>
  <si>
    <t>• Sugerimos revisar la posibilidad de incluir deducibles diferenciales y no únicamente los establecidos en el decreto 1082 de 2015 que establece un deducible máximo de 2.000 SMLVM con el objetivo de evitar incrementos en los costos de contratación de éste seguro ya que es una condición con poco apetito por parte del mercado.</t>
  </si>
  <si>
    <t>• Con respecto a los valores asegurados, según lo establecido en el documento CONTRATO DE CONCESIÓN BAJO EL ESQUEMA DE APP No. PARTE ESPECIAL su CAPÍTULO VII GARANTÍAS clausula 7.4 Valor y Vigencia del Amparo de responsabilidad civil literal (a) (b) y (c) inciso (i) (ii) y (iii) se indican los valores asegurados mínimos aplicables para el amparo de Responsabilidad Civil para cada una de las Etapas y Fases, sin embargo la determinación de dichos valores no guarda consistencia con los parámetros definidos en el Decreto 1082 de 2015, Artículos 2.2.1.2.3.1.3. Indivisibilidad de la garantía y dado que no se evidencia en ningún aparte del PROYECTO DE PLIEGO DE CONDICIONES o del documento CONTRATO DE CONCESIÓN BAJO EL ESQUEMA DE APP No [•] DE [•] PARTE GENERAL o del documento CONTRATO DE CONCESIÓN BAJO EL ESQUEMA DE APP No. PARTE ESPECIAL el valor de las obligaciones del Concesionario para cada Etapa del Contrato, Periodo Contractual o unidad funcional. De acuerdo con lo anterior se solicita a la ANI calcular el valor asegurado para cada Etapa del Contrato, Periodo Contractual o unidad funcional, tomando el valor de las obligaciones del contratista para cada Etapa del Contrato, Contractual o unidad funcional y de acuerdo con las reglas de suficiencia de las garantías, y definiendo como valor asegurado el mínimo permitido para este amparo en cada una de sus fases el establecido en el Artículo 2.2.1.2.3.1.17. Suficiencia del seguro de responsabilidad civil extracontractual “El cinco por ciento (5%) del valor del contrato cuando este sea superior a diez mil (10.000) SMMLV, caso en el cual el valor asegurado debe ser máximo setenta y cinco mil (75.000) SMMLV. De acuerdo con lo anterior se solicita a la ANI ajustar el valor asegurado de la Póliza de Responsabilidad Civil a un máximo de setenta y cinco mil (75.000) SMMLV.</t>
  </si>
  <si>
    <t>Contrato Parte Especial.  CAPÍTULO VII GARANTÍAS clausula 7.4</t>
  </si>
  <si>
    <t>Proyecto de Pliego de Condiciones en su Numeral 4.1.14</t>
  </si>
  <si>
    <t xml:space="preserve"> ELIMINACION DE RESTRICCION DE ACCESO A MERCADOS DE REASEGURO EN GARANTIA DE SERIEDAD DE LA OFERTA: Según lo establecido en el PROYECTO DE PLIEGO DE CONDICIONES en su Numeral 4.1.14 (a) Tipos de garantías (i) Contrato de seguro contenido en una póliza, se indica: “En el caso de incorporarse reaseguros, los reaseguradores deberán encontrarse inscritos en el Registro de Reaseguradores y Corredores de Reaseguros del Exterior (REACOEX) que administra la Superintendencia Financiera de Colombia y, además, cumplir con las siguientes características: (i). Si se trata de reaseguros automáticos, el reasegurador deberá contar con una calificación de riesgo en la escala de largo plazo admisible en el REACOEX; (ii). En el caso de reaseguros facultativos, el reasegurador deberá contar con la siguiente calificación de riesgo mínima en la escala de largo plazo aplicable en el REACOEX: (1) Standard &amp; Poor’s: A; (2) A. M. Best: a; (3) Duff and Phelps / Fitch Ratings: A; (4) Moody’s: Aa3.”</t>
  </si>
  <si>
    <t>Sin embargo, en REACOEX se admiten reaseguradores con calificación BBB- de acuerdo con los criterios definidos por el Regulador:</t>
  </si>
  <si>
    <t>En razón de lo anterior y teniendo en cuenta las importantes necesidades de capacidad demandadas en éste proyecto, se hace necesario no limitar la participación de Reaseguradores dado que el mercado local en sus contratos automáticos de reaseguro no cuenta con la capacidad suficiente para respaldar éste tipo de proyectos, en especial para la Etapa Contractual del proceso una vez celebrado el Contrato de Concesión, sugerimos eliminar “(ii). En el caso de reaseguros facultativos, el reasegurador deberá contar con la siguiente calificación de riesgo mínima en la escala de largo plazo aplicable en el REACOEX: (1) Standard &amp; Poor’s: A; (2) A. M. Best: a; (3) Duff and Phelps / Fitch Ratings: A; (4) Moody’s: Aa3.” levantando las restricciones de acceso al mercado de Reaseguro Facultativo, claro está manteniendo lo definido por la Superintendencia Financiera de Colombia respecto del Registro de REACOEX</t>
  </si>
  <si>
    <t>• ELIMINAR LA EXIGENCIA DEL ANEXO 21: Se solicita a la ANI eliminar la solicitud del ANEXO 21 CONDICIONES DE COLOCACIÓN DE LAS GARANTÍAS, eliminando no solo el Anexo 21, también el aparte al que hace referencia a este Anexo en el Numeral 4.1.14 (a) Tipos de garantías (i) Contrato de seguro contenido en una póliza “Adicionalmente, deberá venir acompañada de una certificación expedida por el asegurador en la que declare las condiciones de la colocación de la garantía (según el modelo que se adjunta al presente Pliegos como Anexo 21).”. Lo anterior por considerarse redundante ya que la Superintendencia Financiera de Colombia regula ya la materia de colocación de reaseguros de las compañías de seguros.</t>
  </si>
  <si>
    <t>Proyecto de Pliego de Condiciones ANEXO 21 CONDICIONES DE COLOCACIÓN DE LAS GARANTÍAS</t>
  </si>
  <si>
    <t>• ACLARACION Y/O MODIFICACIÓN TEXTO CARACTERISTICAS GENERALES DE LAS GARANTIAS: Según lo establecido en el PROYECTO DE PLIEGO DE CONDICIONES en su Numeral 4.1.14 Garantía de Seriedad de la oferta, literal (a) Tipos de garantías inciso (v) (1) se indica: “Las garantías deberán cumplir con los requisitos señalados para cada una de ellas en el Decreto 1082 de 2015 (Parte 2 Título 1 Capítulo 2 Sección 3 Subsección 1, 2, 3 y 4), según se modifique o adicione. Las garantías, cualquiera que sea su naturaleza, deberán estar constituidas con Bancos Aceptables”, sin embargo este numeral puede generar confusiones ya que se está generalizando a Bancos Aceptables como entidad para su constitución según la garantía que se escoja, cabe precisar que los Incisos (i) (ii) (iii) (iv) son clases de garantías según lo indicado en el decreto Decreto 1082 de 2015, Artículo 2.2.1.2.3.1.2 sin embargo para la clase de garantía inciso (1) Contrato de seguro contenido en una póliza no es aplicable lo indicado Bancos Aceptables. Se sugiere precisar y detallar que el inciso (v) (1) no es aplicable para la garantía suscrita por medio de Contrato de seguro contenido en una póliza.</t>
  </si>
  <si>
    <t>Se informa al interesado que se acepta su observación y se aclarará la situación en el documento definitivo.</t>
  </si>
  <si>
    <t>• ELIMINAR EXIGENCIA DE COBERTURA PARA RENOVACION O PRORROGA DE GARANTIAS EN FASES SUBSIGUIENTES: Según lo establecido en el numeral 12.6 Garantía Única de Cumplimiento, literal (a), inciso (ii) del documento CONTRATO DE CONCESIÓN BAJO EL ESQUEMA DE APP No [•] DE [•] PARTE GENERAL CAPITULO, se está haciendo la exigencia en relación con que el amparo de Cumplimiento de la Garantía Única de Cumplimiento cubra la obligación referente a “(ii) La prórroga o renovación de este amparo para las fases subsiguientes estará cubierta por el mismo amparo de cumplimiento, que además cubrirá la renovación y prórroga de los demás que componen la Garantía Única, así como la constitución y prórroga de las demás garantías exigidas en este Contrato.. En este sentido el cubrimiento de esta obligación resulta contrario a lo establecido en el Articulo 2.2.1.2.3.1.3 del Decreto 1082 de 2015 y al numeral 12. INDIVISIBILIDAD DE LA GARANTÍA – EXCEPCIONES del CLAUSULADO AGENCIA NACIONAL DE INFRAESTRUCTURA ANI PÓLIZA ÚNICA DE SEGURO DE CUMPLIMIENTO PARA CONTRATOS ESTATALES en donde se indica lo siguiente:</t>
  </si>
  <si>
    <t>numeral 12.6 Garantía Única de Cumplimiento, literal (a), inciso (ii) del documento CONTRATO DE CONCESIÓN BAJO EL ESQUEMA DE APP No [•] DE [•] PARTE GENERAL</t>
  </si>
  <si>
    <t xml:space="preserve">De acuerdo con lo anterior se solicita a la ANI eliminar del alcance de cobertura del amparo de Cumplimiento de la Garantía Única la obligación plasmada en el numeral 12.6 Garantía Única de Cumplimiento, literal (a), inciso (ii) del documento CONTRATO DE CONCESIÓN BAJO EL ESQUEMA DE APP No [•] DE [•] PARTE GENERAL CAPITULO. </t>
  </si>
  <si>
    <t>• ACLARACION PLAZO DE EJECUCION ETAPA REVERSION: Según lo establecido en el documento CONTRATO DE CONCESIÓN BAJO EL ESQUEMA DE APP No. PARTE ESPECIAL CAPÍTULO III ASPECTOS GENERALES clausula 3.10 Plazo de la etapa Reversión Especial, y documento CONTRATO DE CONCESIÓN BAJO EL ESQUEMA DE APP No [•] DE [•] PARTE GENERAL CAPITULO II ASPECTOS GENERALES DEL PROYECTO clausula 2.5 Etapas de Ejecución Contractual Inciso (iii) Etapa de reversión, no se está estableciendo o confirmando la duración precisa de la Etapa de Reversión, la cual si está señalada en el CAPITULO I definiciones clausula 1.143 Plazo Máximo de la Etapa de Reversión “Corresponde al término de ciento ochenta (180) Días contados a partir de la Fecha de Terminación de la Etapa de Operación y Mantenimiento conforme a lo previsto en la Sección 2.4(b) de esta Parte General. En caso de Terminación Anticipada del Contrato, el Plazo Máximo de la Etapa de Reversión podrá ampliarse por decisión autónoma y exclusiva de la ANI en cualquier término adicional, hasta un máximo de quinientos cuarenta (540) Días contados a partir de la fecha en que se declare la ocurrencia de una causal de Terminación Anticipada del Contrato en cualquiera de las Etapas”.</t>
  </si>
  <si>
    <t>CONTRATO PARTE ESPECIAL CAPÍTULO III ASPECTOS GENERALES clausula 3.10</t>
  </si>
  <si>
    <t>Se informa al interesado que de acuerdo con lo establecido por la Sección 1.143, el Plazo Máximo de la Etapa de Reversión al término de ciento ochenta (180) Días contados a partir de la Fecha de Terminación de la Etapa de Operación y Mantenimiento. En caso de Terminación Anticipada este plazo podrá ampliarse por decisión autónoma y exclusiva de la ANI en cualquier término adicional, hasta un máximo de quinientos cuarenta (540) Días. 
No es posible establecer la duración precisa de esta Etapa toda vez que la misma dependerá del tiempo que la Entidad y el Concesionario requieran para suscribir el Acta de Reversión. En esta medida, el plazo establecido para la Etapa de Reversión es un Plazo Máximo que dependerá de las circunstancias de cada caso.</t>
  </si>
  <si>
    <t xml:space="preserve">De acuerdo con lo anterior se solicita a la ANI indicar de forma precisa periodo de ejecución de la Etapa de Reversión para una mayor claridad en relación con el CAPÍTULO VII GARANTÍAS Y SEGUROS </t>
  </si>
  <si>
    <t>• ACLARACION VALOR OBLIGACIONES FASES, REDUCCION DE VALORES ASEGURADOS GARANTIA UNICA DE CUMPLIMIENTO, AMPARO DE CUMPLIMIENTO: Según lo establecido en el documento CONTRATO DE CONCESIÓN BAJO EL ESQUEMA DE APP No. su CAPÍTULO VII GARANTÍAS clausula 7.1 Valor y Vigencia del Amparo de Cumplimiento literal (b) inciso (i) Etapa Pre-operativa se establece como valor del amparo de cumplimiento una suma de Doscientos Treinta Y Ocho Mil Quinientos Dos Millones Cuatrocientos Ochenta Y Cuatro Mil Ochocientos Tres Pesos del Mes De Referencia ($238.502.484.803) y (ii) Etapa Operación y Mantenimiento se establece como valor del amparo de cumplimiento una suma de Quinientos Setenta Y Cinco Mil Setecientos Cincuenta Y Un Millones Cuatrocientos Veintidós Mil Trescientos Sesenta Y Siete Pesos Del Mes De Referencia ($575.751.422.367), la determinación de dichos valores no guarda consistencia con los parámetros definidos en el Decreto 1082 de 2015, Artículos 2.2.1.2.3.1.3. Indivisibilidad de la garantía. De acuerdo con lo anterior se solicita a la ANI calcular el valor asegurado para cada Etapa del Contrato, Periodo Contractual o unidad funcional, tomando el valor de las obligaciones del contratista para cada Etapa del Contrato, Contractual o unidad funcional y de acuerdo con las reglas de suficiencia de la garantía de cumplimiento Decreto 1082 en su Artículo 2.2.1.2.3.1.12. “Si el valor del contrato es superior a un millón (1.000.000) de SMMLV y hasta cinco millones (5.000.000) de SMMLV, la Entidad Estatal puede aceptar garantías que cubran al menos el dos punto cinco por ciento (2,5%) del valor del contrato”, se solicita a la ANI evaluar la posibilidad de una reducción significativa del valor de esta garantía en proporción al ítem que se pretende amparar así como a las limitaciones de capacidad del mercado de seguros y reaseguros global, el no reducir el valor asegurado en este amparo podría dificultar la obtención de las Garantías de la LICITACIÓN PÚBLICA No. VJ-VE-APPIPB- 001-2020. y afectar el término y cierre de la Licitación. Por último, es importante anotar que los valores asegurados exceden de manera muy significativa y quizá desproporcionada los valores definidos y establecidos en el CAPÍTULO VI SANCIONES Y ESQUEMAS DE APREMIO.</t>
  </si>
  <si>
    <t>CONTRATO PARTE ESPECIAL CAPÍTULO VII GARANTÍAS clausula 7.1</t>
  </si>
  <si>
    <t>• ACLARACION VALOR OBLIGACIONES FASES, REDUCCION DE VALORES ASEGURADOS GARANTIA UNICA DE CUMPLIMIENTO, AMPARO PAGO DE SALARIOS Y PRESTACIONES SOCIALES LEGALES E INDEMNIZACIONES LABORALES: Según lo establecido en el documento CONTRATO DE CONCESIÓN BAJO EL ESQUEMA DE APP No. su CAPÍTULO VII GARANTÍAS clausula 7.2 Valor y Vigencia del Amparo de Pago de Salarios y Prestaciones Sociales literal (b) ) inciso (i) (ii) y (iii) se indican los valores asegurados mínimos aplicables para el amparo de Pago de Salarios y Prestaciones Sociales para cada una de las Etapas y Fases, sin embargo la determinación de dichos valores no guarda consistencia con los parámetros definidos en el Decreto 1082 de 2015, Artículos 2.2.1.2.3.1.3. Indivisibilidad de la garantía y Artículo 2.2.1.2.3.1.13. Suficiencia de la garantía de pago de salarios, prestaciones sociales legales e indemnizaciones laborales, dado que no se evidencia en ningún aparte del PROYECTO DE PLIEGO DE CONDICIONES o del documento CONTRATO DE CONCESIÓN BAJO EL ESQUEMA DE APP No [•] DE [•] PARTE GENERAL o del documento CONTRATO DE CONCESIÓN BAJO EL ESQUEMA DE APP No. PARTE ESPECIAL el valor estimado de las obligaciones del Concesionario para cada Etapa del Contrato, Periodo Contractual o unidad funcional. De acuerdo con lo anterior se solicita a la ANI calcular el valor asegurado para cada Etapa del Contrato, Periodo Contractual o unidad funcional, tomando el valor de las obligaciones del contratista para cada Etapa del Contrato, Periodo Contractual o unidad funcional y de acuerdo con las reglas de suficiencia de las garantías, y definiendo como valor asegurado el mínimo permitido para este amparo en cada una de sus fases el establecido en el Artículo 2.2.1.2.3.1.13. Suficiencia de la garantía de pago de salarios, prestaciones sociales legales e indemnizaciones laborales. “Esta garantía debe estar vigente por el plazo del contrato y tres (3) años más. El valor de la garantía no puede ser inferior al cinco por ciento (5%) del valor total del contrato. (Decreto 1510 de 2013, artículo 122).”</t>
  </si>
  <si>
    <t>CONTRATO PARTE ESPECIAL VII GARANTÍAS clausula 7.2</t>
  </si>
  <si>
    <t>Este amparo está calculado a partir del 5% del valor de ejecución de cada etapa contractual o periodo de ejecución, y por ello guarda armonía con los reglado por los artículos 2.2.1.2.3.1.3 y 2.2.1.2.3.1.13 del Decreto 1082 de 2015. no se acepta la observación.</t>
  </si>
  <si>
    <t>PAVIMENTOS COLOMBIA S.A.S., 22/04/2020</t>
  </si>
  <si>
    <t>Indica el citado numeral:</t>
  </si>
  <si>
    <t>PROYECTO PLIEGO DE CONDICIONES, DEFINICIÓN 1.3.10</t>
  </si>
  <si>
    <t>“Banco Aceptable”. Es (i) cualquier entidad vigilada por la Superintendencia Financiera de Colombia y legalmente autorizada para operar en Colombia siempre que cuente con una calificación de riesgo de su deuda de largo plazo por una sociedad calificadora de riesgos o valores autorizada para operar en Colombia y vigilada por la Superintendencia Financiera o una sociedad calificadora de riesgos o valores internacionalmente reconocida que cumpla los parámetros establecidos por la Superintendencia Financiera para que la entidad sea considerada como tal, con por lo menos una escala de calificación crediticia nacional equivalente a AA+ según BRC Investor Services, Fitch Ratings Colombia S.A., Value and Risk Rating S.A. o su equivalente si se trata de otra firma calificadora; o (ii) cualquier institución financiera del exterior siempre y cuando tenga una calificación de riesgo de su deuda de largo plazo de al menos "grado de inversión" por una sociedad calificadora de riesgos o valores autorizada para operar en Colombia y vigilada por la Superintendencia Financiera o una sociedad calificadora de riesgos valores internacionalmente reconocida que cumpla los parámetros establecidos por la Superintendencia Financiera que la entidad sea considerada como tal con por lo menos una escala de calificación crediticia nacional equivalente a AA+ según BRC Investor Services, Fitch Ratings Colombia S.A., Value and Risk Rating S.A. o su equivalente si se trata de otra firma calificadora”.</t>
  </si>
  <si>
    <t>De conformidad con la información del diario La República del día 13 de abril de 2020, la calificadora de riesgo Fitch Ratings ha reducido la calificación de varias instituciones financieras colombianas largo plazo, como consecuencia de la pandemia del COVID19.</t>
  </si>
  <si>
    <t>El artículo indica que:</t>
  </si>
  <si>
    <t>“(…) rebajó las calificaciones de viabilidad y de las filiales en moneda extranjera y local para Bancolombia, Banco de Bogotá, Banco de Occidente y, en esta oportunidad, para Banco Davivienda por el impacto de la pandemia en sus perfiles crediticios generales. En este caso, la calificación se redujo de BBB a BBB-, manteniendo la perspectiva negativa.</t>
  </si>
  <si>
    <t>"Estas calificaciones se han rebajado en consecuencia para permanecer en un nivel no más alto que la calificación soberana, dijo la calificadora".</t>
  </si>
  <si>
    <t>Vale recordar que, recientemente, Fitch rebajó el la calificación soberana de Colombia a 'BBB-' y mantuvo su perspectiva de calificación negativa”.</t>
  </si>
  <si>
    <t>Adjunto al presente escrito se incluye el informe emitido por Fitch Rating donde se evidencia lo anterior (Anexo 1), el cual igualmente puede ser ubicado en el link  https://imgcdn.larepublica.co/cms/2020/04/13134425/fitch-ratings-08-apr-2020.pdf</t>
  </si>
  <si>
    <t>Como consecuencia de lo anterior, se solicita que el Pliego de Condiciones tenga en consideración las calificaciones actuales otorgadas por las diferentes calificadoras para las diferentes entidades financieras del país, dado que con las condiciones actuales, no es posible el otorgamiento del cupo de crédito establecido en el Pliego de Condiciones.</t>
  </si>
  <si>
    <t xml:space="preserve">Definición 1.3.62 “Valor Máximo de la Oferta Económica”. </t>
  </si>
  <si>
    <t xml:space="preserve">La entidad se permite aclarar al interesado, que el VPIP corresponde al Valor Presente de Ingresos por Peaje descontado a la tasa de descuento del proyecto, mientras que el Valor del Contrato es una cifra que se encuentra expresada en pesos constantes, y esta corresponde a las inversiones en capex y opex. En este sentido, estas cifras no son comparables dado que hacen referencia a rubros diferentes uno corresponde a Ingresos y el otro a Inversiones. </t>
  </si>
  <si>
    <t>La citada definición señala: “1.3.62 “Valor Máximo de la Oferta Económica”.</t>
  </si>
  <si>
    <t>Equivale a DOS BILLONES SETECIENTOS OCHENTA Y CUATRO MIL SEISCIENTOS CINCO MILLONES SETECIENTOS NOVENTA Y SEIS MIL CUATROCIENTOS CUARENTA Y NUEVE PESOS ($2.784.605.796.449) en valor presente de la Fecha Estimada de Inicio y expresado en Pesos del Mes de Referencia y corresponde al VPIP según lo indicado en la definición 1.194</t>
  </si>
  <si>
    <t xml:space="preserve">De conformidad con lo indicado en la definición 1.183, el valor del contrato es el valor de la inversión en los términos previstos en la Ley 1508 de 2020. </t>
  </si>
  <si>
    <t>Solicitamos precisar en qué consiste la diferencia entre el valor del VPIP que será el valor ofertado y el valor de la totalidad de las inversiones que deben llevarse a cabo en el Contrato.</t>
  </si>
  <si>
    <t>Señala el numeral 4.2.1: "Los Oferentes deberán acreditar la Experiencia en Inversión mediante la acreditación del Financiamiento (tal y como éste se define en el numeral 4.2.3 de este Pliego de Condiciones) de: (i) (Opción 1) una (1) concesión de un Proyecto de Infraestructura cuyo valor de financiación haya sido de por lo menos Trescientos cuarenta y ocho mil ochocientos millones ($348.800.000.000) Pesos del Mesde Referencia o (ii) (Opción 2): hasta cuatro (4) concesiones de Proyecto(s) de Infraestructura cuyo valor de financiación en sumatoria simple haya sido de por lo menos Cuatrocientos sesenta y cinco mil cien millones ($465.100.000.000) Pesos del Mes de Referencia, siempre que al menos una de las financiaciones acreditadas haya sido de al menos Doscientos treinta y dos mil seiscientos millones ($232.600.000.000) Pesos del Mes de Referencia. En el caso de la Opción 2, los contratos de concesión de Proyectos de Infraestructura 25 podrán ser aportados por uno (1) o varios Líderes.
De otra parte, el numeral 4.2.3 define financiamiento como: “4.2.3 Para los efectos de este acápite de Experiencia en Inversión, el Financiamiento al que se refiere el numeral 4.2.1 de este Pliego de Condiciones, será el que acredite provisión de recursos de deuda por un valor de cierre financiero inicial y cierres financieros posteriores, en caso de que éstos existieren conforme a los términos señalados en el numeral 4.2.6 del presente Pliego.”
Así mismo, el numeral 4.2.6 señala: (a)	En el caso de créditos con el sistema financiero intermediado, el o los 45 prestamistas y el deudor hayan suscrito el documento donde consten las obligaciones del crédito, principalmente monto, tasa, plazo, forma de pago y condiciones para los desembolsos y además se haya producido al menos el primer desembolso del respectivo crédito. En este orden de ideas quien aporte la Experiencia en Inversión debe haber estado al momento del cierre financiero y del primer desembolso; o 
(…)
Nótese que, aunque la fecha del(los) cierre(s) financiero(s) debe(n) estar incluida(s) desde el primero de enero de 1993 y hasta antes la Fecha de Cierre del Proceso de Selección, los desembolsos, en todo caso, deben haberse efectuado antes de la Fecha de Cierre de la presente Licitación Pública. En todo caso, solamente se tendrá en cuenta como monto acreditable el valor desembolsado antes de la Fecha de Cierre de la presente Licitación Pública y no el valor del cierre financiero total”.
Como consecuencia de lo anterior, solicitamos se precise: •Las cifras de financiamiento del numeral 4.2.1 son del Cierre financiero, es decir del contrato de crédito o del offering memorándum en caso de una titulación?  O por el contrario son de la sumatoria de los desembolsos, según el numeral 4.2.6 inciso final? •Quien acredite la experiencia de financiamiento debe haber sido parte de la asociación que obtuvo el cierre financiero, al momento del cierre y al primer desembolso, como lo señala el numeral 4.2.3 o debió estar en todos los desembolsos para poder acreditar la experiencia según el numeral 4.2.6 inciso final?</t>
  </si>
  <si>
    <t>PROYECTO PLIEGO DE CONDICIONES, DEFINICIÓN 4.2</t>
  </si>
  <si>
    <t>Considerando que el numeral 4.3.4 estipula las condiciones para la acreditación en la Capacidad Financiera y que las mismas son exigentes puesto que:
•	Quien acredita la Patrimonio Neto debe acreditar la Capacidad de Endeudamiento, no pudiendo hacerlo ningún integrante que solamente acredite Capacidad de Endeudamiento, 
•	Que adicionalmente, aquellos integrantes que acreditan Patrimonio Neto que tengan una participación inferior al 25% y no sean líderes, el valor del patrimonio se multiplica a prorrata por el % de participación en la Estructura Plural, 
•	Que adicionalmente se está solicitando un Cupo de Crédito en Firme con una duración hasta que se realicen todos los giros de Equity.
Solicitamos de manera muy respetuosa considerar el valor estipulado a título de Patrimonio Neto, dado que existe una excesiva cobertura en cuanto al cumplimiento de los requisitos por parte del Contratista para acreditar su capacidad para realizar los Giros de Equity.
OBSERVACIÓN ADICIONAL:
Aunado a lo anterior, las condiciones de la licitación en lo pertinente al Patrimonio Neto, desincentivan la participación de integrantes en la Estructura Plural con participación inferior al 25%, dado que el cálculo a prorrata hace que el valor de su patrimonio sin importar su cuantía, no genere ningún valor agregado sustancial en el requisito de Patrimonio, pero en cambio, su Capacidad de Endeudamiento si es considerada en un 100% sin importar su porcentaje de participación en la Estructura Plural, lo que genera un desequilibrio en la acreditación de los requisitos, pues mejora sustancialmente los indicadores de Capacidad de Endeudamiento, así este integrante no cuente con la capacidad para los Giros de Equity.</t>
  </si>
  <si>
    <t>Contempla el numeral 4.2.10, para la acreditación de la Experiencia en Inversión se deberá:
“(c) Adjuntar certificación emitida por el funcionario competente de la entidad contratante en la que conste:  (i) Fecha de suscripción del contrato. (ii) Valor del contrato.
(iii) Obligaciones principales de la parte privada. (iv) Que el contrato no haya sido objeto de terminación por caducidad o incumplimiento del contratista ni haber hecho efectivas las garantías de cumplimiento otorgadas por el contratista respectivo. En este último evento, si el contrato está en ejecución la certificación no podrá tener una fecha de expedición mayor de tres (3) meses contados desde la publicación de la presente Licitación Pública en el SECOP.”
Considerando que de conformidad con las Resoluciones 471 de 2020 y 4985 de 2020, presenta en su artículo tercero como actividades suspendidas: 
“6.Solicitudes de certificación de contratos u otro tipo de requerimientos cuyo trámite requiera de la inspección o copia de expedientes físicos que se encuentren en el archivo de la entidad”.
Y que de conformidad con lo indicado en el SECOP, el proceso fue publicado el 6 de abril de 2020, momento para el cual la expedición de certificaciones es una actividad administrativa suspendida, sin fecha definida de reiniciación, solicitamos muy respetuosamente eliminar dicho requisito para aquellos contratos en ejecución con la Agencia Nacional de Infraestructura, toda vez que esta cuenta con la capacidad administrativa de validar que el mismo está vigente y sin que se haya sido objeto de caducidad o incumplimiento del contratista, ni que se haya surtido efectividad de su garantía única de cumplimiento. Todo lo anterior, en aplicación del artículo 9 del Decreto 019 de 2012, que señala:
“ARTÍCULO 9. PROHIBICIÓN DE EXIGIR DOCUMENTOS QUE REPOSAN EN LA ENTIDAD. Cuando se esté adelantando un trámite ante la administración, se prohíbe exigir actos administrativos, constancias, certificaciones o documentos que ya reposen en la entidad ante la cual se está tramitando la respectiva actuación.
PARAGRAFO. A partir del 1 de enero de 2013, las entidades públicas contarán con los mecanismos para que cuando se esté adelantando una actuación ante la administración y los documentos reposen en otra entidad pública, el solicitante pueda indicar la entidad en la cual reposan para que ella los requiera de manera directa, sin perjuicio que la persona los pueda aportar. Por lo tanto, no se podrán exigir para efectos de trámites y procedimientos el suministro de información que repose en los archivos de otra entidad pública”.</t>
  </si>
  <si>
    <t>PROYECTO PLIEGO DE CONDICIONES, 3DEFINICIÓN 4.2.10</t>
  </si>
  <si>
    <t>Se informa al interesado que, con el fin de acreditar Experiencia en Inversión a través de contratos suscritos con esta Entidad, no es necesario que aporte la certificación exigida por la Sección 4.2.10 del Proyecto de Pliego de Condiciones. En todo caso, se aclara al interesado que la información de la Experiencia en Inversión que pretenda acreditar deberá estar debidamente relacionada en el Anexo 9.</t>
  </si>
  <si>
    <t xml:space="preserve">“(c) Adjuntar certificación emitida por el funcionario competente de la entidad contratante en la que conste:  </t>
  </si>
  <si>
    <t xml:space="preserve">(i) Fecha de suscripción del contrato. </t>
  </si>
  <si>
    <t>(ii) Valor del contrato.</t>
  </si>
  <si>
    <t xml:space="preserve">(iii) Obligaciones principales de la parte privada. </t>
  </si>
  <si>
    <t>(iv) Que el contrato no haya sido objeto de terminación por caducidad o incumplimiento del contratista ni haber hecho efectivas las garantías de cumplimiento otorgadas por el contratista respectivo. En este último evento, si el contrato está en ejecución la certificación no podrá tener una fecha de expedición mayor de tres (3) meses contados desde la publicación de la presente Licitación Pública en el SECOP.”</t>
  </si>
  <si>
    <t xml:space="preserve">Considerando que de conformidad con las Resoluciones 471 de 2020 y 4985 de 2020, presenta en su artículo tercero como actividades suspendidas: </t>
  </si>
  <si>
    <t>“6.Solicitudes de certificación de contratos u otro tipo de requerimientos cuyo trámite requiera de la inspección o copia de expedientes físicos que se encuentren en el archivo de la entidad”.</t>
  </si>
  <si>
    <t>Y que de conformidad con lo indicado en el SECOP, el proceso fue publicado el 6 de abril de 2020, momento para el cual la expedición de certificaciones es una actividad administrativa suspendida, sin fecha definida de reiniciación, solicitamos muy respetuosamente eliminar dicho requisito para aquellos contratos en ejecución con la Agencia Nacional de Infraestructura, toda vez que esta cuenta con la capacidad administrativa de validar que el mismo está vigente y sin que se haya sido objeto de caducidad o incumplimiento del contratista, ni que se haya surtido efectividad de su garantía única de cumplimiento. Todo lo anterior, en aplicación del artículo 9 del Decreto 019 de 2012, que señala:</t>
  </si>
  <si>
    <t>“ARTÍCULO 9. PROHIBICIÓN DE EXIGIR DOCUMENTOS QUE REPOSAN EN LA ENTIDAD. Cuando se esté adelantando un trámite ante la administración, se prohíbe exigir actos administrativos, constancias, certificaciones o documentos que ya reposen en la entidad ante la cual se está tramitando la respectiva actuación.</t>
  </si>
  <si>
    <t>PARAGRAFO. A partir del 1 de enero de 2013, las entidades públicas contarán con los mecanismos para que cuando se esté adelantando una actuación ante la administración y los documentos reposen en otra entidad pública, el solicitante pueda indicar la entidad en la cual reposan para que ella los requiera de manera directa, sin perjuicio que la persona los pueda aportar. Por lo tanto, no se podrán exigir para efectos de trámites y procedimientos el suministro de información que repose en los archivos de otra entidad pública”.</t>
  </si>
  <si>
    <t>El numeral 4.3.6 Cupo de Crédito Específico, estipula que la duración del cupo de crédito no podrá ser inferior a 1 año. Considerando que el fin de este requisito es garantizar que se realicen los giros de Equity, solicitamos que ante el evento en que el Concesionario realice la totalidad de los giros de Equity requeridos en el Contrato de Concesión antes del año cesaría la obligación de continuar con la acreditación de este requisito.</t>
  </si>
  <si>
    <t>PROYECTO DE PLIEGO DE CONDICIONES NUMERAL 4.3.6</t>
  </si>
  <si>
    <t>5.3 OFERTA MANO DE OBRA LOCAL</t>
  </si>
  <si>
    <t>PROYECTO DE PLIEGO DE CONDICIONES NUMERAL 5.3</t>
  </si>
  <si>
    <t>Se aclara al interesado que la cuantificación de la oferta de mano de obra local no define restricciones en cuanto a incluir personal calificado y no calificado. Por otro lado, respecto a modificar los porcentajes de puntuación, no se encuentra procedente por cuanto no se evidencian limitaciones de oferta de mano de obra en la zona de influencia.</t>
  </si>
  <si>
    <t>Solicitamos muy respetuosamente:</t>
  </si>
  <si>
    <t>1. Se confirme que el porcentaje que se indique en el citado numeral corresponde a la sumatoria del personal calificado y no calificado de la zona.</t>
  </si>
  <si>
    <t>2. Solicitamos muy respetuosamente se disminuya el % de acreditación del personal de la zona, dado que se ha evidenciado en los diferentes documentos del contrato, que lo exigido tradicionalmente para la zona de ejecución, ha sido del orden del 10%.</t>
  </si>
  <si>
    <t xml:space="preserve">5.5 FACTOR DE CALIDAD - Mezcla Densa en Caucho Reciclado </t>
  </si>
  <si>
    <t>PROYECTO DE PLIEGO DE CONDICIONES NUMERAL 5.5</t>
  </si>
  <si>
    <t>Se informa al interesado que en el Pliego de Condiciones se incluirán ajustes para aclarar la cuantificación del porcentaje en función de la longitud.</t>
  </si>
  <si>
    <t>Señala el Proyecto de Pliego de Condiciones:</t>
  </si>
  <si>
    <t>“Uso de Mezcla Asfáltica reciclada en una longitud continua, mínimo igual al 10% de la longitud total que conforma cada una de las Unidades Funcionales del proyecto”.</t>
  </si>
  <si>
    <t>Solicitamos a la entidad se precise:</t>
  </si>
  <si>
    <t>En el Numeral iii para la Aritmética baja no se especifica que oferta obtiene el puntaje máximo, como si se puede evidenciar en las fórmulas de los numerales anteriores a este, así las cosas solicitamos a la entidad realizar el complemento a la descripción del resultado de la formula como se hace con las demás alternativas.</t>
  </si>
  <si>
    <t>PROYECTO PLIEGO DE CONDICIONES, 8,6 ASIGNACIÓN DE PUNTAJE OFERTA ECONOMICA</t>
  </si>
  <si>
    <t>Se aclara al interesado que en la sección 8.5.6 (iii) la fórmula de la Aritmética Baja, muestra explícitamente la fórmula para la asignación del Puntaje.</t>
  </si>
  <si>
    <t>Efectuada la revisión de la matriz de riesgos del proyecto, se observa que existen una serie de riesgos que se encuentran asignados en su totalidad al privado, tal y como acontece con los riesgos construcción, operación y mantenimiento, comercial, liquidez, soberano, cambiario, regulatorio, así como otros riegos que si bien tienen una asignación compartida con el privado (ambiental - social y predial) y otros asignados completamente al público (fuerza mayor), frente a los mismos se destaca que dado que la estructuración del proceso de selección y del proyecto en su totalidad se llevó con anterioridad a la ocurrencia de la declaratoria del Estado de Excepción por Emergencia Económica y Social por parte del Gobierno Nacional mediante el Decreto 417 del 17 de marzo de 2020 y en general a la declaratoria de emergencia sanitaria por Coronavirus 19 o COVID19, la matriz de riesgos del proyecto no contempla la totalidad de los efectos e impactos generados con ocasión de los Decretos Legislativos, así como de los demás actos administrativos de las diferentes entidades estatales que han sido expedido durante dicho periodo de excepción y cuya vigencia perdura con posterioridad a la declaratoria de emergencia, con lo cual, la matriz no se ajusta a una realidad jurídica, económica y financiera del país, razón por la cual la totalidad de los documentos del proceso de selección deben ser objeto de revisión y ajuste a los Decretos Legislativos y actos administrativos expedidos y vigentes. Máxime cuando las medidas implementadas fueron de restricciones de movilización urbana y rural (incluida interdepartamental), cese de pago de peajes, implementación de códigos de biodiversidad, etc., las cuales a hoy no tienen una fecha máxima de vigencia en su implementación. Lo anterior sin mencionar las difíciles condiciones de financiación que están representadas por el incremento en el valor del dólar a niveles históricos no previstos, disminución en la calificación de riesgo país y por ende, de calificación de las entidades financieras, etc., de las cuales no se tiene certeza sobre su cese.</t>
  </si>
  <si>
    <t>MATRIZ DE RIESGOS DEL PROYECTO - Anexo 22</t>
  </si>
  <si>
    <t>Ahora bien, considerando que la Matriz de Riesgos del Contrato NO es vinculante y corresponde a un documento de mera referencia, solicitamos que dichos cambios sean incorporados en la cláusula 13 del Contrato de APP, de forma tal que sean regulados los riesgos que se desprenden de la ocurrencia de la emergencia sanitaria por Coronavirus 19 o COVID 19.</t>
  </si>
  <si>
    <t>Señala la matriz de riesgos del proceso, para el riesgo No. 3: Inadecuado diseño del Proceso de Contratación. Y frente al tratamiento del riesgo señala la matriz: Para los procesos de contratación, la Entidad se rige por las Leyes que conforman el Estatuto General de Contratación de la Administración Pública, así como la ley 1508 de 2012 y los Decretos reglamentarios.</t>
  </si>
  <si>
    <t>MATRIZ DE RIESGOS DEL PROCESO - Anexo 23</t>
  </si>
  <si>
    <t xml:space="preserve">La Entidad considera que la declaratoria de Estado de Emergencia y los efectos que puedan derivarse de la misma no se considera que tengan relación con la estructura de la Matriz de Riesgos del Proceso de Contratación. </t>
  </si>
  <si>
    <t>En cuanto a la Elusión presentamos las siguientes observaciones:</t>
  </si>
  <si>
    <t>CONTRATO PARTE GENERAL</t>
  </si>
  <si>
    <t>Se informa al interesado lo siguiente:
1. Se informa al interesado que la ANI reconocerá una compensación por menor Recaudo de Peaje en eventos de Elusión si la circunstancia se mantiene por más de 90 días contados desde el Día que se declare formalmente la Elusión por parte de la ANI través del acto administrativo correspondiente. Esto quiere decir que será el Día en el cual se considere que existió la Elusión según el acto administrativo. 
2. Se informa al interesado que no se acepta su observación. La ANI expedirá el acto administrativo correspondiente en un plazo razonable de acuerdo con las necesidades del caso. 
3. Se informa al interesado que, de acuerdo con lo previsto en la Sección 3.3(h), no se generará compensación alguna a cargo de la ANI por cualquiera de las circunstancias descritas en la Sección 3.3.(g) durante los primeros 90 días. En el evento en que alguna de estas circunstancias se mantenga por un término superior a 90 días contados desde las fechas indicadas en la Sección 3.3(h)(i)se causará a favor del Concesionario una compensación por menor Recaudo de Peaje.</t>
  </si>
  <si>
    <t>1. Entendemos que la Elusión se considera aceptada por la ANI a partir de cuándo se emite el acto administrativo, pero que en todo caso, los efectos económicos a favor del concesionario por este concepto a cargo de la ANI, se generan desde el momento en que fue notificada la elusión por el Concesionario y no a partir de la fecha de expedición del acto. Ratificar nuestro entender.</t>
  </si>
  <si>
    <t>2. En ese orden de ideas, solicitamos se precise en el Contrato el término que tendrá la ANI para la expedición del acto administrativo de declaratoria de Elusión.</t>
  </si>
  <si>
    <t>3. ¿A qué se refieren los 90 días de la sección 3.3 (h) de la parte general, que sucede durante este tiempo?</t>
  </si>
  <si>
    <t xml:space="preserve">Dentro de las vías entregadas por el concedente al concesionario de acuerdo con el Anexo Técnico, Alcance del proyecto Numeral 3.1 Vías, uno de los tramos entregados es el comprendido entre Cali y Candelaria con una longitud de 17,4 km. </t>
  </si>
  <si>
    <t>CONTRATO PARTE GENERAL – CONTRATO PARTE ESPECIAL</t>
  </si>
  <si>
    <t>ALCANCE TECNICO 1</t>
  </si>
  <si>
    <t xml:space="preserve">En este tramo se debe realizar la puesta a punto y el mantenimiento periódico de las dos calzadas, en vista de lo anterior, solicitamos se confirme que tratamiento le otorgó la ANI en la estructuración la disminución del tráfico debido a la utilización de esta vía por parte de los vehículos que transitan al Aeropuerto Alfonso Bonilla Aragón en lo que compete al pago de los peajes de Estambul necesario para de Cali llegar al aeropuerto y el de Ciat para los provenientes de Palmira. </t>
  </si>
  <si>
    <t>Circunstancia que claramente afecta la obtención del VPIP. Entenderíamos que este menor valor de recaudo hace parte del riesgo de elusión que asumió la ANI y que por tanto, esta vía no hace parte de la definición de Nuevas Vías y por ende, no están excluidas del reconocimiento que realizará la ANI por concepto de Elusión.</t>
  </si>
  <si>
    <t>De no ser así, solicitamos por favor se precise cuál será entonces la compensación o reconocimiento al Concesionario por el desvío de este tráfico.</t>
  </si>
  <si>
    <t>En el Numeral 7.2 para puntaje adicional la Entidad plantea un Factor de Calidad donde se incluye el mejoramiento de la vía la Herradura - Matapalo con una longitud de 14 km a ejecutarse dentro de la Unidad Funcional 1, respecto a este tramo nos permitimos observar lo siguiente:</t>
  </si>
  <si>
    <t xml:space="preserve">Solicitamos se confirme que tratamiento le otorgó la ANI en la estructuración de la disminución del tráfico dado que el mejoramiento de este tramo, permite evitar el pago del peaje Ciat por parte del tráfico proveniente de la ciudad de Palmira y que tiene destino el Aeropuerto Alfonso Bonilla Aragón. </t>
  </si>
  <si>
    <t>En el Numeral 7.2 para puntaje adicional la Entidad plantea un Factor de Calidad donde se incluye el mejoramiento de la vía Villa Rica - Caloto con una longitud de 15,75 km a ejecutarse dentro de la Unidad Funcional 2, respecto a este tramo nos permitimos observar lo siguiente:</t>
  </si>
  <si>
    <t>Solicitamos se confirme que tratamiento le otorgó la ANI en la estructuración de la disminución del tráfico dado que el mejoramiento de este tramo al tráfico que no pagaría el del peaje Villarica, consistente en los vehículos que transitan del Norte del Valle del Cauca hacia el sur del país pasando por el municipio de Santander de Quilichao, esto debido a que se abre una nueva opción teniendo en cuenta que de Caloto a Santander de Quilichao hay una longitud de tan solo 11 km con el ahorro en el pago de un peaje</t>
  </si>
  <si>
    <t>De no ser así, solicitamos por favor se precise cuál será entonces la compensación o reconocimiento al Concesionario por el desvío de este tráfico?</t>
  </si>
  <si>
    <t>De acuerdo con la sección 13.2 (a) (xviii) de la Parte General, la ANI ¿no reconocerá o dará garantía alguna si no se obtiene el VPIP, así las cosas como se procede ante la activación de los riesgos imputables al contratante, que pueden causar que no se logre el VPIP en el tiempo de ejecución del contrato?</t>
  </si>
  <si>
    <t>CONTRATO PARTE GENERAL Y PARTE ESPECIAL</t>
  </si>
  <si>
    <t>Consultas Previas:</t>
  </si>
  <si>
    <t>CONTRATO PARTE GENERAL Y PARTE ESPECIAL 8.1</t>
  </si>
  <si>
    <t>Se aclara al interesado lo siguiente:
1) Respecto a este punto, el entendimiento  es correcto en la medida en que la gestión de nuevas consultas deberán ser asumidas por el Concesionario. De igual manera, el Concesionario deberá hacerse cargo de la ejecución de los acuerdos de las consultas existentes y cuyos acuerdos protocolizados están consignados en el Apédice Técnico 1. 
2) El entendimiento es correcto, siempre y cuando se cumplan las condiciones de la Sección 8.1(d) respecto a las nuevas consultas previas. De igual manera, se informa al interesado que la Entidad ajustará la regulación respecto de nuevas consultas en los documentos de los Pliegos de Condiciones definitivos. 
3-4) Se aclara que los costos de las consultas previas no está incluído en las Compensaciones Socioambientales ni la distribución por bandas de la Sección 8.1(c). Para el caso de las consultas previas sujetas a los riesgos compartidos de la Sección 8.1(d), se aclara al interesado que el reconocimiento de la porción a cargo de la ANI de conformidad con la Seccción 19.1 de la Parte General se hace por Obras Menores, y tal como lo define la Sección 3.14 de la Parte General le corresponde la Subcuenta Obras Menores.</t>
  </si>
  <si>
    <t>Señala el Contrato en su parte general:</t>
  </si>
  <si>
    <t xml:space="preserve">“En cualquier momento durante la ejecución del Contrato, el Concesionario deberá llevar a cabo, bajo el liderazgo de la ANI, la(s) nueva(s) consulta(s) previa(s) con las comunidades étnicas y afrodescendientes que sean certificadas por Autoridad Estatal competente o reconocidas mediante fallo judicial en firme en el área de influencia del Proyecto con posterioridad a la apertura del Proceso de Selección. </t>
  </si>
  <si>
    <t>Los costos que se generen como consecuencia de la Gestión Social y Ambiental para adelantar esta(s) nueva(s) consulta(s) previa(s) serán asumidos en su totalidad por el Concesionario. Los compromisos derivados de dichos acuerdos que sean protocolizados, serán asumido por las Partes en proporciones iguales (cincuenta por ciento 50%), simultáneamente, siempre y cuando no se originen con ocasión de lo previsto en la Sección 6.3 de esta Parte General”</t>
  </si>
  <si>
    <t>Como consecuencia de lo anterior:</t>
  </si>
  <si>
    <t>Señala la Cláusula 6.3 frente a la Declaratoria de utilidad pública:</t>
  </si>
  <si>
    <t>CONTRATO PARTE ESPECIAL 6.3</t>
  </si>
  <si>
    <t xml:space="preserve">“ (b) Cuando los Estudios de Trazado y Diseño Geométrico que presente el Concesionario conforme a lo establecido en las Secciones 6.1 y 6.2 de esta Parte General, sobrepasen, excedan y/o se extiendan más allá del área de la franja de terreno del corredor vial del Proyecto que ha sido declarada de utilidad pública e interés social en los términos de la Sección 6.2(b) de esta Parte General, será obligación del Concesionario asumir los efectos favorables y/o desfavorables de dichas modificaciones, en cuanto al valor base de la modificación y a la totalidad de los riesgos, entiéndase la totalidad, como la sumatoria de los riesgos y/o la porción del riesgos a cargo del Concesionario más los riesgos y/o porción de riesgos a cargo de la ANI descritos en las Secciones 13.3(a), 13.3(b), 13.3(c) y 13.3(e) de esta Parte General, en cuanto a dicha modificación. Lo anterior salvo que dichas variaciones sean producto del trámite y/o el otorgamiento de la Licencia Ambiental solicitado por la Autoridad Estatal competente. Sin perjuicio de lo anterior, el Concesionario mantiene siempre la obligación de entregar las Intervenciones en los términos y condiciones establecidas en el Contrato, en cuanto a las Especificaciones Técnicas”. </t>
  </si>
  <si>
    <t>Considerando lo anterior:</t>
  </si>
  <si>
    <t>Significa que las bandas de asignación de riesgos por parte de la ANI no son aplicables y por tanto, el Concesionario asume la totalidad de los costos ambientales, compensaciones socioambientales, costos prediales (incluida la adquisición de predios), compensaciones socioprediales y costos de redes?</t>
  </si>
  <si>
    <t>1.	Se entiende que cuando la cláusula hace alusión a fondear, corresponde exclusivamente al traslado de los recursos del recaudo una vez se recibe a la respectiva subcuenta y no la obligación del Concesionario de fondear el % señalado destinado a esta subcuenta. Favor confirmar.
2.	Se entiende que el Concesionario exclusivamente debe completar aquellos dineros que por concepto de evasión se generen y que se calcula sobre el valor de los recaudos por peaje.
3.	Cuál es la duración de esta subcuenta? Es por la totalidad del plazo del contrato?
4.	De ser así, esta subcuenta tendría prelación sobre cualquiera de las subcuentas que soliciten los prestamistas en la cascada de fondeos en la subcuenta del patrimonio, en la medida en que el 37,28% de los recaudos de peaje de la totalidad de las estaciones del proyecto en realidad pertenecen a la ANI y no hacen parte de la remuneración al concesionario?
5.	El valor del VPIP incluye el valor depositado por el Concesionario en la Subcuenta de Depósito Especial?
6.	De ser así, el concesionario asume la totalidad de impuestos, costos y gastos por la asunción del VPIP, así el 37, 28% de los recaudos del peaje sean propiedad de la ANI para su libre destinación?</t>
  </si>
  <si>
    <t>CONTRATO PARTE ESPECIAL 3.3</t>
  </si>
  <si>
    <t>En cuanto a las inquietudes presentadas en la sección 4.5 (h) del Contrato Parte Especial se realizan las siguientes aclaraciones:
1) En línea con lo dispuesto en los romanitos (i) y (ii) de la sección previamente mencionados, el Concesionario está en la obligación de realizar el fondeo de la Subcuenta de Depósito Especial por el porcentaje señalado en la minuta del Recaudo de Peaje, mediante i) el traslado de los recursos efectivamente recaudados y/o ii) los faltantes que puedan presentarse producto de la evasión que ocurra en las Estaciones de peajes, toda vez que este riesgo se encuentra en cabeza del Privado. 
2) Respecto al fondeo de la subcuenta de Depósito Especial, el entendimiento es correcto. 
3) La duración efectivamente es por la totalidad del Plazo del contrato. 
4) El entendimiento es correcto. 
5) No, este monto no hace parte del cálculo del VPIP, tal y como está definido como Recaudo Proyecto en la Minuta Parte Especial a diferencia de Recaudo Peajes. 
6) SI, el entendimiento es correcto.</t>
  </si>
  <si>
    <t>3.3 (h)(vi) En la Subcuenta de Deposito Especial, con los recursos de que trata la Sección 13.4 de esta Parte General, se fondeará el porcentaje establecido en la Sección 4.5(h)(i) de la Parte Especial de la diferencia calculada de conformidad con lo establecido en las secciones 3.3 (h)(iv) y 3.3. (h)(v) anteriores de esta Parte General. En cualquier caso, aplicarán los plazos e intereses previstos en la Sección 3.6 de esta Parte General. Estos plazos comenzarán a contar desde la suscripción del acta de cálculo trimestral o desde la solución de la controversia, de ser el caso.</t>
  </si>
  <si>
    <t>3.3   (i)(ii) En la Subcuenta de Deposito Especial, con los recursos de que trata la Sección 13.4 de esta Parte General, se fondeará el porcentaje establecido en la Sección 4.5(h)(i) de la Parte Especial del valor resultante del menor Recaudo de Peaje de conformidad con lo establecido en la sección 3.3 (i)(i) de esta Parte General. En cualquier caso, aplicarán los plazos e intereses previstos en la Sección 3.6 de esta Parte General. Estos plazos comenzarán a contar desde la suscripción del acta de cálculo trimestral o desde la solución de la controversia, de ser el caso.</t>
  </si>
  <si>
    <t>Fondeo de Subcuentas del Patrimonio Autónomo:</t>
  </si>
  <si>
    <t xml:space="preserve">(ii) La Subcuenta Depósito Especial del Recaudo se creará con la suscripción del Contrato de Fiducia Mercantil y se fondeará una vez se configure el Derecho de Recaudo en cabeza del Concesionario, con el porcentaje del Recaudo de Peaje establecido en esta Parte Especial, independientemente de la cantidad efectivamente recaudada por el Concesionario, en tanto el riesgo de evasión sobre el Recaudo de Peaje está a cargo de éste, así como los mecanismos para su prevención, gestión y control. </t>
  </si>
  <si>
    <t xml:space="preserve">(iii) El Concesionario deberá fondear esta subcuenta cada tercer (3) día, con el Treinta y Siete coma Veintiocho por ciento (37,28%) del producto del Recaudo de los Peajes del Proyecto, a partir de la configuración del Derecho de Recaudo en cabeza del Concesionario de conformidad con la Sección 3.7 de esta Parte Especial. Si el día de la consignación es un Día no hábil, se hará la consignación en el Día Hábil siguiente. </t>
  </si>
  <si>
    <t>Favor confirmar:</t>
  </si>
  <si>
    <t>En el numeral 5.2 Programación de las Obras del Contrato parte especial se establecen los plazos máximos para el inicio de la operación de las Unidades Funcionales, los cuales deberán contarse a partir de la fecha de suscripción del Acta de Inicio de la Fase de Construcción para este Proyecto, así:</t>
  </si>
  <si>
    <t xml:space="preserve">CONTRATO PARTE ESPECIAL </t>
  </si>
  <si>
    <t>Teniendo en cuenta el plazo para la construcción de la Unidad Funcional 4 (18 meses), ¿este plazo se ha definido considerando que hay que realizar la construcción un puente sobre el Rio Cauca?</t>
  </si>
  <si>
    <t>De ser ello así, consideramos que el plazo previsto no es suficiente para la construcción de esta infraestructura, lo cual requiere que la duración total de la Unidad Funcional sea superior a los 18 meses y no inferior a los 36 meses, para lo cual, debe incorporarse la modificación respectiva.</t>
  </si>
  <si>
    <t>Solicitamos a la Entidad dar claridad sobre la definición y las actividades en el alcance para la Puesta a Punto de las Unidades Funcionales, esto teniendo en cuenta que no se encuentra totalmente claro que se debe realizar dentro de esta actividad y hay diferencias entre la información de los diseños que reposan en el cuarto de datos y el Anexo de Alcance del proyecto.</t>
  </si>
  <si>
    <t>Ello acontece en la medida en que la definición de Puesta a Punto se indica que se deben adelantar las actividades de rehabilitación, más la actualización de la señalización e ITS.</t>
  </si>
  <si>
    <t xml:space="preserve">Sin embargo, frente a las actividades de rehabilitación se indica que estas se llevan a cabo de conformidad con lo que “se diseñó”. </t>
  </si>
  <si>
    <t>Siendo así:</t>
  </si>
  <si>
    <t xml:space="preserve">En el anexo Técnico 1 – Numeral 4.1 División por Unidades Funcionales, Tabla 5 – Unidades funcionales del proyecto(UF3) se indica que: </t>
  </si>
  <si>
    <t>ANEXO TÉCNICO 1 NUMERAL 4.1 Tabla 5</t>
  </si>
  <si>
    <t>El entendimiento es correcto. El periodo de operación y mantenimiento de la unidad funcional 3 es distinto a la de las demás unidades funcionales y se realiza únicamente por 5 años, momento en el cual será revertida.</t>
  </si>
  <si>
    <t>Av. Bicentenario, Construcción de calzada sencilla y mantenimiento periódico por 5 años. Incluye compra de predios con proyección para dos calzadas.</t>
  </si>
  <si>
    <t>Entendemos que: ¿Esta obra se va a entregar luego de 5 años de operación? y luego de ese periodo, ¿se debe excluir de mantenimiento periódico y operación?, ratificar nuestro entender.</t>
  </si>
  <si>
    <t xml:space="preserve">En el anexo Técnico 1 – Numeral 4.1 y 4.2, en la Tabla 9 y 13 la intervención en los pasos nacionales está definida como " Rehabilitación y mantenimiento periódico", sin embargo en la tabla 5 se define para todo el tramo que contiene cada paso " puesta a punto y mantenimiento periódico". </t>
  </si>
  <si>
    <t>ANEXO TÉCNICO 1 NUMERAL 4.1 y 4.2 Tabla 9 y 13</t>
  </si>
  <si>
    <t>El entendimiento es correcto, se harán las aclaraciones en los documentos definitivos.</t>
  </si>
  <si>
    <t>Entendemos que, ¿Se excluye del alcance de Puesta a Punto los 3 pasos nacionales?, ratificar nuestro entender.</t>
  </si>
  <si>
    <t xml:space="preserve">En el anexo Técnico 1 – Numeral 4.1 Unidad Funciona 1, Tabla 10 – Obras Especiales que como mínimo debe ejecutar el Concesionario UF1, se indica que: </t>
  </si>
  <si>
    <t>ANEXO TÉCNICO 1 NUMERAL 4.1 Tabla 10</t>
  </si>
  <si>
    <t>En la intervención de la Corrección Curva “Don Otto” (calzada izquierda, dirección Palmira-Buga) se realizará la corrección geométrica de la curva para Velocidad de Operación mínima 80 km/h.</t>
  </si>
  <si>
    <t>¿Para las labores de corrección de curva ya está solucionado el tema predial?</t>
  </si>
  <si>
    <t>ANEXO TÉCNICO 1 NUMERAL 5.5 Tabla 29</t>
  </si>
  <si>
    <t>Se aclara al interesado que su entendimiento es correcto, la actividad de reubicación comprende: "demolición de la estructura existente y la construcción de una estructura nueva en sitio definido". Se aclara al interesado que se modificará el Apendice Tecnico 1 en lo referente al alcance de reubicación de puentes peatonales existentes, y se publicara el documento con los Pliegos de Condiciones definitivos.</t>
  </si>
  <si>
    <t>En el anexo Técnico 1 – Numeral 5.5 Puentes Peatonales, Tabla 29 – Puentes Peatonales por Unidades Funcionales, hay cuantificados 3 puentes como " Reubicación". Entendemos que, ¿en el alcance de ésta actividad se hará demolición de la estructura existente y la construcción de una estructura nueva en sitio definido? Solicitamos ratificar nuestro entender y aclarar el alcance real de dicha actividad.</t>
  </si>
  <si>
    <t>En el anexo Técnico 1 – Numeral 5.6 Estaciones de peaje Nuevas, se indica que:</t>
  </si>
  <si>
    <t>ANEXO TÉCNICO 1 NUMERAL 5.6</t>
  </si>
  <si>
    <t>Como minimo el concesionario deberá adaptar "adecuar" para  cumplir con lo estipulado en el Contrato, en especial con los Apéndices Técnicos 2 y el 4, en este último lo relacionado con el indicador de  Cola de Peaje carril IP/REV.</t>
  </si>
  <si>
    <t>No se requieren estaciones de peaje nuevas, sin embargo, debe adaptarse para las existentes un carril en cada sentido con el sistema de recaudo electrónico.</t>
  </si>
  <si>
    <t>SACYR CONCESIONES COLOMBIA S.A.S., 22/04/2020</t>
  </si>
  <si>
    <t>GARANTÍA DE SERIEDAD:  </t>
  </si>
  <si>
    <t>Contrato de Concesión – Parte General / Capítulo XII / Cláusula 12.3. (i) (ii)</t>
  </si>
  <si>
    <t>3.7. Agencias calificadoras de riesgo admisibles para la inscripción y calificaciones mínimas admisibles</t>
  </si>
  <si>
    <t xml:space="preserve"> A efectos de la inscripción en el REACOEX de entidades reaseguradoras del exterior, se considerarán admisibles las calificaciones internacionales de fortaleza financiera vigentes, que no tengan más de (12) meses de antigüedades realizadas por las siguientes agencias y calificaciones: </t>
  </si>
  <si>
    <t>Con base en lo anterior y teniendo en cuenta las importantes necesidades de capacidad demandadas en éste proyecto, se hace necesario no limitar la participación de Reaseguradores dado que el mercado local en sus contratos automáticos de reaseguro no cuenta con la capacidad suficiente para respaldar éste tipo de proyectos, en especial para la Etapa Contractual del proceso una vez celebrado el Contrato de Concesión, eliminando las limitaciones de acceso al mercado de Reaseguro Facultativo, claro está manteniendo lo definido por la Superintendencia Financiera de Colombia respecto del Registro de REACOEX.</t>
  </si>
  <si>
    <t xml:space="preserve">Se solicitar autorizar por parte de la ANI se exijan las calificaciones mínimas establecidas en el cuadro anterior también en el caso de los reaseguros facultativos. </t>
  </si>
  <si>
    <t xml:space="preserve">GARANTÍA DE CUMPLIMIENTO:  </t>
  </si>
  <si>
    <t>Sin embargo, en REACOEX se admiten reaseguradores con calificación BBB - de acuerdo con los criterios definidos por el Regulador:</t>
  </si>
  <si>
    <t>3.7. Agencias calificadoras de riesgo admisibles para la inscripción y calificaciones mínimas admisibles.</t>
  </si>
  <si>
    <t>A efectos de la inscripción en el REACOEX de entidades reaseguradoras del exterior, se considerarán admisibles las calificaciones internacionales de fortaleza financiera vigentes, que no tengan más de (12) meses de antigüedades realizadas por las siguientes agencias y calificaciones:</t>
  </si>
  <si>
    <t>Debido a lo anterior y teniendo en cuenta las importantes necesidades de capacidad demandadas en este proyecto, se hace necesario no limitar la participación de Reaseguradores dado que el mercado local en sus contratos automáticos de reaseguro no cuenta con la capacidad suficiente para respaldar este tipo de proyectos, en especial para la Etapa Contractual del proceso una vez celebrado el Contrato de Concesión.</t>
  </si>
  <si>
    <t xml:space="preserve">Conforme la argumentación anterior, solicitamos a la ANI la eliminación de la restricción de acceso a mercados de reaseguro en las garantías de cumplimento, mediante la supresión del numeral (ii) siguiente: </t>
  </si>
  <si>
    <t xml:space="preserve">“En el caso de reaseguros facultativos, el reasegurador deberá contar con la siguiente calificación de riesgo mínima en la escala de largo plazo aplicable en el REACOEX: (1) Standard &amp; Poor’s: A; (2) A. M. Best: a; (3) Duff and Phelps / Fitch Ratings: A; (4) Moody’s: Aa3.” </t>
  </si>
  <si>
    <t>Esto permitirá suavizar las restricciones de acceso al mercado de Reaseguro Facultativo, manteniendo siempre lo definido por la Superintendencia Financiera de Colombia respecto del Registro de REACOEX.</t>
  </si>
  <si>
    <t>Proyecto de Pliego de Condiciones / Numeral 4.1.14 Garantía de Seriedad de la Oferta</t>
  </si>
  <si>
    <t xml:space="preserve">Sin embargo, este numeral puede generar confusiones ya que se está generalizando a Bancos Aceptables como entidad para su constitución según la garantía que se escoja, cabe precisar que los Incisos (i) (ii) (iii) (iv) son clases de garantías según lo indicado en el Decreto 1082 de 2015, Artículo 2.2.1.2.3.1.2 sin embargo para la clase de garantía inciso (1) Contrato de seguro contenido en una póliza no es aplicable lo indicado Bancos Aceptables. </t>
  </si>
  <si>
    <t>Se solicita a la ANI precisar y detallar que el inciso (v) características generales de las garantías, numeral 1 no es aplicable para la garantía suscrita por medio de Contrato de seguro contenido en una póliza.</t>
  </si>
  <si>
    <t xml:space="preserve"> Contrato de Concesión – Parte General / Capítulo XII / Numeral 12.6 literal (a) inciso (ii) </t>
  </si>
  <si>
    <t>En este sentido el cubrimiento de esta obligación resulta contrario a lo establecido en el Articulo 2.2.1.2.3.1.3 del Decreto 1082 de 2015 y al numeral 12. INDIVISIBILIDAD DE LA GARANTÍA – EXCEPCIONES del CLAUSULADO AGENCIA NACIONAL DE INFRAESTRUCTURA ANI PÓLIZA ÚNICA DE SEGURO DE CUMPLIMIENTO PARA CONTRATOS ESTATALES en donde se indica lo siguiente:</t>
  </si>
  <si>
    <t>Antes del vencimiento de cada etapa del contrato o cada período contractual, el contratista está obligado a prorrogar la póliza o a obtener una nueva que ampare el cumplimiento de sus obligaciones para la etapa del contrato o el periodo contractual subsiguiente, si no lo hiciere se aplicarán las reglas previstas para el restablecimiento de la garantía”.</t>
  </si>
  <si>
    <t>Ahora bien, si la ASEGURADORA decide no continuar garantizando la etapa del contrato o período contractual subsiguiente, debe informar su decisión por escrito a la ANI seis (6) meses antes del vencimiento del plazo de la garantía correspondiente.</t>
  </si>
  <si>
    <t xml:space="preserve">Este aviso no afecta la garantía de la etapa contractual o período contractual en ejecución. </t>
  </si>
  <si>
    <t>Si la ASEGURADORA no da el aviso con la anticipación mencionada y el contratista no obtiene una nueva garantía, queda obligada a garantizar la etapa del contrato o el período contractual subsiguiente.</t>
  </si>
  <si>
    <t>En consecuencia, en la medida en que la ASEGURADORA cumpla estrictamente con la obligación de informar por escrito a la ANI con (6) meses de anticipación a la fecha de vencimiento de la garantía, sobre su decisión de no continuar garantizando la etapa subsiguiente del contrato, si el contratista incumpliere la obligación de prorrogar u obtener la póliza para dicha etapa, no se afectará por tal hecho la presente garantía.”</t>
  </si>
  <si>
    <t>De acuerdo con lo anterior, se solicita a la ANI eliminar del alcance de cobertura del amparo de Cumplimiento de la Garantía Única la obligación plasmada en el numeral 12.6 Garantía Única de Cumplimiento, literal (a), inciso (ii) del documento CONTRATO DE CONCESIÓN BAJO EL ESQUEMA DE APP No [•] DE [•] PARTE GENERAL CAPITULO.</t>
  </si>
  <si>
    <t xml:space="preserve">Según lo establecido en el documento CONTRATO DE CONCESIÓN BAJO EL ESQUEMA DE APP No. PARTE ESPECIAL CAPÍTULO III ASPECTOS GENERALES Cláusula 3.10 Plazo de la etapa Reversión Especial, y documento CONTRATO DE CONCESIÓN BAJO EL ESQUEMA DE APP No [•] DE [•] PARTE GENERAL CAPITULO II ASPECTOS GENERALES DEL PROYECTO clausula 2.5 Etapas de Ejecución Contractual Inciso (iii) Etapa de reversión, no se está estableciendo o confirmando la duración precisa de la Etapa de Reversión, la cual si está señalada en el CAPITULO I definiciones clausula 1.143 Plazo Máximo de la Etapa de Reversión “Corresponde al término de ciento ochenta (180) Días contados a partir de la Fecha de Terminación de la Etapa de Operación y Mantenimiento conforme a lo previsto en la Sección 2.4(b) de esta Parte General. </t>
  </si>
  <si>
    <t xml:space="preserve">Contrato de Concesión – Parte Especial / Capítulo III / Cláusula 3.10. </t>
  </si>
  <si>
    <t>En caso de Terminación Anticipada del Contrato, el Plazo Máximo de la Etapa de Reversión podrá ampliarse por decisión autónoma y exclusiva de la ANI en cualquier término adicional, hasta un máximo de quinientos cuarenta (540) Días contados a partir de la fecha en que se declare la ocurrencia de una causal de Terminación Anticipada del Contrato en cualquiera de las Etapas”.</t>
  </si>
  <si>
    <t xml:space="preserve">Contrato de Concesión – Parte General / Capítulo II / Cláusula 2.5. </t>
  </si>
  <si>
    <t>De acuerdo con lo anterior se solicita a la ANI indicar de forma precisa periodo de ejecución de la Etapa de Reversión para una mayor claridad en relación con el CAPÍTULO VII GARANTÍAS Y SEGUROS.</t>
  </si>
  <si>
    <t xml:space="preserve">Según lo establecido en el documento CONTRATO DE CONCESIÓN BAJO EL ESQUEMA DE APP No. su CAPÍTULO VII GARANTÍAS clausula 7.1 Valor y Vigencia del Amparo de Cumplimiento literal (b) inciso (i) Etapa Pre-operativa se establece como valor del amparo de cumplimiento una suma de Doscientos Treinta Y Ocho Mil Quinientos Dos Millones Cuatrocientos Ochenta Y Cuatro Mil Ochocientos Tres Pesos del Mes De Referencia ($238.502.484.803) y (ii) Etapa Operación y Mantenimiento se establece como valor del amparo de cumplimiento una suma de Quinientos Setenta Y Cinco Mil Setecientos Cincuenta Y Un Millones Cuatrocientos Veintidós Mil Trescientos Sesenta Y Siete Pesos Del Mes De Referencia ($575.751.422.367), la determinación de dichos valores no guarda  consistencia con los parámetros definidos en el Decreto 1082 de 2015, Artículos 2.2.1.2.3.1.3. Indivisibilidad de la garantía. De acuerdo con lo anterior se solicita a la ANI calcular el valor asegurado para cada Etapa del Contrato, Periodo Contractual o unidad funcional, tomando el valor de las obligaciones del contratista para cada Etapa del Contrato, Contractual o unidad funcional y de acuerdo con las reglas de suficiencia de la garantía de cumplimiento Decreto 1082 en su Artículo 2.2.1.2.3.1.12. “Si el valor del contrato es superior a un millón (1.000.000) de SMMLV y hasta cinco millones (5.000.000) de SMMLV, la Entidad Estatal puede aceptar garantías que cubran al menos el dos punto cinco por ciento (2,5%) del valor del contrato”.  </t>
  </si>
  <si>
    <t>Se solicita a la ANI reducir el valor de esta garantía en proporción al ítem que se pretende amparar, así como a las limitaciones de capacidad del mercado de seguros y reaseguros global, el no reducir el valor asegurado en este amparo podría dificultar la obtención de las Garantías de la LICITACIÓN PÚBLICA No. VJ-VE-APPIPB- 001-2020 y afectar el término y cierre de la Licitación. Por último, es importante anotar que los valores asegurados exceden de manera muy significativa y quizá desproporcionada los valores definidos y establecidos en el CAPÍTULO VI SANCIONES Y ESQUEMAS DE APREMIO.</t>
  </si>
  <si>
    <t>Según lo establecido en el documento CONTRATO DE CONCESIÓN BAJO EL ESQUEMA DE APP PARTE ESPECIAL en su CAPÍTULO VII GARANTÍAS clausula 7.2 Valor y Vigencia del Amparo de Pago de Salarios y Prestaciones Sociales literal (b) inciso (i) (ii) y (iii) se indican los valores asegurados mínimos aplicables para el amparo de Pago de Salarios y Prestaciones Sociales para cada una de las Etapas y Fases.</t>
  </si>
  <si>
    <t>Contrato de Concesión – Parte Especial / Capítulo VII / Cláusula 7.2.</t>
  </si>
  <si>
    <t xml:space="preserve">Sin embargo, la determinación de dichos valores no guarda consistencia con los parámetros definidos en el Decreto 1082 de 2015, Artículos 2.2.1.2.3.1.3. Indivisibilidad de la garantía y Artículo 2.2.1.2.3.1.13. Suficiencia de la garantía de pago de salarios, prestaciones sociales legales e indemnizaciones laborales, dado que no se evidencia en ningún aparte del PROYECTO DE PLIEGO DE CONDICIONES o del documento CONTRATO DE CONCESIÓN BAJO EL ESQUEMA DE APP No [•] DE [•] PARTE GENERAL o del documento CONTRATO DE CONCESIÓN BAJO EL ESQUEMA DE APP No. PARTE ESPECIAL el valor estimado de las obligaciones del Concesionario para cada Etapa del Contrato, Periodo Contractual o unidad funcional. </t>
  </si>
  <si>
    <t xml:space="preserve">Se solicita a la ANI calcular el valor asegurado para cada Etapa del Contrato, Periodo Contractual o unidad funcional, tomando el valor de las obligaciones del contratista para cada Etapa del Contrato, Periodo Contractual o unidad funcional y de acuerdo con las reglas de suficiencia de las garantías, y definiendo como valor asegurado el mínimo permitido para este amparo en cada una de sus fases el establecido en el Artículo 2.2.1.2.3.1.13: </t>
  </si>
  <si>
    <t>“Suficiencia de la garantía de pago de salarios, prestaciones sociales legales e indemnizaciones laborales. “Esta garantía debe estar vigente por el plazo del contrato y tres (3) años más. El valor de la garantía no puede ser inferior al cinco por ciento (5%) del valor total del contrato. (Decreto 1510 de 2013, artículo 122).”</t>
  </si>
  <si>
    <t xml:space="preserve">Se hace mención de las garantías asegurativas del contrato de concesión 12.6 Garantía Única de Cumplimiento y 12.7 Garantía de Responsabilidad Civil Extracontractual.  Se concibe como seguro de daños contra todo riesgo (a) Obra Civil y (b) seguros de Automotores y Seguro de Equipo y Maquinaria, por lo cual el punto 12.9 de actualización de los valores de las garantías según la fórmula 3.9 (b) de la parte General no aplicaría a los seguros todo riesgo por su naturaleza y definición, aún más cuando en el mismo contrato solicita el informe de PML para la definición de la Suma Asegurada y la insuficiencia del mismo estará a cargo de la concesión, por lo cual se solicita a la ANI hacer claridad frente a este ítem. </t>
  </si>
  <si>
    <t xml:space="preserve">Contrato de Concesión – Parte General / Capitulo XII </t>
  </si>
  <si>
    <t>La actualización de lo valores aplica a todos los aspectos del proyecto que deben referirse el valor de la infraestructura, siendo explicaba en estos casos la actualización de sumas de que trata la formula 3.9</t>
  </si>
  <si>
    <t>Consideramos que el valor expresado en el punto 7.4. (c) para la garantía de Responsabilidad Civil durante la fase de Operación y Mantenimiento es elevada y desproporcionada respecto al resto de fases. Recomendamos equipararla al valor requerido para la fase de Construcción.</t>
  </si>
  <si>
    <t>Contrato de Concesión – Parte Especial. / Capitulo VII.</t>
  </si>
  <si>
    <t>Se acepta la observación, y se hará el ajuste para fijar el límite en el maximo que establece el Decreto 1082 de 2015, Artículo 2.2.1.2.3.1.17. Suficiencia del seguro de responsabilidad Civil  Numeral 5 para fijarlo en un máximo valor de 75.000 SMMLV.</t>
  </si>
  <si>
    <t xml:space="preserve">Sugerimos mantener la redacción de los contratos del precedente 4G, como referencia indicamos a continuación la redacción del Contrato de Concesión APP 002 de 2017: Sección 3.8 (a)(i) (Cierre Financiero): </t>
  </si>
  <si>
    <t xml:space="preserve">Contrato de Concesión – Parte General / Cláusula 3.8 (a) (i) </t>
  </si>
  <si>
    <t xml:space="preserve">Teniendo en cuenta que es riesgo del concesionario la obtención de la financiación, así como las modalidades de financiación (incluida la combinación de alternativas) que se escojan para dar liquidez al proyecto, sugerimos eliminar el siguiente párrafo a fin de seguir con el precedente de los Contratos de Concesión 4G: </t>
  </si>
  <si>
    <t xml:space="preserve">Contrato de Concesión – Parte General / Cláusula 3.8 (c) </t>
  </si>
  <si>
    <t>“En el caso que el Concesionario opte por presentar en el plazo del Cierre Financiero el compromiso en firme indicado en la Sección 3.8(a)(i)(b) de esta Parte General, el Concesionario tendrá un plazo de nueve (9) Meses contados desde la fecha de suscripción del Acta de Inicio de la Fase de Construcción para presentar el contrato de crédito suscrito. Una vez se encuentre debidamente legalizado el contrato de crédito o su documento equivalente de acuerdo a cada modalidad prevista en la Sección 3.8(a), deberá informarse a la ANI y a la Interventoría y se deberán remitir los documentos solicitados en la Sección 3.8(a) de la presente Sección a la ANI en un tiempo no mayor a quince (15) Días Hábiles.”</t>
  </si>
  <si>
    <t>Con relación a la Cláusula 3.9. (a) de la Parte General del Contrato de Concesión, sugerimos eliminar la siguiente referencia: No habrá Giros de Equity en especie.</t>
  </si>
  <si>
    <t xml:space="preserve">Contrato de Concesión – Parte General / Cláusula 3.9 (a) </t>
  </si>
  <si>
    <t>Sugerimos distribuir los giros 1, 2 y 3 entre los otros giros teniendo en cuenta que la suma de estos representa el 97,5% de los Giros de Equity mínimos.</t>
  </si>
  <si>
    <t xml:space="preserve">Contrato de Concesión – Parte Especial / Cláusula 4.4 </t>
  </si>
  <si>
    <t xml:space="preserve">Entendemos que el hecho de que el 97,5% del volumen total de Giros de Equity se hayan de disponer en los primeros 360 días desde la Fecha de Inicio penaliza innecesariamente el proyecto al no aportar un beneficio tangible a la Administración Pública, pudiendo desincentivar la concurrencia a la licitación y reducir la competitividad de las ofertas que finalmente se presenten. </t>
  </si>
  <si>
    <t xml:space="preserve">A continuación, procedemos a comparar la distribución de Giros de Equity aplicable en el borrador del Contrato de Concesión de la presente licitación APP-001-2020 con la aplicable en el contrato APP-002-2017, proyecto 4G: </t>
  </si>
  <si>
    <t xml:space="preserve">APP-001-2020 (5G): </t>
  </si>
  <si>
    <t>Giros Equity</t>
  </si>
  <si>
    <t>Montos mínimos (% sobre el total)</t>
  </si>
  <si>
    <t>Fecha máxima del aporte</t>
  </si>
  <si>
    <t>Giro 1</t>
  </si>
  <si>
    <t>11,4%</t>
  </si>
  <si>
    <t>Fecha constitución Patrimonio Autónomo</t>
  </si>
  <si>
    <t>Giro 2</t>
  </si>
  <si>
    <t>48,6%</t>
  </si>
  <si>
    <t xml:space="preserve">180 días desde Fecha de Inicio </t>
  </si>
  <si>
    <t>Giro 3</t>
  </si>
  <si>
    <t>37,5%</t>
  </si>
  <si>
    <t>360 días desde Fecha de Inicio</t>
  </si>
  <si>
    <t>Giro 4</t>
  </si>
  <si>
    <t>1,3%</t>
  </si>
  <si>
    <t xml:space="preserve">1080 días desde Fecha de Inicio </t>
  </si>
  <si>
    <t>Giro 5</t>
  </si>
  <si>
    <t>1,2%</t>
  </si>
  <si>
    <t>1440 días desde Fecha de Inicio</t>
  </si>
  <si>
    <t xml:space="preserve">Total: </t>
  </si>
  <si>
    <t xml:space="preserve">APP-002-2017 (4G): </t>
  </si>
  <si>
    <t>3,9%</t>
  </si>
  <si>
    <t>Fecha de Inicio</t>
  </si>
  <si>
    <t>8,3%</t>
  </si>
  <si>
    <t>12 meses desde Fecha de Inicio</t>
  </si>
  <si>
    <t xml:space="preserve">18 meses  desde Fecha de Inicio </t>
  </si>
  <si>
    <t>16,7%</t>
  </si>
  <si>
    <t>24 meses desde Fecha de Inicio</t>
  </si>
  <si>
    <t>Giro 6</t>
  </si>
  <si>
    <t>30 meses desde Fecha de Inicio</t>
  </si>
  <si>
    <t>Giro 7</t>
  </si>
  <si>
    <t>14,5%</t>
  </si>
  <si>
    <t>36 meses desde Fecha de Inicio</t>
  </si>
  <si>
    <t>Giro 8</t>
  </si>
  <si>
    <t>42 meses desde Fecha de Inicio</t>
  </si>
  <si>
    <t>Giro 9</t>
  </si>
  <si>
    <t>6,6%</t>
  </si>
  <si>
    <t>48 meses desde Fecha de Inicio</t>
  </si>
  <si>
    <t>Giro 10</t>
  </si>
  <si>
    <t>54 meses desde Fecha de Inicio</t>
  </si>
  <si>
    <t xml:space="preserve">Sugerimos mantener mecanismo de distribución de remanentes de las subcuentas obligatorias Predios, Compensación Socioambiental y Redes de acuerdo al precedente 4G, tanto para APP públicas e IP, esto es: el 60% será del Concesionario y el 40% de la ANI y lo demás previsto en la parte general de esos contratos. </t>
  </si>
  <si>
    <t>Contrato de Concesión – Parte General / Cláusulas 7.2 (b) ; 8.1 (c) (ii) ; 8.2 (d)  (revisar referencias cruzadas)</t>
  </si>
  <si>
    <t>Consideramos que los rendimientos de las cuentas obligatorias Redes, Predios, Compensaciones Socioambiental y Policía de Carreteras deberían acrecentar las respectivas subcuentas.</t>
  </si>
  <si>
    <t>Contrato de Concesión – Parte General / Cláusulas 3.14 (g) (v) (3) Subcuenta Predios</t>
  </si>
  <si>
    <t xml:space="preserve">3.14 (g) (vii) Subcuenta Redes </t>
  </si>
  <si>
    <t>3.14 (g) (vi) (3) Subcuenta Compensación Socioambiental</t>
  </si>
  <si>
    <t>3.14 (g) (vii) Subcuenta Policía de Carreteras</t>
  </si>
  <si>
    <t>Consideramos que los rendimientos de la Subcuenta Tiquetes Prepago y de Retenciones deberían acrecentar cada subcuenta respectivamente.</t>
  </si>
  <si>
    <t xml:space="preserve">Contrato de Concesión – Parte General / Cláusulas 3.14 (h) (xii) (7);  3.14 (h) (xiii) (5) </t>
  </si>
  <si>
    <t xml:space="preserve">En lo relativo a la explicación del componente ARh, en las Cláusulas 18.3 (c), 18.3 (d) y 18.3 (e) de la Parte General del Contrato de Concesión, se establece la siguiente redacción: </t>
  </si>
  <si>
    <t xml:space="preserve">Contrato de Concesión – Parte General / Cláusulas 18.3 (c); 18.3 (d); 18.3 (e) </t>
  </si>
  <si>
    <t xml:space="preserve">La entidad aclara al interesado, que de manera general el entendimiento es correcto. </t>
  </si>
  <si>
    <t>"Para determinar este valor máximo de reconocimiento durante la ejecución del Contrato, el Interventor remitirá la respectiva certificación de los valores registrados, a la ANI y al Concesionario, dentro de los treinta (30) Días siguientes a la presentación de los estados financieros auditados del Patrimonio Autónomo, conforme con lo previsto en las Secciones 3.15 (l) (xi) y 4.5(q) de esta Parte General.".</t>
  </si>
  <si>
    <t xml:space="preserve">Entendemos que ésta deberá ser una obligación expresa, clara y exigible del Interventor durante la ejecución del contrato. Por favor confirmar si nuestro razonamiento es correcto. </t>
  </si>
  <si>
    <t xml:space="preserve">Sugerimos no redactar taxativamente en el reconocimiento del AR en las fórmulas de Terminación Anticipada las comisiones de disponibilidad y de estructuración de Cierre Financiero o de la emisión de bonos, existen otras comisiones y/o gastos transaccionales asociados al Cierre Financiero. </t>
  </si>
  <si>
    <t xml:space="preserve">Contrato de Concesión – Parte General / Cláusula 18.3 (f) </t>
  </si>
  <si>
    <t>La entidad considera pertinente mantener la redacción actual, razón por la cual no es procedente la observación</t>
  </si>
  <si>
    <t xml:space="preserve">Solicitamos que se incluya una redacción análoga en la Cláusula 18.3. (f) de la Parte General del Contrato de Concesión. </t>
  </si>
  <si>
    <t xml:space="preserve">Sugerimos mantener las fórmulas de Terminación Anticipada de los contratos 4G, es decir que la variable Δ sea igual al resultado de aplicar la fórmula indicada en la variable C, y no el resultado entre mín (C,F), es decir, la referencia a la variable F se debería eliminar. </t>
  </si>
  <si>
    <t xml:space="preserve">Contrato de Concesión – Parte General / Cláusula 18.3 </t>
  </si>
  <si>
    <t>Entendemos que el porcentaje de retención definido en la Cláusula 7.1. (f) (iii) de la Parte General del Contrato de Concesión debería ser menor. Sugerimos los siguientes porcentajes:</t>
  </si>
  <si>
    <t xml:space="preserve">Contrato de Concesión – Parte General / Cláusula 7.1 (f) (iii)  </t>
  </si>
  <si>
    <t>De 0% y hasta 40%: 25%</t>
  </si>
  <si>
    <t>Superior a 40% y hasta 60%: 20%</t>
  </si>
  <si>
    <t>Superior al 60% y hasta 80%: 15%</t>
  </si>
  <si>
    <t>Superior 80%: 5%</t>
  </si>
  <si>
    <t xml:space="preserve">Entendemos que la obligación de la ANI de pago por compensación por menor recaudo de peaje debería tener un plazo máximo de pago enmarcada en la sección 3.6 (c). </t>
  </si>
  <si>
    <t xml:space="preserve">Contrato de Concesión – Parte General / Cláusula 3.3. </t>
  </si>
  <si>
    <t>Se aclara al interesado que aunque la Entidad no cuenta con un plazo específico para el pago de la compensación, los términos establecidos en la sección 3.6 son suficientes para alinear las condiciones en que  se reconocerá la compensación por menor recaudo. Por lo anterior no es procedente su observación</t>
  </si>
  <si>
    <t>Con respecto a la Subcuenta Depósito Especial definida en la Cláusula 4.5 (h) (viii) de la Parte Especial, entendemos que los recursos depositados en esta subcuenta deberían ser usados en primera instancia si no hay recursos en el Fondo de Contingencias y después sí ser destinados para otros proyectos de infraestructura.</t>
  </si>
  <si>
    <t xml:space="preserve">Contrato de Concesión – Parte Especial / Cláusula 4.5. </t>
  </si>
  <si>
    <t>En relación con la Etapa de Operación y Mantenimiento: sugerimos considerar otros mecanismos de una única instancia para asegurar alcanzar el VPIP: (i) mayor plazo; (ii) mayor tarifa, entre otros.</t>
  </si>
  <si>
    <t xml:space="preserve">Contrato de Concesión – Parte Especial / Capítulo II / Cláusula 2.4 (b) </t>
  </si>
  <si>
    <t>La Entidad aclara al interesado que este tipo de mecanismos no aplican para este proyecto. El contrato parte general establece en la Sección 13.2(a)(xviii) lo pertinente al riesgo relacionado con la obtención del VPIP. Por lo anterior no es procedente su obsrvación</t>
  </si>
  <si>
    <t xml:space="preserve">Entendemos que la compensación por menor recaudo de peajes podría incluir otros mecanismos de compensación adicional al Fondo de Contingencias, como los siguientes: (i) aumento del VPIP, (ii) incrementos estructura tarifaria. </t>
  </si>
  <si>
    <t xml:space="preserve">Según la matriz de riesgos en la insuficiencia de recursos para el pago de la Subcuenta Interventoria y Coordinación y de la Subcuenta Soporte Contractual, por razones no atribuibles al concesionario es atribuido al Público y por tanto entendemos que las redacciones en las secciones 3.14 (h) (v) (9) y 3.14 (h) (vi) (6) de la parte General no resultarían consistentes. Solicitamos aclaración al respecto. </t>
  </si>
  <si>
    <t xml:space="preserve">Contrato de Concesión – Parte General / Cláusulas 3.14 (h) (v) (9) y 3.14 (h) (vi) (6) </t>
  </si>
  <si>
    <t>Con respecto a la Retribución Parcial RP%: para proyectos 4G este porcentaje en etapa de reversión es superior al porcentaje determinado en la parte especial de este contrato, sugerimos mantener 50%.</t>
  </si>
  <si>
    <t>Contrato de Concesión – Parte General / Capítulo II / Cláusulas 3.4 (f); 9.7 (f)</t>
  </si>
  <si>
    <t xml:space="preserve">La entidad se permite aclarar al interesado que realizó una modificación en el sentido de dejar un solo %RP el objetivo de este es retribuir al concesionario con los recursos suficientes para atender la operación y mantenimiento del proyecto durante la etapa de reversión. Por lo anterior su observación no es procedente. </t>
  </si>
  <si>
    <t>Ejemplos en contratos 4G: Contrato de Concesión APP 005 de 2015 Parte Especial: para este proyecto el %RP será de 50%</t>
  </si>
  <si>
    <t xml:space="preserve">Entendemos que la fórmula de Tarifa usuario de la sección 4.2 (c) de la Parte Especial del Contrato de Concesión, debería incluir otra variable adicional a FSV que consolide cualquier sobretasa o similar que puedan decretarse. </t>
  </si>
  <si>
    <t xml:space="preserve">Contrato de Concesión – Parte Especial / Cláusula 4.2. </t>
  </si>
  <si>
    <t>Se informa al interesado que aunque en la definición que se menciona se hace referencia al Fondo de seguridad Vial, toda vez que esta hace parte de la resolución de tarifa vigente,  dentro de la definición 1.131  "Peaje" se contempla contribuciones distintas o sobretasa, adicionales a la del Fondo Seguridad Vial, como se presenta a continuación: "...El valor del Peaje destinado al Proyecto no incluirá los valores por contribución al Fondo de Seguridad Vial, ni ninguna otra sobretasa o contribución similar que tenga destinación diferente al Proyecto".</t>
  </si>
  <si>
    <t xml:space="preserve">Con relación a la Cláusula 3.8. de la Parte General del Contrato de Concesión: 
1. Sugerimos eliminar romanito (iii) de la Cláusula 3.8. (d) (iv);
2. Se deberá incluir la referencia a los tenederos de títulos de valores (personas naturales, jurídicas o quien les represente). </t>
  </si>
  <si>
    <t>Contrato de Concesión – Parte General / Cláusula 3.8 (d) (iv) y otros en 3.8 (d)</t>
  </si>
  <si>
    <t xml:space="preserve">Se informa al interesado que no se acepta su observación. La inclusión de la exigencia de acreditar, directamente o a través de su matriz, un mínimo de mil millones de dólares (US$1.000 millones) en inversiones en infraestructura, se hizo con base en lo requerido por el artículo  2.6.12.1.2 del Decreto 2555 de 2010 sobre inversiones admisibles para los fondos de pensiones y/o cesantías. 
Por su parte, se solicita al interesado que aclare su segunda observación toda vez que no es claro a qué hace referencia con la misma. </t>
  </si>
  <si>
    <t xml:space="preserve">Se solicita la eliminación de error tipográfico (ver frase tachada) presente en la Cláusula 1.194 de la Parte Especial del Contrato de Concesión: </t>
  </si>
  <si>
    <t xml:space="preserve">Contrato de Concesión – Parte General / Capítulo II / Cláusula 1.194 </t>
  </si>
  <si>
    <t xml:space="preserve">Se informa al interesado que se acepta su observación y se ajustará la tabla de referencias del documento definitivo del Contrato Parte Especial. </t>
  </si>
  <si>
    <t>Con relación a la Cláusula 3.16. de la Parte General del Contrato de Concesión, solicitamos que se reconozca el impacto de cambio tributario por cambios en la normatividad NIIF como riesgo compartido.</t>
  </si>
  <si>
    <t xml:space="preserve">Contrato de Concesión – Parte General / Cláusula 3.16. </t>
  </si>
  <si>
    <t>Se informa al interesado que la Entidad no considera procedente la observación y el riesgo deberá ser asignado al privado (por lo que si impacto deberá ser tenido en cuenta por los interesados al momento de presentar su oferta), toda vez que los efectos generados por el acaecimiento de este tipo de riesgo hace parte de los riesgos que asume un inversionista en cualquier tipo de proyectos.</t>
  </si>
  <si>
    <t xml:space="preserve">Se solicita modificar la redacción de la Sección 4.1 (b) (ii) (2) del Apéndice Técnico 6, frente al requisito de “No Objeción” de la Interventoría frente a los Estudios de Impacto Ambiental previo a la radicación del mismo ante la ante la Autoridad Ambiental. </t>
  </si>
  <si>
    <t>Sección 4.1 (b) (ii) (2) - Apéndice Técnico 6</t>
  </si>
  <si>
    <t>Se informa al interesado que se analizó la solicitud y no se encuentra procedente eliminar el procedimiento descrito en la Sección 4.1(b)(2)(ii) del Apéndice Técnico 6. Dicho procedimiento que cubre únicamente a los estudios de impacto ambiental y es de plazos más cortos que la Revisión de los Estudios de Trazado y Diseño Geométrico y los Estudios de Detalle, se considera necesario para el control de los trámites de licencias cuyas consecuencias afectan a los riesgos ambientales compartidos y a la utilización de la Subcuenta Compensaciones Socioambientales.</t>
  </si>
  <si>
    <t>Lo anterior, fundamentado principalmente en las siguientes razones:</t>
  </si>
  <si>
    <t xml:space="preserve"> 1. Las Autoridades Ambientales son las competentes para otorgar o no licencias y/o permisos ambientales basadas en la aplicación de un procedimiento independiente que incluye mecanismos de participación social, y evaluación de estudios técnicos, pero que en ningún caso, contempla o incluye aprobación por parte de la Interventoría previamente. Por lo cual se considera innecesario y crearía retrasos en los procesos de obtención de permisos y Licencias ambientales por prolongar los tiempos de radicación, afectándose también el Plan de Obras. </t>
  </si>
  <si>
    <t xml:space="preserve">2. Cualquier proceso sancionatorio motivado por incumplimiento a lo aprobado en los estudios presentados en los trámites de licenciamiento ambiental, son responsabilidad del Concesionario acorde a lo estipulado en el contrato; en tal sentido no se considera necesaria la aprobación por parte de la Interventoría para este punto concreto.  </t>
  </si>
  <si>
    <t xml:space="preserve">3. Ello daría para interpretar que la interventoría y la ANI asumen algún grado de responsabilidad por el otorgamiento de la No Objeción, de llegar a resultar no exitoso el proceso de licenciamiento, con independencia de que en el Contrato de Concesión se establezcan exenciones de responsabilidad por ello. </t>
  </si>
  <si>
    <t xml:space="preserve">En el Contrato de Concesión se establece que el 50% los Ingresos por Explotación Comercial serán transferidos a la Subcuenta Excedentes ANI mientras que el 50% se destinaría al Concesionario. En anteriores contratos de concesión la proporción establecida era del 2,2% ANI y el 97,8% para el Concesionario. </t>
  </si>
  <si>
    <t xml:space="preserve">Contrato de Concesión – Parte General / Capítulo I / Sección 1.94. </t>
  </si>
  <si>
    <t xml:space="preserve">Entendemos que si se mantiene la obligación de ceder el 50% de los ingresos obtenidos por las Explotaciones Comerciales, la mayor parte de ellas podrían no resultar autosostenibles financieramente desincentivando la consideración de este tipo de servicios adicionales en las propuestas presentadas por las empresas interesadas. </t>
  </si>
  <si>
    <t>Se sugiere eliminar de la Sección 3.3 (g)(iv) teniendo en cuenta que con dicha inclusión se generaría un perjuicio al Concesionario, frente a la Elusión de peajes al no reconocerse la compensación durante los primeros 90 días, especialmente porque la Elusión es un riesgo a cargo de la ANI conforme a la Sección 13.3 (j),</t>
  </si>
  <si>
    <t xml:space="preserve">Contrato de Concesión – Parte General / Cláusula 3.3. literales (g) y (h) </t>
  </si>
  <si>
    <t xml:space="preserve">En consecuencia, se sugiere aclarar en el Contrato de Concesión que la Compensación por menor Recaudo de Peaje se causará desde la notificación oportuna a la ANI por parte del Concesionario. </t>
  </si>
  <si>
    <t>Se solicita aclarar que el concepto de Nuevas Vía (sic) Pública corresponde a aquellas que aparezcan en el inventario de bienes a cargo de los respectivos Entes territoriales (departamentos a, distritos, municipio, veredas, etc.).</t>
  </si>
  <si>
    <t>Contrato de Concesión – Parte General /Sección 1.116</t>
  </si>
  <si>
    <t xml:space="preserve">Se sugiere contemplar dentro de los plazos de para la adquisición de predios de la Sección 7.1. (f), la posibilidad de excluir del conteo de términos, aquellas etapas en el marco del proceso de expropiación judicial que no dependan de la debida diligencia del Concesionario (ej. Admisión de la demanda una vez radicada, obtención de la resolución de expropiación por parte de la ANI, ejecutoria de la sentencia de expropiación, entre otros), evitando que frente a estas gestiones que no dependen de la debida diligencia del Concesionario, puedan aplicarse deducciones o suspensiones de la Retribución. </t>
  </si>
  <si>
    <t>Contrato de Concesión – Parte General / Capítulo VII- Sección 7.1.</t>
  </si>
  <si>
    <t xml:space="preserve">Jurídica </t>
  </si>
  <si>
    <t>No se acoge   la solicitud del interesado.
Estos términos han sido objeto de ajustes razonables dentro de una línea de tiempo de adquisición predial con estricta rigurosidad de los términos normativos. Así por ejemplo la etapa de actuación administrativa a cargo de la Entidad se ejecuta en un lapso máximo de 65 días. Con el auto que da apertura formal al proceso de expropiación el Concesionario tiene la carga procesal de acreditar el pago del 100% del valor del avalúo, y con ello el Juez cuenta con 10 días para decretar la entrega del inmueble. Los términos contractuales formularon a efectos de que no se afecte la retribución, luego, es imposible excluirlos dentro del conteo general de términos.</t>
  </si>
  <si>
    <t xml:space="preserve">En definiciones 1.164. y 1.165 del Capítulo I de la Parte General se incluyen las definiciones de ‘soporte de ingresos’ y correcciones en ingresos por variaciones de tráfico. Sin embargo, en la sección 1.165 del Capítulo II de la Parte Especial se suprime cualquier aplicabilidad de este mecanismo. </t>
  </si>
  <si>
    <t xml:space="preserve">Contrato de Concesión – Parte General / Capítulo Secciones 1.164 y 1.165 </t>
  </si>
  <si>
    <t>En la Cláusula 13.2 y 13.3. de la Parte General del Contrato de Concesión, se establece que “Se exceptúa el documento denominado matriz de riesgos del Proyecto, publicado en el SECOP, el cual es de referencia y no hace parte del Contrato de Concesión ni tiene carácter de vinculante. “</t>
  </si>
  <si>
    <t xml:space="preserve">Contrato de Concesión – Parte General / Cláusula 13.2.  y 13.3 </t>
  </si>
  <si>
    <t xml:space="preserve">Consideramos que la matriz de riesgos del Proyecto debería ser considerada parte del Contrato de Concesión y ser vinculante, como sucedía en los contratos de las 4G. Entendemos que se trata de un documento que aporta claridad en relación al reparto de riesgos entre las contrapartes pública y privada y que no debería existir impedimento para otorgarle esta consideración,   habida cuenta de que respeta los lineamientos de política de riesgos de la ANI, de los documentos CONPES estipulados sobre la materia  considerando los lineamientos de política de riesgos de la ANI, de documentos CONPES sobre la materia y de la metodología de obligaciones contingentes del Ministerio de Hacienda y Crédito Público.  </t>
  </si>
  <si>
    <t xml:space="preserve">En la Cláusula 17.2. (c) de la Parte General del Contrato de Concesión se incluye como causal de terminación anticipada la decisión unilateral de la ANI, exclusivamente para el caso en que la ANI requiera la recompra de los derechos económicos al Concesionario conforme a las fórmulas de liquidación descritas en la Cláusula 18.3. (f) de la Parte General. </t>
  </si>
  <si>
    <t xml:space="preserve">Contrato de Concesión – Parte General / Cláusula 17.2. (c) </t>
  </si>
  <si>
    <t xml:space="preserve">El Art. 32 de la Ley 1508 de 2012 prevé lo siguiente: </t>
  </si>
  <si>
    <t>“Acuerdo de terminación anticipada. En los contratos que desarrollen proyectos de asociación público-privada, se incluirá una cláusula en la cual se establezca la fórmula matemática para determinar las eventuales prestaciones recíprocas entre las partes a las que haya lugar para efectos de terminarlos anticipadamente por mutuo acuerdo o en forma unilateral.”</t>
  </si>
  <si>
    <t xml:space="preserve">Adicionalmente, la Cláusula 11.2. (a) de la Parte General establece que “la ANI podrá decretar la Terminación Anticipada y unilateral del Contrato por las causales y en las condiciones previstas en el artículo 17 de la ley 80 de 1993 o en las normas que lo modifiquen, complementen o sustituyan”. </t>
  </si>
  <si>
    <t xml:space="preserve">El Artículo 17 identifica las siguientes cuatro causales de terminación unilateral por parte del Contratante: </t>
  </si>
  <si>
    <t xml:space="preserve">“1. Cuando las exigencias del servicio público lo requieran o la situación de orden público lo imponga. </t>
  </si>
  <si>
    <t xml:space="preserve">2. Por muerte o incpacidad física permanente del contratista, si es persona natural, o por disolución de la persona jurídica del contratista. </t>
  </si>
  <si>
    <t xml:space="preserve">3. Por interdicción judicial o declaración de quiebra del contratista. </t>
  </si>
  <si>
    <t xml:space="preserve">4. Por cesación de pagos, concurso de acreedores o embargos judiciales del contratista que afecten de manera grave el cumplimiento del contrato”. </t>
  </si>
  <si>
    <t>Entendemos que el procedimiento de terminación anticipada unilateral del  contrato no podría activarse si no se da al menos una de las causales anteriores. Por favor confirmar si nuestro razonamiento es correcto.</t>
  </si>
  <si>
    <t>Adicionalmente y en relación a la primera causal, solicitamos aclaración sobre que tipo de eventos podrían eventualmente tener consideración de “exigencias del servicio público”, a juicio de la ANI.</t>
  </si>
  <si>
    <t xml:space="preserve">Con relación a la Cláusula 15.3. (a) de la Parte General del Contrato de Concesión, se solicita que se mantenga la redacción de los contratos 4G, suprimiéndose la frase tachada a continuación: </t>
  </si>
  <si>
    <t xml:space="preserve">Contrato de Concesión – Parte General / Cláusula 15.3. (a) </t>
  </si>
  <si>
    <t>Pliego de Condiciones / Cláusula 4.10.</t>
  </si>
  <si>
    <t>En la Cláusula 4.3.6. del Pliego de Condiciones se establece que el monto del Cupo de Crédito Específico asciende a $258.300.000.000 Pesos del Mes de Referencia.</t>
  </si>
  <si>
    <t>Pliego de Condiciones / Cláusula 4.3.6.</t>
  </si>
  <si>
    <t xml:space="preserve">Solicitamos que se rebaje esta cantidad a fin de que no represente una cantidad mayor al 5% del Valor del Contrato reflejado en la Cláusula 3.4. de la Parte Especial del Contrato de Concesión, el cual asciende a $ 258.300.000.000 Pesos del Mes de Referencia. Consideramos que esa proporción se ajusta más a los estándares del mercado. </t>
  </si>
  <si>
    <t xml:space="preserve">Actualmente el valor del Cupo de Crédito Específico representa el 8,6% del Valor del Contrato. </t>
  </si>
  <si>
    <t xml:space="preserve">Tras revisar las Cláusula 4.1.14. y 6.5. del Pliego de Condiciones no nos queda claro cual sería el mecanismo de conversión de moneda en caso de que las Garantías Bancarias o Stand-by Letters of Credit sean emitidas en otra moneda diferente. Solicitamos  aclaración al respecto. </t>
  </si>
  <si>
    <t>Pliego de Condiciones / Cláusulas 4.1.14. y 6.5.</t>
  </si>
  <si>
    <t xml:space="preserve">Se informa al interesado que en el caso propuesto, aplica el procedimiento de conversión de monedas establecido en la Sección 6.5.1 y 6.5.2 según se trate de moneda diferente al Dólar o de Dólares. </t>
  </si>
  <si>
    <t xml:space="preserve">En el cálculo de la Retribución se establecen unos porcentajes de participación para cada Unidad Funcional en el proyecto. </t>
  </si>
  <si>
    <t>Contrato de Concesión – Parte Especial / Capítulo IV Aspectos económicos del contrato</t>
  </si>
  <si>
    <t>En el periodo comprendido desde la fecha de inicio hasta el mes 30 se consideran las Unidades Funcionales 2, 3 y 4 con porcentajes de participación, cuando en dicha etapa, cumpliendo el programa de ejecución de obras y los plazos máximos del Apéndice Técnico 4, dichas unidades funcionales no tendrían subscrita el Acta de Terminación. Solicitamos aclaración al respecto.</t>
  </si>
  <si>
    <t xml:space="preserve">Les solicitamos que por favor proporcionen un inventario del equipamiento actual de las instalaciones de Peaje, Pesaje e ITS especificando la fecha de instalación e indicar si a fecha de hoy estos equipamientos están operativos, definiéndose sus principales características técnicas. </t>
  </si>
  <si>
    <t xml:space="preserve">Apéndice Técnico 1 – Alcance del Proyecto </t>
  </si>
  <si>
    <t>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Sin embargo la consulta referida debe dirigirse al INVIAS que es la entidad actualmente a cargo de los peajes y estaciones de pesaje.</t>
  </si>
  <si>
    <t>Solicitamos aclaración sobre la actual puesta en operación del sistema IP/REV del resto de concesiones, ¿se ha concluido con éxito la transición del resto de concesiones al nuevo sistema IP/REV al punto de que ya se esté trabajando en la modalidad de interoperabilidad con todos los peajes del país?</t>
  </si>
  <si>
    <t xml:space="preserve">Apéndice Técnico 2 – Condiciones para la Operación y el Mantenimiento </t>
  </si>
  <si>
    <t>Con respecto a la implantación de carriles de cobro automáticos en las casetas de peaje, solicitamos que por favor se proporcione un esquema de implantación de dicha vía.</t>
  </si>
  <si>
    <t>Apéndice Técnico 2 – Condiciones para la Operación y el Mantenimiento</t>
  </si>
  <si>
    <t>En el apéndice Técnico 2, sección 3.3.4.3, se establecen las características y principios de funcionalidad de las casetas de peaje con cobro automático. Para ello será el Concesionario quien deba proponer la tecnología que garantice la interoperabilidad de sus Estaciones de la vía y requerirá de la autorización de la ANI y de la Interventoría. De igual forma, se estipulará que previo al momento de la suscripción del Acta de terminación de Unidad Funcional el Concesionario deberá poner en servicio al menos un (1) carril de cobro automático en las condiciones definidas en el Apéndice Técnico 2.
Por lo anterior, se considera que en dicha sección, y demás secciones del Apéndice Técnico 2, el Concesionario cuenta con los lineamientos para proponer el esquema de implementación.</t>
  </si>
  <si>
    <t>De requerirse predios para las intervenciones ofrecidas por el Concesionario para obtener mayor puntaje como factor de calidad de conformidad con el Pliego de Condiciones para el Proceso de Selección ¿Cuál será el procedimiento para la adquisición y legalización de dichos predios? ¿Se adquieren a favor de la ANI o del privado (El Concesionario)?</t>
  </si>
  <si>
    <t xml:space="preserve"> Contrato de Concesión – Parte Especial / Cláusula 3.11.1. (a)</t>
  </si>
  <si>
    <t>En el evento en que sea requerida la adquisición de predios para adelantar las intervenciones ofrecidas como Factor de Calidad, el procedimiento para la adquisición y legalización de dichos predios será el establecido en el Contrato para tal efecto, incluyendo el Apéndice Técnico 7. 
El Concesionario deberá contemplar dichos Predios dentro del Plan de Adquisición de Predios,  su metodología de trabajo para adelantar la Gestión Predial y demás documentos requeridos por el Contrato. 
Se informa al interesado que las intervenciones del Factor de Calidad se desarrollan principalmente por fajas de vías existentes.</t>
  </si>
  <si>
    <t>En caso de no estar de acuerdo el Concesionario y el Interventor, en los valores adoptados en un Avalúo comercial corporativo y persistan las diferencias ¿Cuál es el mecanismo contractual para dirimir las diferencias?</t>
  </si>
  <si>
    <t xml:space="preserve">Apéndice Técnico 7 – Gestión Predial / Cláusulas 4.6. (j) y 4.6. (k) </t>
  </si>
  <si>
    <t>En caso de existir una compensación minera:</t>
  </si>
  <si>
    <t xml:space="preserve">Apéndice Técnico 7 – Gestión Predial / </t>
  </si>
  <si>
    <t>Cláusula 4.6. (l)</t>
  </si>
  <si>
    <t>En caso de considerarse absolutamente necesaria la afectación sobre un predio de beneficio comunitario, y se deba hacer su reposición o restablecimiento, ¿Los costos se cargarán a la Subcuenta Predios?</t>
  </si>
  <si>
    <t xml:space="preserve">Sólo podrán utilizarse los recursos de la Subcuenta Predios si dentro del Equipamiento Comunitario se requiere la adquisición de Predios a sus dueños y el pago a sus beneficiarios derivado de la ejecución del Plan de Compensaciones Socioeconómicas. Lo costos adicionales correspondientes a reposición, restablecimiento, gestiones y cumplimientos de normas técnicas son a cuenta y riesgo del Concesionario.  </t>
  </si>
  <si>
    <t>Cláusula 8.2.</t>
  </si>
  <si>
    <t xml:space="preserve">No existe en el Apéndice Técnico 8 - Gestión </t>
  </si>
  <si>
    <t>Social, el Programa de Adecuación y/o Restitución de Infraestructura Social, ¿Cuál será el procedimiento para dar aplicación a esta sección?</t>
  </si>
  <si>
    <t>¿Cuál es el procedimiento establecido contractualmente para acordar la constitución de una servidumbre? ¿El pago de las servidumbres se hará con cargo a la Subcuenta Predios?</t>
  </si>
  <si>
    <t>Cláusula 8.5.</t>
  </si>
  <si>
    <t xml:space="preserve">Con relación al Manejo de Equipamiento Comunitario, ¿con cargo a que Cuenta de Proyecto se hará el restablecimiento? </t>
  </si>
  <si>
    <t xml:space="preserve">Apéndice Técnico 8 – Gestión Social / </t>
  </si>
  <si>
    <t>Cláusula 5.2.2.9.4.</t>
  </si>
  <si>
    <t xml:space="preserve">En la Cláusula 7.4. – Fuerza Mayor Predial de la Parte General del Contrato de Concesión, se incorpora lo siguiente en 7.4. (a) (iv): </t>
  </si>
  <si>
    <t xml:space="preserve">Contrato de Concesión – Parte General / Cláusula 7.4. (a) (iv) </t>
  </si>
  <si>
    <t xml:space="preserve">“Si transcurrieren dieciocho (18) Meses contados a partir de la admisión de la demanda en el proceso de expropiación por vía judicial, sin que la autoridad judicial haya decidido la petición del Concesionario, frente a la transferencia del derecho real de dominio”. </t>
  </si>
  <si>
    <t xml:space="preserve">Desde nuestro punto de vista, consideramos que existen muy pocos casos en los que, al no presentarse la contraparte en el proceso judicial, se ha dictado sentencia en 12 meses. Ahora bien, entendemos que lo común hasta la fecha es que los procesos duren como mínimo 24 meses, conociéndose casos con una duración incluso superior.  </t>
  </si>
  <si>
    <t xml:space="preserve">Por los motivos anteriores, solicitamos que el plazo definido en la Cláusula 7.4. (a) (iv) sea de al menos 24 meses, en lugar de 18. </t>
  </si>
  <si>
    <t xml:space="preserve">Con relación a la Cláusula 14.2. (h) (ii) (2), solicitamos que en el presente proceso de licitación se mantenga la siguiente redacción que resultaba de aplicación en los contratos 4G, en lo relativo al tratamiento de las Reparaciones Necesarias por Evento Eximente de Responsabilidad: </t>
  </si>
  <si>
    <t xml:space="preserve">Contrato de Concesión – Parte General / Cláusula 14.2. (h) (ii) (2) </t>
  </si>
  <si>
    <t xml:space="preserve">“Golpe de Estado, revolución, conspiración y acto de guerrilla. No se incluyen en este concepto huelga, motín, asonada, conmoción civil y/o popular, actos malintencionados de terceros, actos terroristas y terrorismo, riesgos que deben ser asegurados por el Concesionario”. </t>
  </si>
  <si>
    <t xml:space="preserve">Entendemos que la definición y referencias establecidas en la Parte General y Parte Especial para el concepto de ‘Sanción’ podrían resultar un tanto vagas, en comparación con la descripción proporcionada para otros conceptos. Amablemente les solicitamos que las definen con mayor nivel de detalle. </t>
  </si>
  <si>
    <t>Contrato de Concesión – Parte General / Cláusula 1.112</t>
  </si>
  <si>
    <t>No se atiende a la solicitud, toda vez que la figura se encuentra debidamente tipificada pues allí se indica que proceden para incumplimientos definitivos, o no subsanables, frente a los cuales no quepa la conminación, de manera que, tanto el supuesto de hecho que da lugar a la sanción como su consecuencia se encuentra consagrada, ya  que en el texto se indica el valor, a modo de tope, por el que resulta procedente sancionar.</t>
  </si>
  <si>
    <t>SEGUROS MUNDIAL, 23/04/2020</t>
  </si>
  <si>
    <t>Agradecemos dar un alcance a la Comisión de Éxito que se plantea en la minuta del contrato, si el cumplimento de la misma al tratarse de una obligación de pago se entiende inmerso dentro de las garantías contractuales adquiridas por el concesionario; de ser así agradecemos a esta entidad solicitar una póliza que garantice de manera exclusiva dicha obligación, sin que la garantía única de cumplimiento se pueda llegar a ver afectada</t>
  </si>
  <si>
    <t xml:space="preserve">Garantías </t>
  </si>
  <si>
    <t>En la medida que el plazo contractual es superior a 5 años solicitamos sea adicionado a los pliegos de condiciones la cláusula de divisibilidad de las garantías en atención a lo señalado en el artículo 2.2.1.2.3.1.3  del decreto 1082 de 2015: “… Si el garante de una Etapa del Contrato o un Periodo Contractual decide no continuar garantizando la Etapa del Contrato o Periodo Contractual subsiguiente, debe informar su decisión por escrito a la Entidad Estatal garantizada seis (6) meses antes del vencimiento del plazo de la garantía. Este aviso no afecta la garantía de la Etapa Contractual o Periodo Contractual en ejecución. Si el garante no da el aviso con la anticipación mencionada y el contratista no obtiene una nueva garantía, queda obligado a garantizar la Etapa del Contrato o el Periodo Contractual subsiguiente.”; debido a que si bien es cierto que se cuenta con periodos, plazos y garantías contractuales divididas, conforme a lo señalado en este artículo logramos identificar que en la cláusula 12.6 numerales I y II  de la parte general de la minuta del contrato se señala:  “(I) La prórroga o renovación de este amparo para las fases subsiguientes estará cubierta por el mismo amparo de cumplimiento, que además cubrirá la renovación y prórroga de los demás que componen la Garantía Única, así como la constitución y prórroga de las demás garantías exigidas en este Contrato. (II) Los riesgos cubiertos serán los correspondientes al incumplimiento de las obligaciones que nacen y que son exigibles en cada una de las Etapas y Fases del Contrato, incluso si su cumplimiento se extiende a la Etapa o Fase subsiguiente, de tal manera que será suficiente la garantía que cubra las obligaciones de la etapa respectiva”. Cláusula que es contraria a lo señalado en la regulación de la contratación estatal y que limitan la posibilidad del garante de retirarse del riesgo en las etapas subsiguientes sin que la garantía vigente no sea afectada.</t>
  </si>
  <si>
    <t>Garantías</t>
  </si>
  <si>
    <t>Adecuar y modificar el pliego conforme a lo estipulado en el artículo 2.2.1.2.3.1.6. del Decreto 1082 de 2015 a saber: “Garantía de los Riesgos derivados del incumplimiento de la oferta. La garantía de seriedad de la oferta debe cubrir la sanción derivada del incumplimiento de la oferta, en los siguientes eventos: 1.    La no ampliación de la vigencia de la garantía de seriedad de la oferta cuando el plazo para la adjudicación o para suscribir el contrato es prorrogado, siempre que tal prórroga sea inferior a tres (3) meses. 2.    El retiro de la oferta después de vencido el plazo fijado para la presentación de las ofertas. 3.    La no suscripción del contrato sin justa causa por parte del adjudicatario. 4.    La falta de otorgamiento por parte del proponente seleccionado de la garantía de cumplimiento del contrato.”, así las cosas no es viable que la garantía de seriedad de la oferta se extienda a cubrir: “La no constitución del Contratista en los términos establecidos en el presente Pliego.” ni “El no cumplimiento de los requisitos previstos en el Contrato para la suscripción del Acta de Inicio de Ejecución.”</t>
  </si>
  <si>
    <t>Esto en la medida que conforme a lo señalado en la cláusula 9.3.2 del proyecto de pliego de condiciones: “La no constitución del SPV en los plazos y términos indicados en este Pliego de 45 Condiciones, facultará a la ANI para hacer efectiva la Garantía de Seriedad de la 46 Oferta, a menos que dicho plazo sea prorrogado por la entidad.” Circunstancia que no se encuentra cubierta por la garantía de seriedad de la oferta conforme a lo señalado en el Decreto 1082 de 2015.</t>
  </si>
  <si>
    <t>CONSTRUCTORA CONCONCRETO SA, 24/04/2020</t>
  </si>
  <si>
    <t>En lo que respecta al valor asegurado definido para la Garantía de Seriedad de la Oferta, solicitamos ajustar toda vez que en proyectos similares se presentan valores muy por debajo de los propuestos en el presente proyecto, lo que sin duda traería una limitación para los proponentes para poder presentar oferta.</t>
  </si>
  <si>
    <t>Proyecto Pliego de Condiciones - 4.1.14 (vi)</t>
  </si>
  <si>
    <t xml:space="preserve">En lo que respecta al valor definido para el Cúpo de Crédito Especifico, solicitamos ajustar toda vez que en proyectos similares se presentan valores por debajo de los propuestos en el presente proyecto, lo que sin duda traería una limitación para los proponentes para poder presentar oferta.      </t>
  </si>
  <si>
    <t>Proyecto Pliego de Condiciones - 4.3.6 (a) (i)</t>
  </si>
  <si>
    <t xml:space="preserve">Favor establecer mecanismos de compensación claros y acotados en tiempo en caso que, que a pesar de tener el certificado del Ministerio del Interior de no presencia de más comunidades que las definidas en el Apendice 1, a futuro aparezcan nuevas comunidades que retrasen o impidan la obtención de permisos ambientales. </t>
  </si>
  <si>
    <t>Apendice Técnico 1 - (ix)</t>
  </si>
  <si>
    <t xml:space="preserve">Se aclara al interesado que el contrato regula en las seccións 8.1 (d), 13.3(c) y 19.1 (e) de la Minuta Parte General lo relacionado con los costos que se generen como consecuencia de la Gestión Social y Ambiental para adelantar esta(s) nueva(s) consulta(s) previa(s) y Los compromisos derivados de dichos acuerdos que sean protocolizados. </t>
  </si>
  <si>
    <t xml:space="preserve">En la redacción propuesta en el Apendice Técnico 1, no es claro si la consulta previa con el consejo comunitario Las Dos Aguas de Cascajal fue finalizada por parte de la ANI. Respecto a los impactos que esto pueda traer, favor definir la compensación por la no obtención de la licencia ambiental en caso que la autoridad no acepte las compensaciones establecidas. Debería poder mitigarse, por parte de la entidad concedente, la variación respecto a las compensaciones definidas y las necesidades finales para poder finalizar la obra. </t>
  </si>
  <si>
    <t>Se aclara al interesado que la consulta previa con Dos Aguas de Cascajal fue protocolizada con acuerdos parciales, por lo tanto se encuentra finalizada. 
El trámite de obtención de la licencia no depende del proceso de consulta previa, por lo que el Concesionario deberá cumplir lo establecido en la Ley para la obtención de esta.</t>
  </si>
  <si>
    <t xml:space="preserve">No es claro por qué se llegó a acuerdos con el consejo comunitario del Guabal si dicha comunidad no se encuentra certificada dentro de las comunidades identificadas y certificadas por el Ministerio del Interior. </t>
  </si>
  <si>
    <t xml:space="preserve">En el desarrollo del proceso de consulta previa el Consejo Comunitario San Isidro manifestó su voluntad de cubrir al Consejo Comunitario del Guabal, así mismo se evidenció la existencia y afectación directa a esta comunidad, lo cual fue validado por Mininterior, conforme se indica en las actas del proceso de consulta que se pueden consultar en el Cuarto de Información de Referencia. </t>
  </si>
  <si>
    <t xml:space="preserve">Favor aclarar el alcance del Mantenimiento Periodico propuesto dentro del alcance de cada Unidad Funcional, toda vez que se entendería que existiese la obligación del concesionario de realizarlo anualmente. Los mantenimientos periodicos o mayores en proyectos similares requieren periodicidades mayores. </t>
  </si>
  <si>
    <t>Apendice Técnico 1 - (iv)</t>
  </si>
  <si>
    <t xml:space="preserve">KMA CONSTRUCCIONES S.A.S.
27/04/2020, </t>
  </si>
  <si>
    <t>De acuerdo con el Aviso Modificatorio No. 2 publicado el pasado 24 de abril se indica:</t>
  </si>
  <si>
    <t>Aviso Modificatorio No. 2</t>
  </si>
  <si>
    <t/>
  </si>
  <si>
    <t>“Se informa a los Interesados que se ha incluido en el cuarto de información de referencia una presentación general del proyecto y el trazado de la vía, en formato KMZ. Dicha información no es vinculante y será de carácter informativo para una mejor comprensión del proyecto.”</t>
  </si>
  <si>
    <t>En ese sentido, solicitamos comedidamente indicar cuál es la Ruta que se debe seguir dentro de los documentos publicados en el Cuarto de Información de Referencia para encontrar lo descrito en el mencionado Aviso. Agradecemos verificar si en efecto fue publicada la información mencionada.</t>
  </si>
  <si>
    <t xml:space="preserve">G&amp;M , 27/04/2020, </t>
  </si>
  <si>
    <t>Buenos días, respecto al aviso informativo adjunto , hemos buscado la información indicada  y no lo hemos podido ubicar en el cuarto de información.</t>
  </si>
  <si>
    <t xml:space="preserve">Se informa al interesado que la presentación general del proyecto y el trazado en formato KMZ fue cargado al cuarto de datos el 27 de abril del año en curso. Esta información puede encontrarla en la Carpeta 5G subcarpeta N_Malla_vial_Valle_ACP.  </t>
  </si>
  <si>
    <t>Asimismo, hemos revisado el Índice del Cuarto de Información y vemos que no ha sido actualizado desde el 03 de abril, por lo que se nos dificulta poder ubicar la carpeta en la cual ha sido archivada la información nueva.</t>
  </si>
  <si>
    <t xml:space="preserve">AON RISK SERVICES COLOMBIA S.A. CORREDORES DE SEGUROS, 27/04/2020, </t>
  </si>
  <si>
    <t>Todo Riesgo Obra Civil</t>
  </si>
  <si>
    <t xml:space="preserve">Pólizas </t>
  </si>
  <si>
    <t xml:space="preserve">1.1. Se deben expedir las siguientes pólizas </t>
  </si>
  <si>
    <t xml:space="preserve">Para la constitución de las pólizas en mención y aunque en el anexo parte especial indica una sola póliza como “Amparos de Todo Riesgo Obra Civil”, formalmente sugerimos tener en consideración lo siguiente: </t>
  </si>
  <si>
    <t xml:space="preserve">• Póliza de Todo Riesgo Construcción </t>
  </si>
  <si>
    <t xml:space="preserve">• Póliza de Maquinaria y Equipo Contratistas </t>
  </si>
  <si>
    <t xml:space="preserve">• Póliza de Obras Civiles Terminadas 1.2. Determinar la calidad de Tomador, Asegurado y Beneficiario en cada una de las pólizas. </t>
  </si>
  <si>
    <t xml:space="preserve">1.3. Es deber del asegurado suministrar los valores asegurados de las pólizas y precisar los mismos, aunque en el contrato o anexo independiente se mencionen los valores para cada uno de los ítems a saber Maquinaria, Equipos, Obras Civiles Construcción, Edificios, Obras Civiles Terminadas. </t>
  </si>
  <si>
    <t xml:space="preserve">Los criterios de valor asegurado </t>
  </si>
  <si>
    <t xml:space="preserve">• Edificios: Valor de Reconstrucción </t>
  </si>
  <si>
    <t xml:space="preserve">• Maquinaria y Equipo: Valor de Reposición </t>
  </si>
  <si>
    <t xml:space="preserve">• Demas Bienes: Valor de Reposición </t>
  </si>
  <si>
    <t xml:space="preserve">1.4. Se entiende adicionalmente como lo indica el anexo Seguro Obras Civiles que la póliza se rige por las Condiciones Especiales ANI. Es decir, todas las condiciones técnicas de las pólizas se deben ceñir a lo allí indicado, por favor precisar. </t>
  </si>
  <si>
    <t xml:space="preserve">Adicionalmente es posible que en proyecto se requiera la constitución de una póliza Automática de Transporte de Mercancías. </t>
  </si>
  <si>
    <t xml:space="preserve">Esta póliza ampara el Transporte de todos los bienes que se movilicen desde cualquier parte del mundo hasta su destino final donde se desarrolle el proyecto. La póliza se hace necesaria si el Consorcio es responsable de la movilización de los bienes hasta su destino final en proyecto. </t>
  </si>
  <si>
    <t xml:space="preserve">Información necesaria para la cotización de la póliza. </t>
  </si>
  <si>
    <t xml:space="preserve">• Tipo de bienes a movilizar </t>
  </si>
  <si>
    <t xml:space="preserve">• Presupuesto de Movilizaciones </t>
  </si>
  <si>
    <t xml:space="preserve">• Límite máximo por despacho Buque-Avión-Camión, Tren, etc. </t>
  </si>
  <si>
    <t xml:space="preserve">• Trayectos de la movilización (Desde-Hasta) </t>
  </si>
  <si>
    <t xml:space="preserve">Para este tipo de pólizas el valor asegurado normalmente se maneja a valor costo de los bienes o valor venta. </t>
  </si>
  <si>
    <t>Adicionalmente se puede amparar el Lucro por Transportes (DSU) ( Delay Star Up) para amparar las pérdidas por Lucro como consecuencia de un evento que impida la llegada de los bienes a su destino final. El valor asegurado de DSU se establece un valor sobre los Equipos Críticos del Proyecto.</t>
  </si>
  <si>
    <t xml:space="preserve">Automóviles </t>
  </si>
  <si>
    <t xml:space="preserve">No se indican condiciones técnicas de los amparos para estas pólizas, sin embargo, se sugiere solicitar aclaración sobre las siguientes coberturas de las pólizas: </t>
  </si>
  <si>
    <t xml:space="preserve">• Límite de responsabilidad civil extracontractual </t>
  </si>
  <si>
    <t xml:space="preserve">• Daños y hurtos </t>
  </si>
  <si>
    <t xml:space="preserve">• Asistencias </t>
  </si>
  <si>
    <t xml:space="preserve">Cumplimiento y Responsabilidad Civil Extracontractual </t>
  </si>
  <si>
    <t>Se entiende como lo indican los anexos financieros, que las pólizas se rigen por las Condiciones Especiales ANI. Es decir, todas las condiciones técnicas de las pólizas se deben ceñir a lo allí indicado, por favor precisar.</t>
  </si>
  <si>
    <t xml:space="preserve">GRUPO ETHUSS S.A.S, 27/04/2020, </t>
  </si>
  <si>
    <t>• Datos en bruto la información recolectada en campo, en formato editable, por el Consorcio de Estructuración (ICEACSA-BONUS) según se indica en el documento del Cuarto de Información ESTUDIO DE TRAFICO Y DEMANDA, VOLUMEN I de la consultoría realizada para la ANI con No. De Contrato 490/2017. En particular:</t>
  </si>
  <si>
    <t>La entidad informa al interesado que en la carpeta 0AI2 se encuentran los anexos del estudio de tráfico realizado. 
Se complementará el Cuarto de Información de Referencia con la información para poder ser utilizada en análisis de tráfico en la carpeta 0AI2.</t>
  </si>
  <si>
    <t>Cuarto de datos</t>
  </si>
  <si>
    <t>Aforos Vehiculares</t>
  </si>
  <si>
    <t>Encuestras de Origen - Destino Vehiculares (ODV) y Matrices Origen/Destino</t>
  </si>
  <si>
    <t>Encuestas de Preferencia Declarada (PD)</t>
  </si>
  <si>
    <t>• Matrices Origen/Destino y Zonificación, en formato explotable/bases de datos, obtenidas a partir de la anterior información recolectada en campo, por el Consorcio de Estructuración (ICEACSA-BONUS) según se indica en el documento del Cuarto de Información ESTUDIO DE TRAFICO Y DEMANDA, VOLUMEN I de la consultoría realizada para la ANI con No. De Contrato 490/2017.</t>
  </si>
  <si>
    <t>• Datos horarios de tráfico en las estaciones de peaje del proyecto por categoría vehicular en los años 2019, 2018 y 2017</t>
  </si>
  <si>
    <t>La entidad informa al interesado que en la carpeta 0AI2 se encuentran los anexos del estudio de tráfico realizado, cuya información secundaria obtenida entre 2017 y noviembre de 2018 corresponde a la de la anterior concesión. De otra parte, se precisa que desde noviembre de 2018 el INVIAS es la entidad que se encarga de la operación de las actuales Estaciones de Peaje, por cuanto deberá solicitarles los horarios de tráfico en las estaciones que componene el proyecto.</t>
  </si>
  <si>
    <t xml:space="preserve">SENDA, 30/04/2020, </t>
  </si>
  <si>
    <t>Solicitamos a la Entidad Contratante que amplíe en 3 meses el plazo para el Cierre del plazo de la Licitación Pública ahora fijado en la fecha del 6 de agosto de 2020.</t>
  </si>
  <si>
    <t>Aviso Modificatorio Nº 1</t>
  </si>
  <si>
    <t>Adicionalmente, no solamente se ha perdido tiempo valioso durante la cuarentena para la validación de todo lo anterior, sino que el Gobierno Nacional, en complemento a la prohibición de circulación de vehículos y personas, ha emitido políticas públicas para el desarrollo de actividades como las requeridas anteriormente, y en las que se imponen fuertes protocolos de bioseguridad los cuales, apenas se conocen tal como así lo determina la circurlar conjunta de los Ministerios del Interior, Transporte y Salud No. 003 de 2020, lo cual sin lugar a dudas impactará la manera como se realicen los estudios anteriores para presentar nuestra propuesta.</t>
  </si>
  <si>
    <t xml:space="preserve">SENDA  30/04/2020, </t>
  </si>
  <si>
    <t>Lo anterior, corresponde a proyecciones y estudios básicos que, como oferentes que actualmente ejecutan proyectos para la ANI, sabemos que son indispensables para presentar una oferta competitiva, pero sobre todo seria y responsable, acorde con el interes público que sin duda tiene el Proyecto y que permita a la entidad en virtud de la función pública y contratación administrativa, hacer un juicio de valor acorde a la realidad y tomando en consideración ese interés publico del Proyecto, el que queremos tomar en consideracion en todas nuestras actuaciones.</t>
  </si>
  <si>
    <t>A todo ello hay que añadir que con el aplazamiento, habido en el Aviso Modificatorio Nº 1, de 23 días en la fecha de Resolución de Apertura de la Licitación Pública y publicación del Pliego de Condiciones definitivo, se ha visto todavía más comprometido el corto espacio de tiempo que los licitadores tendríamos a disposición la documentación definitiva del Proyecto para poder estudiarla como merece la Oferta a realizar.</t>
  </si>
  <si>
    <t>Por ello, como Compañias responsables, exoerimentadas en este tipo de Proyectos y pro tanto,  conocedores de la realidad del país que impacta el proyecto, reiteramos la solicitud de ampliar la fecha del Cierre del plazo de la Licitación Pública; plazo que se agradecería fuera publicado a la mayor brevedad posible y sin esperar a la publicación del pliego definitivo de condiciones el 29 de mayo de 2020 y que sin lugar a dudas permitirá la pluraridad de ofertentes tan protegida en la ley 80 de 1993.</t>
  </si>
  <si>
    <t>Numeral 4.1.5.a.iv:</t>
  </si>
  <si>
    <t>Se informa al interesado que su entendimiento no es correcto. Cada Líder debe tener una participación mínima en la Estructura Plural del veinticinco por ciento (25%).
En lo que respecta a su solicitud de reducir el porcentaje de participación mínima en la Estructura Plural al 12,5% se informa que la misma no se acepta.</t>
  </si>
  <si>
    <t>El citado numeral dice "En el documento de conformación de la Estructura Plural se deberá designar uno o varios Líderes, en quien(es) concurren las siguientes condiciones: (i) tener una participación mínima en dicha Estructura Plural del veinticinco por ciento (25%); ...".</t>
  </si>
  <si>
    <t>Solicitamos a la Entidad Contratante confirmar si nuestro entendimiento es correcto, según el cual la definición citada permite la formación de una Estructura Plural de 3 participantes en la que dos de ellos sean designados Líderes y que la participación conjunta de ambos sea del 25% (por ejemplo, que cada uno tenga un 12,5%).</t>
  </si>
  <si>
    <t>Subsidiariamente y en el supuesto que la Entidad Contratante indicase que este entendimiento no es correcto y que cada uno de los Líderes debe tener al menos un 25% de participación en la Estructura Plural, solicitamos que el porcentaje de participación mínima sea rebajado al 12,5%.</t>
  </si>
  <si>
    <t>Numeral 4.4:</t>
  </si>
  <si>
    <t>Proyecto Contrato Parte Especial</t>
  </si>
  <si>
    <t>Solicitamos a la Entidad Contratante unificar el Giro 2 y el Giro 3 en un solo giro, cuyo Monto mínimo sea el sumatorio de los citados giros ($228.118.085.316) y cuya Fecha máxima del Aporte sea "360 días desde la Fecha de Inicio".</t>
  </si>
  <si>
    <t>Tiene como sustento nuestra solicitud a que la SPV, a través del Cupo de Crédito Específico, ya cuenta con una garantía plena para el desembolso de ambos giros, y a que ello permitirá una gestión más eficiente de los fondos que requiere el Proyecto.</t>
  </si>
  <si>
    <t xml:space="preserve">Durán &amp; Osorio Abogados Asociados 4/05/2020, </t>
  </si>
  <si>
    <t>El numeral en cuestión describe los documentos que deberán acreditar los fondos de capital privado que respalden las ofertas de los interesados. Sin embargo no reconocen que existen fondos de capital privado internacionales que tiene personería jurídica y en ese sentido no actuan a nombre de su gestor.</t>
  </si>
  <si>
    <t>4.6.8 Pliego de Condiciones</t>
  </si>
  <si>
    <t xml:space="preserve">En este sentido, les solicitamos se permita que el fondo mismo y no su gestor sean quienes emitan las certificaciones respectivas. </t>
  </si>
  <si>
    <t>De no ser aceptada la observación anterior, y de acuerdo con esta cláusula, el contrato terminará cuando: (i) el concesionario alcance el VPIP, en cualquier momento antes del año 29 o (ii) al cumplirse el año 29, independientemente de si el concesionario alcanzó o no el VPIP. Ahora bien, el artículo 6 de la Ley 1508 de 2012 determina un plazo máximo de 30 años –incluidas prórrogas– para los proyectos APP y cuando se considere necesario un plazo de ejecución superior, la entidad deberá contar con concepto favorable del CONPES.</t>
  </si>
  <si>
    <t>2.4(b) Contrato, Parte General</t>
  </si>
  <si>
    <t xml:space="preserve">Se informa al interesado que no se acepta su observación. La naturaleza de los contratos de Asociación Público Privada (APP) involucra la retención y transferencia de riesgos entre las partes sin que exista una garantía de ingreso para el Concesionario, a diferencia de lo que ocurre con otras modalidades contractuales, como por ejemplo, la obra pública. Los contratos de APP son contratos aleatorios, lo que quiere decir que no existe equivalencia de prestaciones entre las Partes y algunos aspectos están sujetos a lo que pueda ocurrir en el futuro. En este caso, el alea del contrato consistente en no obtener el VPIP una vez vencido el plazo del mismo está a cargo del Concesionario y en esta medida, es un riesgo asumido por este. 
De acuerdo con lo anterior, el Adjudicatario suscribirá un contrato en donde aceptará expresamente asumir el riesgo de que, eventualmente, terminado el plazo del Contrato de Concesión no obtenga la totalidad del ingreso esperado, situación que es perfectamente compatible con proyectos de APP en el entorno internacional y con la legislación colombiana. </t>
  </si>
  <si>
    <t xml:space="preserve">Teniendo en cuenta lo anterior es posible afirmar que el contrato de concesión no está previendo la necesidad de plazo adicional en la ejecución de este, para alcanzar el VPIP. Por lo que, respetuosamente solicitamos a la Entidad que considere adelantar los trámites pertinentes para la autorización de un sobreplazo, y que si al año 29 no se ha obtenido el VPIP este pueda ser prorrogado. </t>
  </si>
  <si>
    <t>Frente al evento eximente de responsabilidad por fuerza mayor predial, solicitamos respetuosamente a la Entidad que se elimine el numeral (ix) sobre predios de uso público, pues no se entiende por qué se supedita la configuración del evento eximente de responsabilidad a la autorización de los concejos o asambleas.</t>
  </si>
  <si>
    <t>7.4(a)(ix) Contrato, Parte General</t>
  </si>
  <si>
    <t xml:space="preserve">Estas tareas están por fuera del control del concesionario y sería el afectado por la no entrega de los predios. En este sentido, la labor de coordinación con las autoridades regionales deberá ser asumida por la ANI. </t>
  </si>
  <si>
    <t>El contrato establece que “Los costos que se generen como consecuencia de la Gestión Social y Ambiental para adelantar esta(s) nueva(s) consulta(s) previa(s) serán asumidos en su totalidad por el Concesionario. Los compromisos derivados de dichos acuerdos que sean protocolizados, serán asumido por las Partes en proporciones iguales (cincuenta por ciento 50%)”.</t>
  </si>
  <si>
    <t>8.1(d) Contrato, Parte General</t>
  </si>
  <si>
    <t>Ponemos a consideración de la Entidad, la modificación de dicha sección, en el sentido que se debe establecer un valor máximo hasta donde las partes asumen 50 – 50 los compromisos derivados de los nuevos acuerdos y a partir de ese tope máximo debe ser la ANI quien asuma su reconocimiento.</t>
  </si>
  <si>
    <t xml:space="preserve">De acuerdo con la Ley 1882 las consultas previas son responsabilidad de las entidades estatales, si bien es cierto que podrían requerirse posteriormente el concesionario no tendría ningún control sobre estas y por lo tanto no tiene forma de determnar un valor razonable para las mismas. </t>
  </si>
  <si>
    <t xml:space="preserve">Esta sección determina que los efectos favorables y/o desfavorables de la variación en los ingresos en el recaudo de peaje por lo cambios en el tráfico durante la vida del proyecto, serán asumidos en su totalidad por en concesionario. Consideramos que a este riesgo está siendo asignado de manera incorrecta dado que i) el Concesionario no tiene ninguna incidencia en el tráfico y ii) pueden presentarse situaciones como la actual, donde estando por fuera del control del concesionario, el tráfico baja cerca a cero. En este sentido, solicitamos a la entidad considerar garantías minímas de tráfico anuales que permitan financiar el proyecto. </t>
  </si>
  <si>
    <t>13.2(a)(xviii) Contrato, Parte General</t>
  </si>
  <si>
    <t>De acuerdo con las estipulaciones del contrato, la remuneración del amigable componedor dependerá de las controversias atendidas, lo que elimina la posibilidad del amigable componedor realmente permanente y útil.</t>
  </si>
  <si>
    <t>15.1(d) Contrato, Parte General</t>
  </si>
  <si>
    <t xml:space="preserve">De acuerdo con esto solicitamos i) Fortalecer la figura del amigable componedor para hacerlo definitivo y ii) Generar un pago fijo al amigable componedro que comprometa a los mismos a estar permanentemente enterados del desarrollo del contrato. </t>
  </si>
  <si>
    <t>El presente numeral determina las distintas fórmulas para la liquidación del contrato, en términos generales encontramos que las fórmulas limitan la capacidad de financiación en la medida en que al establecer un límite de valor a reconocer -con tanto poco margen- no reconocen un hecho cierto en casí todos los proyectos y es que tanto el equity como la deuda reales generalmente son mucho mayores a los minímos contractuales.</t>
  </si>
  <si>
    <t>18.3 Contrato, Parte General</t>
  </si>
  <si>
    <t xml:space="preserve">En este sentido, ponemos a su consideración revisar el no tener estos límites o en caso de mantenerlos subir el 105% del equity y el de la deuda a niveles que reconozcan la realidad de los proyectos. </t>
  </si>
  <si>
    <t>El numeral en cuestión estipula una duración de 12 meses para la fase de preconstrucción, contados a partir del día siguiente a la suscripción del acta de inicio. Teniendo en cuenta la gestión que debe adelantar el concesionario durante esta fase en cuanto a la adquisición de predios, el trámite de permisos, licencias, cierre financiero etc., consideramos que la duración de la fase concede tiempo insuficiente para que el concesionario pueda cumplir con sus obligaciones.</t>
  </si>
  <si>
    <t>3.8(a), Contrato, Parte Especial</t>
  </si>
  <si>
    <t xml:space="preserve">La Entidad considera que los plazos establecidos son suficientes para la ejecución de las obligaciones asociadas específicamente a esta etapa. </t>
  </si>
  <si>
    <t xml:space="preserve">De acuerdo con lo anterior, solicitamos a la ANI que considere la ampliación del plazo de esta fase o que en el contrato quede estipulado que no se iniciará la fase de construcción mientras no se cumplan todas las condiciones necesarias y en este sentido sea un plazo meramente indicativo y que se prorrogue cuando el concesionario demuestre que ha actuado con la diligencia debida. </t>
  </si>
  <si>
    <t>De acuerdo con lo dispuesto en esta sección, respecto al fondeo de la subcuenta deposito especial, de la cuenta ANI, establece el contrato que el concesionario debe fondear la cuenta con el 37,28% del total del recaudo peaje. Adicionalmente, determina que, por indicaciones de la ANI el concesionario deberá indicar a la fiduciaria el traslado de los recursos de la subcuenta, sin descontar ningún tipo de impuesto, tasa o contribución.</t>
  </si>
  <si>
    <t>4.5(h) Contrato, Parte Especial</t>
  </si>
  <si>
    <t xml:space="preserve">La Entidad considera pertinente mantener la regulación actual, teniendo en cuenta que costos como el 4x1000 se encuentran incluidos dentro de la estructuración financiera, por lo cual no es procedente su observación. </t>
  </si>
  <si>
    <t xml:space="preserve">Esto implica que el Concesionario deba asumir costos que deberían ser asumidos por la ANI como beneficiaría de esos recursos, especialmente el 4x1000, por lo que les solicitamos que de dicha subcuenta se puedan descontar los costos que guarden relación directa con estos. </t>
  </si>
  <si>
    <t xml:space="preserve">Si como resultado de la no entrega del tramo Cali - Candelaria el Concesionario sufre afectaciones en el tráfico esperado, esto debe ser compensado por la ANI en la medida en que escapa por completo del control del Concesionario. </t>
  </si>
  <si>
    <t xml:space="preserve">Parte Especial </t>
  </si>
  <si>
    <t xml:space="preserve">Se informa al interesado que no es necesario regular ninguna compensación adicional. De acuerdo con lo establecido por la Sección 3.6 (g) de la Parte Especial, en el evento  en que la entrega de la infraestructura del tramo Cali-Candelaria no ocurra en los plazos máximos previstos, los Predios, obras e intervenciones asociadas al tramo no entregado se entenderán automáticamente excluidos del objeto de este Contrato y no harán parte del alcance del Proyecto. En este caso, los costos de la infraestructura a intervenir serán trasladados a la Subcuenta Excedentes ANI de acuerdo con los valores de CAPEX y OPEX indicados en la tabla de la Sección 3.6(f). Finalmente, precisamos que sobre el tramo en mención NO se incluye ni la instalación, ni reubicación de alguna estación de peaje, ni actualmente existe una estación de peaje, por lo que no generará impacto en el recaudo del proyecto.  </t>
  </si>
  <si>
    <t xml:space="preserve">De acuerdo con lo establecido en esta sección, los recursos de la Subcuenta Compesaciones Socioambientales, en ningún caso, podrán ser utilizados para el pago de pasivos ambientales. De manera respetuosa se solicita a la ANI que se permita el uso de estos recursos para pasivos ambientales por obras anteriores a la suscripción del Contrato. </t>
  </si>
  <si>
    <t>3.14(g)(vi)(5) Contrato, Parte General</t>
  </si>
  <si>
    <t xml:space="preserve">Se solicita que esta sección se modifique en el sentido de que los rendimientos financieros de la Subcuenta Aportes ANI sean recursos destinados para cubrir la materialización de los riesgos y no deban ser transferidos a la Dirección General de Crédito Público y Tesoro Nacional del MHCP. Lo anterior en la medida en que son rendimientos financieros que devengan recursos (Aportes ANI) destinados para el Proyecto y que para ese momento ya se encontrarían ejecutados. </t>
  </si>
  <si>
    <t>3.14(h)(iii)(6) Contrato, Parte General</t>
  </si>
  <si>
    <t>Se precisa al observante que este Proyecto no cuenta con Aportes ANI, respecto de la regulación actual esta obedece a la aplicación del artículo 36 de la Ley 1955 de 2019, la cual señala “(…) Los rendimientos financieros originados con recursos de la Nación deben consignarse en la Dirección General de Crédito Público y Tesoro Nacional, con excepción de aquellos rendimientos en los que la Ley haya determinado específicamente su tratamiento.”</t>
  </si>
  <si>
    <t xml:space="preserve">Frente a la Subcuenta de Ingresos por Explotación Comercial se solicita de manera respetuosa considerar la posibilidad de reducir el porcentaje de los ingresos brutos que se obtengan por la prestación de Servicios Adicionales y que se deben consignar a la ANI. Lo anterior en la medida en que, al dejarse solo el 50% de los ingresos brutos al Concesionario, hace que la prestación de estos Servicios Adicionales sea inviable. Por ello, se recomienda modificar la cláusula para dejar un porcentaje mayor (por lo menos el 90%)  al Concesionario, incentivando el mismo a la prestación de estos servicios. </t>
  </si>
  <si>
    <t>3.14(h)(ix)(1) Contrato, Parte General</t>
  </si>
  <si>
    <t xml:space="preserve">Frente a las obligaciones del Concesionario durante la Fase de Preconstrucción y específicamente respecto a la establecida en el literal (dd)(iv), se solicita que la Gestión Social y Ambiental de las consultas previas con comunidades étnicas que sean reconocidas por la Autoridad Estatal competente con posteriordad a la celebración del Contrato, sean de responsabilidad única y exclusivamente del público en la medida en que el Concesionario no tiene forma de prever ni cuantificar los costos asociados a esto. Por lo tanto, se solicita que todo lo relacionado con la Gestión Social y Ambiental de las consultas previas nuevas (posteriores a la suscripción del Contrato) estén a cargo de la Agencia Nacional de Infraestructura. </t>
  </si>
  <si>
    <t>4.2(dd)(vi) Contrato, Parte General</t>
  </si>
  <si>
    <t xml:space="preserve">Se informa al interesado que no se acepta su observación. De acuerdo con lo señalado por la Directiva Presidencial 01 de 2010, la consulta procede antes de la ejecución o puesta en marcha de cualquier proyecto que pueda afectar a los Grupos Étnicos Nacionales, o los derechos de los que son titulares de acuerdo con la Declaración Universal de Derechos Humanos, el Pacto Internacional de Derechos Económicos, Sociales y Culturales, el Pacto Internacional de Derechos Civiles y Políticos, o los instrumentos internacionales sobre la prevención de la discriminación. De acuerdo con dicha Directiva, la responsabilidad para llevar a cabo procesos de Consulta Previa es compartida entre los representantes de los proyectos y el Ministerio del Interior y de Justicia.
Teniendo en cuenta que el Concesionario es el principal ejecutor y representante del Proyecto, le corresponde al Concesionario con apoyo de la Entidad, adelantar la gestión social y ambiental de las consultas previas. </t>
  </si>
  <si>
    <t xml:space="preserve">Sobre la cláusula de Plazo Adicional sin Sanciones para el Concesionario, se solicita que, el término para hacer exigible el Plazo Adicional sin Sanciones sea menor de tal forma que el Concesionario cuente con al menos treinta (30) Días antes del cumplimiento del plazo máximo de ejecución previsto para la Unidad Funcional respectiva para dar aviso a la ANI, al Interventor y Prestamistas. Lo anterior en la medida en que un plazo de sesenta Días para esta actividad es mucho tiempo y, en algunos casos, es dificil de prever en este momento si se requiere de un Plazo Adicional  para dar por terminadas las actividades de la Unidad Funcional.  </t>
  </si>
  <si>
    <t>4.10(b)(i) y (ii) Contrato, Parte General</t>
  </si>
  <si>
    <t xml:space="preserve">Es importante que se ajuste la redacción de esta sección para que los predios adicionales que se requieran por ajustes al Diseño Geométrico ante errores de los diseños puestos a disposición por la ANI o por imposibilidad de compra, tengan el mismo tratamiento de los demás predios necesarios para la ejecución del Proyecto. </t>
  </si>
  <si>
    <t>6.3(b) Contrato, Parte General</t>
  </si>
  <si>
    <t xml:space="preserve">Se informa al interesado que la regulación prevista en la Sección 6.3(b) del Contrato Parte General pretende regular únicamente los eventos en los cuales el Concesionario, por voluntad propia, realiza modificaciones o adecuaciones a los Estudios de Factibilidad de Trazado y Diseño Geométrico y los mismos  exceden el área de la franja de terreno del corredor vial del Proyecto que ha sido declarada de utilidad pública e interés social. De acuerdo con lo anterior, no se acepta su observación. </t>
  </si>
  <si>
    <t xml:space="preserve">Frente a los Recursos para la Adquisición de Predios y Compensaciónes Socioeconómicas se solicita que, una vez realizada y verificada la adquisición del 100% de los Predios requeridos para el Proyecto y se haya ejecutado el Plan de Compensaciones Socioeconómicas, el remanente de los recursos sea compartido entre la ANI y el Concesionario en partes iguales. Lo anterior en la medida en que compartir los recursos lleva a que haya una alineación de los incentivos de ambas partes lo que termina teniendo un impacto positivo en el Proyecto.   </t>
  </si>
  <si>
    <t>7.2(b) Contrato, Parte General</t>
  </si>
  <si>
    <t xml:space="preserve">Se solicita que se ajuste la redacción con el fin de que una vez esté aprobada la cuenta de cobro por la Interventoría, la ANI le pague al Concesionario los recursos sobre los que no hay discusión entre las partes. </t>
  </si>
  <si>
    <t>7.2(f)(iii) Contrato, Parte General</t>
  </si>
  <si>
    <t xml:space="preserve">Siguiendo lo establecido en observaciones anteriores, solicitamos que los remanentes de los recursos de la Subcuenta Compensaciones Socioambientales, una vez finalice la ejecución de las Compensaciones Socioambientales, sean recursos compartidos entre la ANI y el Concesionario en partes iguales.  Lo anterior en la medida en que compartir los recursos lleva a que haya una alineación de los incentivos de ambas partes lo que termina teniendo un impacto positivo en el Proyecto.   </t>
  </si>
  <si>
    <t>8.1(c)(i) y (ii) Contrato, Parte General</t>
  </si>
  <si>
    <t xml:space="preserve">Frente al riesgo de tráfico se solicita a la ANI que, de acuerdo en como ha ocurrido en otros proyectos, se establezca un mecanismo donde el riesgo de tráfico tenga un cubrimiento (este garantizado al menos en un porcentaje) y que el pago de dicha compensación se de de manera anual con el fin de tener la liquidez necesaria para servir la deuda del Proyecto. Lo anterior en la medida en que es una condición indispensable para obtener la financiación requerida para ejecutar el Proyecto y que el Concesionario no tiene ninguna forma de administrar este riesgo.  </t>
  </si>
  <si>
    <t>13.2(a) (xviii) Contrato, Parte General</t>
  </si>
  <si>
    <t xml:space="preserve">Se solicita que para las obras correspondientes al factor de calidad el manejo de los riesgos predial, socioambiental y de redes se manejen de la misma forma que se manejan para las demás intervenciones del Proyecto. Lo anterior, en la medida en que la posiblidad de ocurrencia y la adminsitración de estos riesgo no tienen ninguna diferencia en los dos tipos de intervenciones. </t>
  </si>
  <si>
    <t>3.11 Contrato, Parte Especial</t>
  </si>
  <si>
    <t>Se aclara al interesado que se ha analizado su observación pero se considera que no es procedente, dado que al tratarse de intervenciones de mejoramiento y rehabilitación sobre vías secundarias y terciarias existentes, los riesgos son significativamente menores que el resto del Corredor del Proyecto. Teniendo en cuenta lo anterior, la asignación de riesgos se mantiene conforme lo expuesto en el proceso licitatorio. Por lo que le corresponderá al proponente, en lo referido a la oferta correspondiente al Factor de Calidad evaluar el manejo de riesgos prediales, socioambientales y de redes de acuerdo con lo previsto en el Contrato Parte General.</t>
  </si>
  <si>
    <t>De manera respetuosa solicitamos que dentro del valor diario a reconocer como costos ociosos ante EER se incluyan (i) los mayores costos financieros, (ii) el reconocimiento de los menores ingresos cuando la fuerza mayor que produjo el evento implique caidas de tráfico como sería por ejemplo un evento similar al que actualmente está pasando con el COVID 19</t>
  </si>
  <si>
    <t>14.2(g)(ii) Contrato, Parte General</t>
  </si>
  <si>
    <t>Para los puentes existentes, el alcance del apéndice técnico se entiende como de rehabilitación, es decir, llevarlos a sus condiciones iniciales de construcción. Sin embargo, en el apéndice técnico 3 se menciona que los puentes de Rehabilitación también deben cumplir el CCP-14, lo cual difiere de la información indicada en el apéndice técnico 1. Por lo anterior, solicitamos a la ANIdefinir claramente cuál será el alcance en los puentes existentes y ajustar los documentos para que la información no se contradiga entre sí.</t>
  </si>
  <si>
    <t>Apéndice técnico 1 - Alcance del proyecto y</t>
  </si>
  <si>
    <t>Apéndice técnico 3 - Especificaciones generales</t>
  </si>
  <si>
    <t>En el capítulo IX se mencionan las obligaciones del adjudicatario como producto de las consultas previas realizadas con las comunidades. Se incluyen algunas como las siguientes:</t>
  </si>
  <si>
    <t>Apéndice técnico 1 - Alcance del proyecto. Capítulo IX</t>
  </si>
  <si>
    <t>• En las medidas acordadas con los consejos comunitarios San Isidro y Guabal (página 54, numeral 3) se menciona la obligación de construir obras hidráulicas (cajones, alcantarillas y puentes) de las cuales no se detalla ubicación ni características.</t>
  </si>
  <si>
    <t>• En los acuerdos con el consejo comunitario Bocas del Palo (página 58, numeral 14) se menciona un puente peatonal.</t>
  </si>
  <si>
    <t>• En el componente ambiental concertado con el consejo comunitario Bocas del Palo (página 61, numeral 27) se mencionan obras hidráulicas (cajones, alcantarillas y puentes) y específicamente un puente de 70 m de luz.</t>
  </si>
  <si>
    <t>Solicitamos a la Entidad respetuosamente aclarar: (i) si estas obras corresponden a las ya incluidas en el alcance o, (ii) en caso de que sean adicionales, indicar su ubicación específica y características.</t>
  </si>
  <si>
    <t>Frente a los tramos de Factor de Calidad se indica que se debe llevar a un pavimento flexible. Sin embargo, no son claras las condiciones de ese pavimento (período de diseño). Por lo anterior, solicitamos a la ANI aclarar dichas condiciones y aclarar si ¿Deberá cumplir todas las condiciones de la UF3, por ejemplo?</t>
  </si>
  <si>
    <t>Apéndice técnico 1 - Alcance del proyecto. Numeral 7.2</t>
  </si>
  <si>
    <t>Los tramos de Factor de Calidad deben considerar en las condiciones de diseño las definidas en el Apéndice Técnico 1 y el cumplimiento de la normativa del Apéndice Técnico 3, considerando los elementos y criterios aplicables a la categoría de vías secundarias y terciarias. Según esto se definirán los periodos de diseño. Se aclara que estos tramos no deben cumplir los periodos de operación definidos en la UF3 ya que se sujetan a la Reversión Especial de la Sección 3.10 de la Parte Especial.</t>
  </si>
  <si>
    <t>Solicitamos amablemente a la Entidad publicar la información de estudios y diseños de la Variante El Bolo, pues dentro de la información publicada no se encuentró.</t>
  </si>
  <si>
    <t>Estudios existentes en el cuarto de datos</t>
  </si>
  <si>
    <t>Se incluirá, en el Cuarto de Información de Referencia (carpeta G), la información disponible de la variante El Bolo. Esta información estará disponible a título meramente informativo acorde con las condiciones de la Sección 1.7 Cuarto de Información de Referencia del Pliego de Condiciones.</t>
  </si>
  <si>
    <t>Frente al alcance del proyecto, para la obras descritas de las UF3 y UF4, no se relacionan específicamente los puentes. Sin embargo, al verificar los diseños geométricos, se encuentran varias estructuras. Por lo anterior, solicitamos respetuosamente a la Entidad  aclarar ¿cuál es el alcance en puentes de estas unidades funcionales?</t>
  </si>
  <si>
    <t>Apéndice técnico 1 - Alcance del proyecto.</t>
  </si>
  <si>
    <t>Se aclara que durante la estructuración se cuantificaron las estrcuturas que se derivaron del trazado propuesto. Sin embargo, el riesgo de diseño y construcción es del concesionario, por lo que NO se relacionan en el Apéndice los puentes identificados durante la estructuración, y si se publican en el cuarto de datos en las carpetas D3 y D4. Por lo que el concesionario como resultado de los Estudios de Detalle y los Estudios de Trazado y Diseño Geométrico, podrá obtener un trazado diferente, que derive en más o menos puentes, proyectados durante la estructuración. Se precisa que según el alcance de construcción definido en la Sección 6.2 del Apéndice Técnico 1 "La construcción comprende la ejecución, como mínimo, pero sin limitarse, de las siguientes actividades: Desmonte y limpieza, explanaciones, puentes, cimentaciones, protección de sitios críticos, obras de drenaje, de protección y estabilización, afirmados, subbase, base, carpetas de rodadura, señalización, sistemas inteligentes de transporte".</t>
  </si>
  <si>
    <t xml:space="preserve">Solicitamos a la ANI: (i) Se indiquen los requisitos de los Indicadores de Estado del Pavimento para la Unidad Funcional 0. Teniendo en cuenta que estos deben quedar especificados, de cara al plazo de la Etapa Preoperativa (60 meses); o (ii) que aclare si lo consignado en los Indicadores E3, E6 E10, E12 y O4 para la Etapa Pre-operativa, constituye la totalidad de los requisitos aplicables a la Unidad Funcional 0. </t>
  </si>
  <si>
    <t>Se aclara que en la tabla 4 del Apendice Técnico 4 se consignan los indicadores de estado del pavimento que aplican para la Uf 0. De otra parte, se precisa que para una mejor comprensión se dividirán las obligaciones de la UF0, por lo que se realizará el ajuste en el Apendice Tecnico 4 y se publicará el documento con los Pliegos de Condiciones Definitivos.</t>
  </si>
  <si>
    <t>y Apéndice Técnico 4</t>
  </si>
  <si>
    <t>De cara a la definición de Mejoramiento (numeral 6.2(iii), Apéndice Técnico 1), solicitiamos a la ANI se indique: ¿Cuál es el alcance específico e integral de las obras a realizar en los dos tramos que otorgan puntaje por Factor de Calidad (numeral 7.2.1. Apéndice Técnico 1. Matapalo - La Herradura y Villa Rica - Caloto)?</t>
  </si>
  <si>
    <t>Es el alcance de intervenciones necesarias para cumplir con los parámetros geométricos que se definen en el Apéndice Técnico 1, y se exigen en los demás Apéndices especialmente el Apéndice Técnico 3. Sobre estos parámetros debe tenerse en cuenta que estos tramos son vías de categorías terciaria y secundaria.</t>
  </si>
  <si>
    <t>Teniendo en cuenta que las Unidades Funcionales 1 y 2 tienen la condición combinada de calzada sencilla y doble, solicitamos a la ANI nos aclare si en términos de Factor de Calidad: (i) ¿la longitud mínima a incluir con mezcla asfáltica modificada con grano de caucho (10 % de cada Unidad Funcional), es indistinta del número de calzadas sobre el que se aplique la misma? y (ii) ¿Dicha longitud podría corresponder al 10% de la longitud total del proyecto y llevar a cabo la implementación de la totalidad de la misma en una sola unidad funcional?</t>
  </si>
  <si>
    <t>Se informa al interesado que se incluirán ajustes para aclarar la cuantificación del porcentaje en el Pliego de Condiciones</t>
  </si>
  <si>
    <t>Numeral 7.2, Aparte 7.2.2.</t>
  </si>
  <si>
    <t>En el Indicador E4 sobre el Coeficiente de Rozamiento Transversal, no se establece la distancia del reporte del valor puntual. Por ejemplo, cada 20 m. Por lo anterior, amablemente le solicitamos a la ANI indicar la distancia del reporte del valor puntual.</t>
  </si>
  <si>
    <t>Apéndice Técnico 4</t>
  </si>
  <si>
    <t>El Indicador E4. Se relaciona como la Normatividad Específica Aplicable: NLT 336/92 (Scrim), TRRL Report 337 e INVE-815-13 (Griptester). Sin embargo, no se indica la normatividad aplicable para el equipo Mu-Meter, el cual hace parte de los equipos de medición relacionados en el numeral 4.4 del Apéndice Técnico 4 y que además es el equipo existente y actualmente de mayor uso en el país. Por lo tanto, solicitamos a la ANI indicar la normatividad específica aplicable para el equipo Mu-Meter.</t>
  </si>
  <si>
    <t>Apéndice Técnico 4, numeral 4.4</t>
  </si>
  <si>
    <t>Al respecto, consideramos necesario que se especifique cuál es el proceso estandarizado que permite establecer la fórmula de paso para la obtención de los valores de CRT. Teniendo en cuenta que existen algunas correlaciones entre algunos tipos de equipo, pero todas difieren entre sí. Adicionalmente, gran parte de la bibliografía sobre el tema indica que las medición de este indicador con diferentes tipos de equipos no es comparable.</t>
  </si>
  <si>
    <t>Por lo anterior, se sugiere especificar el valor requisito para el equipo Mu-Meter, para el Scrim y para el Griptester (estandarizando las variables de ejecución del ensayo: velocidad de medición, caudal de agua a aplicar, espesor lámina de agua), y de este modo eliminar la ambigüedad y/o controversias que genera la mencionada "fórmula de paso".</t>
  </si>
  <si>
    <t>En caso de no ser aceptada la observación anterior. Solicitamos amablementen a la Entidad, establecer el procedimiento de obtención de la fórula de paso.</t>
  </si>
  <si>
    <t xml:space="preserve">Para el Indicador E16. Capacidad Estructural. Solicitamos respetuosamente eliminar la restricción de medición de deflexiones tomadas a más de 35°C, tal como lo indica la guía de rehabilitación. Teniendo en cuenta que este aspecto, consignado en la Guía Metodológica Invías (2008) a la que se hace referencia, obedeció a un error de traducción de la Norma ASTM4694. En la norma de ensayo INVE798-13 este aspecto ya fue corregido y se puede observar en la misma, con total claridad que tal restricción mencionada no existe para las mediciones con equipo Deflectómetro de Impacto. </t>
  </si>
  <si>
    <t xml:space="preserve">La obligación de la ANI en relación con la entrega de la infraestructura identificada en el Apéndice Técnico 1 del  Contrato, se limita a la entrega de los predios y las obras existentes en el estado en el que se encuentren, y en ningún caso conlleva la obligación por parte de la ANI de entregar la totalidad de los predios correspondientes a las Fajas del Proyecto, ni de entregar las obras existentes o predios en un estado material o jurídico determinado. Entendemos que los valores prediales asociados a este riesgo se pagarían con cargo a los valores de la subcuenta de predios, favor confirmar si nuestro entendimiento es correcto. </t>
  </si>
  <si>
    <t xml:space="preserve">3.6 (e) Contrato, Parte Especial </t>
  </si>
  <si>
    <t>Esta sección del Contrato establece que en caso de  Reversión Especial, ésta se hará constar en un Acta de Reversión, donde se detallarán las obras y bienes recibidos y su estado al momento de la reversión, y se verificará el cumplimiento de los Indicadores señalados en el Apéndice Técnico 4. Al menos tres (3) meses antes de la Fecha de Reversión Especial, el Concesionario deberá iniciar las labores tendientes a realizar la Reversión Especial de estos tramos, para lo cual aplicará mutatis mutandi las disposiciones de la Sección 9.7(d) de la Parte General. Durante dicho plazo el Concesionario continuará ejecutando las labores de Operación y Mantenimiento de los tramos a revertir y tendrá derecho a recibir la Retribución asociada a los respectivos tramos.</t>
  </si>
  <si>
    <t xml:space="preserve">3.10 (c) Contrato, Parte Especial </t>
  </si>
  <si>
    <t>Les solicitamos a la ANI aclarar si toda la regulación  que aplica para la reversión final aplicaría para la reversión especial.</t>
  </si>
  <si>
    <t>En la fórmula de retribución del numeral 4.3(e) de la P.E. se indica que "t": Mes en el cual se presenta la controversia respecto a la Retribución del Concesionario.</t>
  </si>
  <si>
    <t>4.3 (e) Contrato, Parte Especial</t>
  </si>
  <si>
    <t xml:space="preserve">En la fórmula se hace referencia a que "t" es el mes en el cual se presenta la controversia por parte del Concesionario. Sin embargo, no es claro a qué mes corresponde. Solicitamos a la ANI confirmar si "t" corresponde (i) al Mes en el que se presenta el desacuerdo entre las Partes o (ii) al mes cuando se acude al amigable componedor o al tribunal. </t>
  </si>
  <si>
    <t>La obligación de la ANI en relación con la entrega de la infraestructura identificada en el Apéndice Técnico 1 del presente Contrato, se limita a la entrega de los predios y las obras existentes en el estado en el que se encuentren, y en ningún caso conlleva la obligación por parte de la ANI de entregar la totalidad de los predios correspondientes a las Fajas del Proyecto, ni de entregar las obras existentes o predios en un estado material o jurídico determinado. En este sentido, solicitamos respetuosamente a la ANI que confirme si los valores prediales asociados a este riesgo se pagarían con cargo a los valores de la subcuenta de predios?</t>
  </si>
  <si>
    <t>3.6 (e) Parte Especial</t>
  </si>
  <si>
    <t>El numeral en cuestión indica que la Reversión Especial se hará constar en un Acta de Reversión, donde se detallarán las obras y bienes recibidos y su estado al momento de la reversión, y se verificará el cumplimiento de los Indicadores señalados en el Apéndice Técnico 4. Al menos tres (3) meses antes de la Fecha de Reversión Especial, el Concesionario deberá iniciar las labores tendientes a realizar la Reversión Especial de estos tramos, para lo cual aplicará mutatis mutandi las disposiciones de la Sección 9.7(d) de la Parte General. Durante dicho plazo el Concesionario continuaráejecutando las labores de Operación y Mantenimiento de los tramos a revertir y tendrá derecho a recibir la Retribución asociada a los respectivos tramos.</t>
  </si>
  <si>
    <t>3.10 (c) Contrato, Parte Especial</t>
  </si>
  <si>
    <t>Teniendo en cuenta lo anterior, solicitamos respetuosamente a la ANI que confirme si todo lo que aplica para la reversión final aplicaría para esta reversión especial? Incluso el plazo de 180 días?</t>
  </si>
  <si>
    <t>El Concesionario declara y garantiza que una vez suscrito el presente Contrato y durante toda su ejecución, informará a la ANI de manera semestral la composición de su capital social, si pertenece o no a un grupo económico empresarial, así como toda la información relevante de índole jurídico, comercial o financiero de la sociedad de objeto único, sus representantes legales, socios y/o accionistas relacionada con la ejecución del presente Contrato.</t>
  </si>
  <si>
    <t>2.6 (a)(xvi) Contrato, Parte General</t>
  </si>
  <si>
    <t>Solicitamos amablemente a la Entidad aclarar cuál es la información a la que están haciendo referencia.</t>
  </si>
  <si>
    <t>Con la presentación de la solicitud, el Concesionario acepta que por cada Día de plazo adicional solicitado para terminar la Unidad Funcional, se generará un valor a favor de la ANI por el monto previsto para el efecto en la Parte Especial multiplicado por el número de Días que quiere ampliar el plazo máximo de ejecución por cada Unidad Funcional de conformidad con las Sección 4.10(e)siguiente de esta Parte General y se pagará en la forma establecida en la Sección 4.10(k) de esta Parte General.</t>
  </si>
  <si>
    <t>4.10 (c) Contrato, Parte General</t>
  </si>
  <si>
    <t>Una vez revisada la observación esta se encuentra procedente, por lo que se realizará el respectivo ajuste en la Minuta del Contrato, precisando en la Sección 4.10 de la Parte General que, el valor a pagar por la compra de plazo será equivalente a los Días efectivamente utilizados para terminar la Unidad Funcional y no a todo el plazo adicional sin sanciones solicitado por el Concesionario.</t>
  </si>
  <si>
    <t>En caso de no existir mutuo acuerdo para que procedan las causales previstas en las Secciones 17.2(b)(i) y 17.2(b)(iii) se deberá acudir al Amigable Componedor para que apruebe la respectiva terminación anticipada del Contrato.</t>
  </si>
  <si>
    <t>17.2 (f) Contrato, Parte General</t>
  </si>
  <si>
    <t>Teniendo en cuenta que la controversia se refiere a las causales de terminación anticipada, solicitamos a la ANI aclarar si el amigable componedor debe aprobar que las causales de las secciones mencionadas están dadas más no la terminación anticipada?</t>
  </si>
  <si>
    <t>Arh Para los Meses h posteriores a la Fecha de Inicio se reconocerán exclusivamente los costos asociados con las siguientes actividades y se deberán verificar por parte del Interventor los siguientes criterios: (A) que hayan sido ejecutadas para contribuir a satisfacer el interés público, (B) que estén estrictamente asociadas al objeto del Contrato, (C) que los costos correspondan a precios de mercado asociados a las condiciones particulares del Proyecto al momento de su causación de acuerdo con la modalidad contractual y (D) que el bien y/o servicio haya sido debidamente entregado y/o prestado.</t>
  </si>
  <si>
    <t>18.3 (c), (d), (e) Contrato, Parte General</t>
  </si>
  <si>
    <t>Con respecto al literal C) el tema de precios de mercado es bastante subjetivo lo que podría dar fácilmente origen a controversias, esto podría afectar la financiación del proyecto por incluirle algo subjetivo a la fórmula. Por lo tanto, solicitamos a la Entidad eliminar este criterio.</t>
  </si>
  <si>
    <t>Adicionalmente, con respecto al literal D) el hecho de que no haya sido entregado o no se haya terminado de prestar no quiere decir que no exista una obligación contractual entre el Concesionario y el proveedor en el marco del Contrato de Concesión. El bien o servicio pudo haber sido contratado y estar en proceso de construcción, ejecución. En este sentido, solicitamos a la ANI ajustar la redacción de este criterio.</t>
  </si>
  <si>
    <t>Arh El valor reconocido por estas actividades se definirá con base en los valores brutos efectivamente pagados. En el momento de la terminación pueden existir compromisos que tengan que ser pagados de cosas que estén en ejecución o incluso facturas pendientes de pago, al tercero eventualmente se le van a reconocer los recursos y en ese caso debería tenerse en cuenta en la fórmula de terminación. Por lo anterior, solicitamos a la ANI ajustar la fórmula de terminación.</t>
  </si>
  <si>
    <t xml:space="preserve">POWERCHINA INTERNATIONAL GROUP LTD, 4/05/2020 , </t>
  </si>
  <si>
    <t>Riesgo comercial asignado al Privado sin garantía de ingreso mínima por parte del estado:</t>
  </si>
  <si>
    <t xml:space="preserve">Matriz de Riesgos </t>
  </si>
  <si>
    <t>Sea lo primero indicar que, en la estructuración de proyectos de Asociación Público Privada, una acertada asignación de riesgos e inclusión de medidas de mitigación, asociados con demanda de tráfico en infraestructura de transporte, promueve y hace atractiva la participación del sector privado. Caso contrario, se disminuye el interés de los privados en este tipo de proyectos, ya que se pueden generar sobre costos para las partes y además repercute en el manejo de otros riesgos y obligaciones del proyecto, como lo es el de la financiación del mismo.</t>
  </si>
  <si>
    <t>Solicitamos a la entidad respetuosamente analice y ajuste el riesgo comercial asignado en su totalidad al privado sin garantía de ingreso mínimo, por las siguientes razones:</t>
  </si>
  <si>
    <t>1. Los estudios de tráfico y demanda utilizados para la estructuración del proyecto no han sido realizados por los interesados, razón por la cual no es posible para el interesado validar en un 100% la información allí contenida, las metodologías de los conteos, las situaciones en las cuales se tomaron los datos, entre otras muchas variables, que pueden haber influido en los resultados de dichos estudios.</t>
  </si>
  <si>
    <t>2. El riesgo de tráfico resulta difícilmente controlable por el privado, dado que aparte del nivel de servicio, este riesgo depende de muchas otras variables que no son sencillas de predecir, ni manejar, como lo son el comportamiento económico y el desarrollo urbano de las regiones, los planes de desarrollo de los municipios, del Gobierno Nacional, entre otras variables socio-económicas-demográfica-políticas fuera del alcance del privado.</t>
  </si>
  <si>
    <t>3. Algunos estudios de acceso público han demostrado que comúnmente se presentan errores en la estimación del tráfico para un proyecto de infraestructura de transporte, en promedio en el 60% para México y 40% para Colombia.</t>
  </si>
  <si>
    <t>4. La banca nacional e internacional, así como las aseguradoras, tampoco pueden validar ni asumir como propio los estudios de demanda; razón por la cual el proyecto será difícilmente financiado.</t>
  </si>
  <si>
    <t>5. La mitigación del riesgo comercial a través de un ingreso mínimo garantizado por parte del Estado se justifica desde una perspectiva económica, dado que los modelos financieros de los concesionarios tienen poca flexibilidad en sus costos de CAPEX y OPEX, además el ajuste a las tarifas de los peajes se encuentra limitada y nunca será proporcional a escenarios de demanda distintos a los de la estructuración.</t>
  </si>
  <si>
    <t>STRABAG S.A.S.</t>
  </si>
  <si>
    <t xml:space="preserve">En este contexto enfatizamos que el día de ayer 5 de mayo de 2020, el Gobierno Nacional anunció que se extendería el aislamiento preventivo obligatorio hasta el 25 de mayo de 2020 y es razonable asumir, con base en el desarrollo y efectos del COVID-19 en el país que dicho aislamiento se extienda aún más. </t>
  </si>
  <si>
    <t xml:space="preserve">Así las cosas, a la fecha no se presentan las circunstancias que permitan realizar actividades necesarias para la Licitación incluyendo, pero sin limitarse, a revisión técnica del estado actual de la vía, estudios de tráfico, revisión de aspectos prediales, ambientales, trabajo de diseños, entre muchas otras actividades que necesariamente se deben adelantar físicamente en el proyecto objeto de la Licitación. </t>
  </si>
  <si>
    <t xml:space="preserve">Adicionalmente, ni en la normatividad expedida por el Gobierno Nacional ni por las autoridades locales, existen excepciones claras al aislamiento preventivo obligatorio para poder desarrollar las actividades enunciadas en el párrafo anterior, con lo cual existe una incertidumbre enorme frente a la viabilidad de poder realizar dichas actividades. </t>
  </si>
  <si>
    <t xml:space="preserve">Con fundamento en lo anterior, reiteramos nuestra solicitud de aplazar como mínimo en diez (10) semanas (2.5 meses) todas las fechas relacionadas con la Licitación, tal y como están previstas por la ANI en el Aviso Modificatorio No 1 a la Licitación. </t>
  </si>
  <si>
    <t>Lo anterior resulta fundamental para garantizar la pluralidad de oferentes y una adecuada estructuración de las eventuales ofertas por parte de los actores del mercado.</t>
  </si>
  <si>
    <t xml:space="preserve">TÉCNICA </t>
  </si>
  <si>
    <t>JURÍDICA - CONTRATACIÓN</t>
  </si>
  <si>
    <t xml:space="preserve">TÉCNICA – JURÍDICA ESTRUCTURACIÓN </t>
  </si>
  <si>
    <t xml:space="preserve">FINANCIERA </t>
  </si>
  <si>
    <t>JURÍDICA – CONTRATACIÓN</t>
  </si>
  <si>
    <t>JURÍDICA Y FINANCIERO</t>
  </si>
  <si>
    <t>JURÍDICO – CONTRATACIÓN</t>
  </si>
  <si>
    <t>JURÍDICA -CONTRATACIÓN</t>
  </si>
  <si>
    <t xml:space="preserve">, JURÍDICA - ESTRUCTURACIÓN </t>
  </si>
  <si>
    <t>JURÍDICIO - ESTRUCTURACIÓN</t>
  </si>
  <si>
    <t>JURÍDICO - ESTRUCTURACIÓN</t>
  </si>
  <si>
    <t>JURÍDICA – ESTRUCTURACIÓN Y CONTRATACIÓN</t>
  </si>
  <si>
    <t>JURIDICA – ESTRUCTURACIÓN.</t>
  </si>
  <si>
    <t>JURÍDICA – ESTRUCTURACIÓN Y RIESGOS</t>
  </si>
  <si>
    <t xml:space="preserve">FINANCIERA Y JURÍDICA – </t>
  </si>
  <si>
    <t>JURÍDICA Y RIESGOS</t>
  </si>
  <si>
    <t xml:space="preserve">FINANCIERO </t>
  </si>
  <si>
    <t>FINANCIERO Y JURÍDICO – ESTRUCTURACIÓN</t>
  </si>
  <si>
    <t>JURIDICO – ESTRUCTURACIÓN</t>
  </si>
  <si>
    <t>JURÍDICA - ESTRUCTURACIÓN</t>
  </si>
  <si>
    <t>JURIDICA - ESTRUCTURACION</t>
  </si>
  <si>
    <t>JURIDICA ESTRUCTURACIÓN</t>
  </si>
  <si>
    <t xml:space="preserve"> JURÍDICA – ESTRUCTURACIÓN Y FINANCIERA</t>
  </si>
  <si>
    <t>JURÍDICA – ESTRUCTURACCIÓN</t>
  </si>
  <si>
    <t>JURÍDICA – ESTRUCTURACIÓN</t>
  </si>
  <si>
    <t xml:space="preserve">JURIDICA – ESTRUCTRACIÓN YTECNICO </t>
  </si>
  <si>
    <t>JURÍDICA – ESTRUCTURACIÓN Y DEFENSA JUDICIAL</t>
  </si>
  <si>
    <t>TÉCNICO Y JURÍDICO – ESTRUCTURACIÓN</t>
  </si>
  <si>
    <t xml:space="preserve">SANCIONATORIO </t>
  </si>
  <si>
    <t>FINANCIERA - GARANTÍAS</t>
  </si>
  <si>
    <r>
      <t>FINANCIERA</t>
    </r>
    <r>
      <rPr>
        <sz val="8"/>
        <rFont val="Calibri"/>
        <family val="2"/>
      </rPr>
      <t> </t>
    </r>
    <r>
      <rPr>
        <sz val="11"/>
        <rFont val="Arial Narrow"/>
        <family val="2"/>
      </rPr>
      <t xml:space="preserve"> JURÍDICO – ESTRUCTURACIÓN.</t>
    </r>
  </si>
  <si>
    <t>FINANCIERA – RIESGOS TECNICA JURIDICA</t>
  </si>
  <si>
    <t>FINANCIERA – RIESGOS</t>
  </si>
  <si>
    <t xml:space="preserve">FINANCIERA – RIESGOS </t>
  </si>
  <si>
    <t xml:space="preserve">AMBIENTAL  </t>
  </si>
  <si>
    <t>JURÍDICA – ESTRUCTURACIÓN Y FINANCIERA – RIESGOS</t>
  </si>
  <si>
    <t>JURÍDICO – ESTRUCTURACIÓN</t>
  </si>
  <si>
    <t>JURÍDICA – DEFENSA JUDICIAL</t>
  </si>
  <si>
    <t xml:space="preserve">FINANICERA </t>
  </si>
  <si>
    <t xml:space="preserve"> FINANCIERA – GARANTÍAS</t>
  </si>
  <si>
    <t>JURÍDICA -ESTRUCTURACIÓN</t>
  </si>
  <si>
    <t>AMBIENTAL</t>
  </si>
  <si>
    <t xml:space="preserve">PREDIAL </t>
  </si>
  <si>
    <t xml:space="preserve">TÉCNICA Y JURÍDICA - ESTRUCTURACIÓN </t>
  </si>
  <si>
    <t>FINANCIERO JURÍDICA -ESTRUCTURACIÓN</t>
  </si>
  <si>
    <t>FINANCIERA Y RIESGOS</t>
  </si>
  <si>
    <t>JURÍDICA – ESTRUCTURACIÓN JURÍDICA – CONTRATACIÓN</t>
  </si>
  <si>
    <t>JURÍDICA – ESTRUCTURACIÓN Y JURÍDICA – CONTRATACIÓN</t>
  </si>
  <si>
    <t xml:space="preserve">FINANCIERO – SEGUROS </t>
  </si>
  <si>
    <t>FINANCIERA – SEGUROS</t>
  </si>
  <si>
    <t>FINANCIERA - SEGUROS</t>
  </si>
  <si>
    <t>JURÍDICO – ESTRUCTURACIÓN FINANCIERA</t>
  </si>
  <si>
    <t>TÉCNICA JURÍDICA - ESTRUCTURACIÓN</t>
  </si>
  <si>
    <t xml:space="preserve">FINANCIERA Y JURÍDICA – ESTRUCTURACIÓN </t>
  </si>
  <si>
    <t xml:space="preserve">FINACIERO RIESGOS </t>
  </si>
  <si>
    <t>JURÍDICA – ESTRUCTURACIÓN FINANCIERA</t>
  </si>
  <si>
    <t xml:space="preserve">JURÍDICA – ESTRUCTURACIÓN Y FINANCIERO </t>
  </si>
  <si>
    <t>FINANCIERA Y JURÍDICA ESTRUCTURACIÓN</t>
  </si>
  <si>
    <t xml:space="preserve">JURÍDICA ESTRUCTURACIÓN - TECNICA RIESGO  </t>
  </si>
  <si>
    <t>FINANCIERA RIESGOS</t>
  </si>
  <si>
    <t>FINANCIERA JURÍDICA</t>
  </si>
  <si>
    <t>JURÍDICA FINANCIERA</t>
  </si>
  <si>
    <t>FINANCIERA – RIESGOS TÉCNICA</t>
  </si>
  <si>
    <t>–JURÍDICA – ESTRUCTURACIÓN</t>
  </si>
  <si>
    <t xml:space="preserve">FINANCIERA – </t>
  </si>
  <si>
    <t>–FINANCIERA</t>
  </si>
  <si>
    <t>JURÍDICIA – DEFENSA JUDICIAL</t>
  </si>
  <si>
    <t>FINANCIERA AMBIENTAL</t>
  </si>
  <si>
    <t>JURÍDICO – SANCIONATORIO</t>
  </si>
  <si>
    <t>TECNICA RIESGOS</t>
  </si>
  <si>
    <t>JURIDICA - ESTRUCTURACIÓN</t>
  </si>
  <si>
    <t>FINANCIERA SEGUROS</t>
  </si>
  <si>
    <t> FINANCIERA</t>
  </si>
  <si>
    <t xml:space="preserve">JURÍDICA ESTRUCTURACIÓN-TÉCNICA </t>
  </si>
  <si>
    <t>JURÍDICA TÉCNICA</t>
  </si>
  <si>
    <t>TÉCNICA FINANCIERA</t>
  </si>
  <si>
    <t>–JURÍDICA - ESTRUCTURACIÓN</t>
  </si>
  <si>
    <t>–JURÍDICO –SANCIONATORIO</t>
  </si>
  <si>
    <t>–TÉCNICA</t>
  </si>
  <si>
    <t>JURÍDICA – ESTRUCTURACIÓN FINANCIERA SEGUROS</t>
  </si>
  <si>
    <t xml:space="preserve">JURÍDICA – ESTRUCTURACIÓN Y CONTRATACIÓN </t>
  </si>
  <si>
    <t xml:space="preserve">JURÍDICA – ESTRUCTURACIÓN </t>
  </si>
  <si>
    <t xml:space="preserve"> JURÍDICA – ESTRUCTURACIÓN </t>
  </si>
  <si>
    <t xml:space="preserve">JURÍDICA – </t>
  </si>
  <si>
    <t xml:space="preserve"> TÉCNICA</t>
  </si>
  <si>
    <t xml:space="preserve">  TÉCNICA</t>
  </si>
  <si>
    <t>AMBIENTAL TÉCNICA</t>
  </si>
  <si>
    <t>TÉCNICA AMBIENTAL</t>
  </si>
  <si>
    <t xml:space="preserve"> TÉCNICA AMBIENTAL</t>
  </si>
  <si>
    <t xml:space="preserve">JURIDICA CONTRATACION </t>
  </si>
  <si>
    <t>JURÍDICA PREDIAL</t>
  </si>
  <si>
    <t>JURIDICA – ESRUCTURACIÓN</t>
  </si>
  <si>
    <t> TÉCNICA</t>
  </si>
  <si>
    <t xml:space="preserve">FINANCIERA  RIESGOS  </t>
  </si>
  <si>
    <t>FINANCIERA JURÍDICA - ESTRUCTURACIÓN</t>
  </si>
  <si>
    <t xml:space="preserve">JURÍDICA – CONTRATACIÓN  </t>
  </si>
  <si>
    <t>JURÍDICA CONTRATACIÓN- ESTRUCTURACIÓN </t>
  </si>
  <si>
    <t>FINANCIERA RIESGOS </t>
  </si>
  <si>
    <t>TÉCNICA RIESGOS</t>
  </si>
  <si>
    <t> TÉCNICA RIESGOS</t>
  </si>
  <si>
    <t> TÉCNICA JURÍDICA -ESTRUCTURACIÓN</t>
  </si>
  <si>
    <t>FINANCIERA RIESGOS SOCIAL</t>
  </si>
  <si>
    <t>FINANCIERA  </t>
  </si>
  <si>
    <t xml:space="preserve">TÉCNICA FINANCIERA </t>
  </si>
  <si>
    <t>TÉCNICA </t>
  </si>
  <si>
    <t>FINANCIERA JURÍDICA - CONTRATACIÓN</t>
  </si>
  <si>
    <t>FINANCIERA SEGUROS </t>
  </si>
  <si>
    <t>TECNICO - PREDIAL</t>
  </si>
  <si>
    <t>TECNICO</t>
  </si>
  <si>
    <t>TÉCNICA-</t>
  </si>
  <si>
    <t xml:space="preserve"> FINANCIERA</t>
  </si>
  <si>
    <t>JURÍDICA - SANCIONATORIO</t>
  </si>
  <si>
    <t>JURIDICA – ESTRUCTURACIÓN Y CONTRATACIÓN</t>
  </si>
  <si>
    <t>JURÍDICA CONTRATACIÓN</t>
  </si>
  <si>
    <t xml:space="preserve">FINANCIERA JURÍDICA- ESTRUCTURACIÓN </t>
  </si>
  <si>
    <t>FINANCIERA JURÍDICA – ESTRUCTURACIÓN Y CONTRATACIÓN</t>
  </si>
  <si>
    <t>FINANCIERA JURÍDICA – ESTRUCTURACIÓN</t>
  </si>
  <si>
    <t>JURÍDICA - ESTRUCTURACIÓN </t>
  </si>
  <si>
    <t xml:space="preserve">TÉCNICA  SOCIAL </t>
  </si>
  <si>
    <t>JURÍDICA – ESTRUCTURACIÓN  FINANCIERA</t>
  </si>
  <si>
    <t xml:space="preserve">AMBIENTAL – FINANCIERA </t>
  </si>
  <si>
    <t>FINANCIAERA JURÍDICA</t>
  </si>
  <si>
    <t xml:space="preserve">DEFENSA JUDICIAL </t>
  </si>
  <si>
    <t>RIESGOS FINANCIERA</t>
  </si>
  <si>
    <t xml:space="preserve">JURÍDICA - ESTRUCTURACIÓN </t>
  </si>
  <si>
    <t xml:space="preserve">JURÍDICA PREDIAL </t>
  </si>
  <si>
    <t xml:space="preserve">FINANCIERA RIESGOS </t>
  </si>
  <si>
    <t xml:space="preserve">TÉNICA </t>
  </si>
  <si>
    <t>TÉCNICA PREDIAL</t>
  </si>
  <si>
    <t>JURÍDICA ESTRUCTURACIÓN FINANCIERA</t>
  </si>
  <si>
    <t>TÉCNICA JURÍDICA</t>
  </si>
  <si>
    <t>JURÍDICA – ESTRUCTURACIÓN Y FINANCIERA</t>
  </si>
  <si>
    <t>FINANCIERA TÉCNICA</t>
  </si>
  <si>
    <t>JURÍDICA – ESTRUCTURACIÓN RIESGOS</t>
  </si>
  <si>
    <t>JURÍDICO PREDIAL</t>
  </si>
  <si>
    <t>TÉCNICO AMBIENTAL</t>
  </si>
  <si>
    <t xml:space="preserve">JURÍDICA </t>
  </si>
  <si>
    <t>JURIDICA ESTRUCTURACION</t>
  </si>
  <si>
    <t>JURIDICO - CONTRATACIÓN</t>
  </si>
  <si>
    <t>JURÍDICO – CONTRATACIÓN Y ESTRUCTURACIÓN</t>
  </si>
  <si>
    <t xml:space="preserve">JURÍDICA – ESTRUCTURACIÓN- FINANCIERA RIESGOS </t>
  </si>
  <si>
    <t>JURÍDICA CONTRATACIÓN Y ESTRUCTURACIÓN</t>
  </si>
  <si>
    <t xml:space="preserve">JURÍDICA – FINANCIERA RIESGOS- TECNICA </t>
  </si>
  <si>
    <t xml:space="preserve">FINANCIERA SEGUROS </t>
  </si>
  <si>
    <t xml:space="preserve">TÉCNICA AMBIENTAL </t>
  </si>
  <si>
    <t>JURIDICA – DEFENSA JUDICIAL</t>
  </si>
  <si>
    <t xml:space="preserve">FINANCIERA JURÍDICA - ESTRUCTURACIÓN </t>
  </si>
  <si>
    <t>TÉCNICA SOCIAL</t>
  </si>
  <si>
    <t xml:space="preserve">SEGUROS FINANCIERA </t>
  </si>
  <si>
    <t xml:space="preserve">TÉCNICA FINANCIERA RIESGOS </t>
  </si>
  <si>
    <t xml:space="preserve">JURIDICA ESTRUCTURACIÓN FINANCIERA </t>
  </si>
  <si>
    <t xml:space="preserve">JURÍDICA CONTRATACIÓN Y ESTRUCTURACIÓN FIANCIERA  </t>
  </si>
  <si>
    <t xml:space="preserve">FINANICERA RIESGOS- SOCIAL </t>
  </si>
  <si>
    <t xml:space="preserve">TECNICA </t>
  </si>
  <si>
    <t xml:space="preserve">AMBIENTAL </t>
  </si>
  <si>
    <t xml:space="preserve">JURÍDICO ESTRUCTURACION – FINANCIERO </t>
  </si>
  <si>
    <t xml:space="preserve">FINANCIERA RIESGOS – SOCIAL </t>
  </si>
  <si>
    <t xml:space="preserve">JURÍDICA ESTRUCTURACIÓN </t>
  </si>
  <si>
    <t xml:space="preserve">TECNICA Y RIESGOS </t>
  </si>
  <si>
    <t>JURÍDICA ESTRUCTURACIÓN</t>
  </si>
  <si>
    <t xml:space="preserve">FINANCIERA RIESGOS – TECNICA JURIDICA </t>
  </si>
  <si>
    <t xml:space="preserve">TÉCNICA - </t>
  </si>
  <si>
    <t>JURÍDICA ESTRCUTURACIÓN</t>
  </si>
  <si>
    <t xml:space="preserve">FIANICERA – </t>
  </si>
  <si>
    <t>KMA CONSTRUCCIONES S.A.S.</t>
  </si>
  <si>
    <t>Contrato Parte Especial. CAPÍTULO II TABLA DE REFERENCIAS A LA PARTE GENERAL. 3.14(h)(iv)(2)</t>
  </si>
  <si>
    <t>financiera</t>
  </si>
  <si>
    <t>(...)</t>
  </si>
  <si>
    <t xml:space="preserve">2. En segundo lugar y previo a cualquier otro fondeo, a la Subcuenta creada para la UF 0 dentro de la Subcuenta Recaudo Peaje, con el porcentaje correspondiente a la UF0 señalado en la Sección 4.1 de esta Parte Especial. </t>
  </si>
  <si>
    <t>De acuerdo con lo anterior solicitamos aclarar si el porcentaje correspondiente a la UF0 señalado en la Sección 4.1 de esta Parte Especial se aplicaría sobre los recursos TOTALES provenientes del recaudo de peaje o sobre los recursos remanentes después de surtir el Paso 1.</t>
  </si>
  <si>
    <t>En ese sentido, sugerimos la siguiente redacción:</t>
  </si>
  <si>
    <t xml:space="preserve">2. En segundo lugar y previo a cualquier otro fondeo, </t>
  </si>
  <si>
    <t>después de efectuar los fondeos descritos en los numerales anteriores, con los recursos remanentes, a la Subcuenta creada para la UF 0 dentro de la Subcuenta Recaudo Peaje, con el porcentaje correspondiente a la UF0 señalado en la Sección 4.1 de esta Parte Especial.</t>
  </si>
  <si>
    <t>4. En cuarto lugar y con posterioridad a los anteriores fondeos, a las Subcuentas creadas para las demás UF dentro de la Subcuenta de Recaudo con los recursos remanentes del Recaudo de Peaje con el porcentaje correspondiente a cada UF señalado en la Sección 4.1 de esta Parte Especial."</t>
  </si>
  <si>
    <t>A efecto de garantizar que el 100% de los recursos remanentes, después de aplicar los fondeos descritos en los numeral 1, 2 y 3, puedan ser asignados debidamente, solicitamos corregir la redacción del numeral 4, particularmente en el período donde se deba fondear la subcuenta contingencias, en el sentido de incluir nuevamente a la UF0 en la distribución correspondiente a cada UF señalado en la Sección 4.1 de esta Parte Especial. De lo contrario, se estaría dejando de fondear el porcentaje asignado a la mencionada UF0 del mencionado remanente. Por consiguiente, sugerimos la siguiente redacción:</t>
  </si>
  <si>
    <t>“El desarrollo de las obligaciones ambientales pendientes de cumplimiento y obligaciones por ejecutar establecidas en el Apéndice Técnico 6, deberá iniciar desde la suscripción del Acta de Inicio o la expedición de la Orden de Inicio. En todo caso, si a la fecha en la cual se haga la Entrega de la Infraestructura ya se han cumplido algunas de las obligaciones ambientales, estas se entenderán automáticamente excluidas del objeto de este Contrato y no harán parte del alcance del Proyecto, por lo cual cesarán las obligaciones del Concesionario respecto de la(s) actividad(es) así excluida(s), y el monto de cada una de ellas indicado en las siguientes tablas será trasladado por parte del Concesionario a la Subcuenta Excedentes ANI, previa instrucción expresa y escrita de la ANI, en un plazo máximo de cuarenta y ocho (48) meses contado a partir de la suscripción del Acta de Inicio de la Fase de Construcción.”</t>
  </si>
  <si>
    <t>Contrato Parte Especial. CAPÍTULO III ASPECTOS GENERALES. SECCION 3.6 (h)</t>
  </si>
  <si>
    <t>Ambiental</t>
  </si>
  <si>
    <t>Contrato Parte Especial. CAPÍTULO III ASPECTOS GENERALES. SECCION 3.6 (h) (ii)</t>
  </si>
  <si>
    <t>Contrato Parte Especial. CAPÍTULO III ASPECTOS GENERALES. SECCION 3.11.1 (a)</t>
  </si>
  <si>
    <t xml:space="preserve">técnica </t>
  </si>
  <si>
    <t xml:space="preserve">Por lo anterior les solicitamos que la compra de los predios asociadas al factor de calidad, sean realizadas por la subcuenta de predios y se mantenga idéntica la asignación de riesgos entre público y privado. </t>
  </si>
  <si>
    <t>Contrato Parte Especial.</t>
  </si>
  <si>
    <t xml:space="preserve">La entidad considera pertinente la observación y realizará los ajustes que considere procedentes al respecto. </t>
  </si>
  <si>
    <t xml:space="preserve"> 4.1 Porcentaje de Participación de las Unidades Funcionales</t>
  </si>
  <si>
    <t>CAPÍTULO IV ASPECTOS ECONÓMICOS DEL CONTRATO. SECCION 4.1</t>
  </si>
  <si>
    <t>Como se describe en Apéndice Técnico 1, el Proyecto está dividido en seis (6) Unidades Funcionales (incluida una Unidad Funcional de Operación y Mantenimiento) a las cuales se les asigna el siguiente porcentaje de participación en el Proyecto, para efectos del cálculo de la Retribución para cada Unidad Funcional.</t>
  </si>
  <si>
    <t>De acuerdo con lo anterior solicitamos comedidamente se corrijan los porcentajes asignados a los períodos: Desde el Mes 37 hasta el Mes 42, Desde el Mes 43 hasta el Mes 48 y Desde el Mes 61 hasta el Mes 102, toda vez que la sumatoria es inferior al 100%, probablemente este asociado a decimales.</t>
  </si>
  <si>
    <t>CAPÍTULO IV ASPECTOS ECONÓMICOS DEL CONTRATO</t>
  </si>
  <si>
    <t>CAPÍTULO IV ASPECTOS ECONÓMICOS DEL CONTRATO. SECCION 4.4</t>
  </si>
  <si>
    <t>Predios</t>
  </si>
  <si>
    <t>CAPÍTULO IV ASPECTOS ECONÓMICOS DEL CONTRATO. SECCION 4.5 (a) (i)</t>
  </si>
  <si>
    <t>Conforme lo anterior, es menester señalar que los fondeos como se tienen dispuestos, hacen necesariamente que las condiciones del proyecto sean aún mucho más onerosas para el Estado, pues la colocación de los aportes en la Subcuenta, y no dar utilización de los mismos implica propiamente que no se utilicen tales recursos de manera eficiente.</t>
  </si>
  <si>
    <t>Del mismo modo, no guarda relación alguna, proceder con el fondeo o aporte en un periodo que abarque los primeros ocho (8) Aportes relacionados, como quiera que la adquisición predial debe tener aval de interventoría en el sentido de contar con un estudio de zonas homogéneas, ficha predial, avaluó aprobado, todo ello de manera previa a presentar la oferta a los propietarios. Por lo anterior se le solicita a la ANI que los Aportes en mención se deben correr por lo menos en Ocho (8) meses, periodo que atiende a la fase de pre-construcción y fecha estimada de aprobación.</t>
  </si>
  <si>
    <t>financiera técnica</t>
  </si>
  <si>
    <t>CAPÍTULO IV ASPECTOS ECONÓMICOS DEL CONTRATO. SECCION 4.5 (c)</t>
  </si>
  <si>
    <t xml:space="preserve">Se aclara al interesado que de acuerdo con lo previsto en la sección 3.14 (h) (vi) (7), se estipula que los aportes adicionales en los que incurra el concesionario mencionados en la sección  3.14 (h) (vi) (6) serán pagados por la Entidad al concesionario; lo cual está en línea con la asignación del riesgo al público. </t>
  </si>
  <si>
    <t>CAPÍTULO IV ASPECTOS ECONÓMICOS DEL CONTRATO. SECCION 4.5 (d)</t>
  </si>
  <si>
    <t>técnica</t>
  </si>
  <si>
    <t>CAPÍTULO IV ASPECTOS ECONÓMICOS DEL CONTRATO. SECCION 4.5 (g)</t>
  </si>
  <si>
    <t>Se considera que no es procedente y se aclara que los costos asociados a estas transferencias se encuentran contemplados dentro de la estructuración financiera del proyecto, por lo cual  NO deben ser asumidos con cargo a la misma subcuenta.</t>
  </si>
  <si>
    <t>CAPÍTULO IV ASPECTOS ECONÓMICOS DEL CONTRATO. SECCION 4.5 (h) (iv)</t>
  </si>
  <si>
    <t>No se considera procedente la observación respecto al uso de los recursos de la  Subcuenta de Depósito Especial Mencionada, teniendo en cuenta que estos tienen una destinación especifica.</t>
  </si>
  <si>
    <t>CAPÍTULO IV ASPECTOS ECONÓMICOS DEL CONTRATO. SECCION 4.5 (h) (viii)</t>
  </si>
  <si>
    <t>Se informa al interesado que no se acepta su observación. En caso de que el Concesionario adquiera mayor área a la requerida para el proyecto se causará una Multa por un valor equivalente al área adquirida en exceso, toda vez que eso excede el área requerida para el Proyecto. En todo caso, si el Concesionario considera necesario adquirir Predios en exceso para el desarrollo del mismo, la titularidad de las mismas se mantendrá en cabeza de la ANI.</t>
  </si>
  <si>
    <t>predial</t>
  </si>
  <si>
    <t>CAPÍTULO VI SANCIONES Y ESQUEMAS DE APREMIO. SECCION 6.1 (g)</t>
  </si>
  <si>
    <t>Se informa al interesado que no se acepta su observación. La información requerida por la Interventoría corresponderá a las necesidades particulares del Proyecto y del momento en el cual se haga dicha solicitud. Adicionalmente, se recuerda al interesado que la imposición de Multas siempre estará precedida del procedimiento señalado en el artículo 86 de la Ley 1474 de 2011 o las normas que lo modifiquen, complementen o sustituyan.</t>
  </si>
  <si>
    <t>CAPÍTULO VI SANCIONES Y ESQUEMAS DE APREMIO. SECCION 6.1 (h)</t>
  </si>
  <si>
    <t>Se informa al interesado que no se acepta su observación. De acuerdo con la Sección 6.1 (p), la obligación de estar al día en el pago de salario, prestaciones sociales y parafiscales no sólo aplica para los   empleados del Concesionario, sino para cualquier trabajador (ya sea del Concesionario, de los Contratistas o Subcontratistas)</t>
  </si>
  <si>
    <t>CAPÍTULO VI SANCIONES Y ESQUEMAS DE APREMIO. SECCION 6.1 (p)</t>
  </si>
  <si>
    <t>CAPÍTULO VI SANCIONES Y ESQUEMAS DE APREMIO. SECCION 6.1 (s)</t>
  </si>
  <si>
    <t>CAPÍTULO VI SANCIONES Y ESQUEMAS DE APREMIO. SECCION 6.1 (u)</t>
  </si>
  <si>
    <t>SECCION 6.2 Valor de la Cláusula Penal:</t>
  </si>
  <si>
    <t xml:space="preserve">Se informa al interesado que no se acepta su observación. La Entidad considera que los valores establecidos son razonables de acuerdo con las condiciones del Proyecto y en todo caso están en cumplimiento con los límites establecidos en la ley para el efecto. </t>
  </si>
  <si>
    <t>CAPÍTULO VI SANCIONES Y ESQUEMAS DE APREMIO. SECCION 6.2</t>
  </si>
  <si>
    <t xml:space="preserve"> Seguros</t>
  </si>
  <si>
    <t>CAPÍTULO VII GARANTÍAS</t>
  </si>
  <si>
    <t>SECCION 7.4 (c) (ii)</t>
  </si>
  <si>
    <t xml:space="preserve">Aunado a lo anterior, es importante mencionar que los proyectos de Concesión conocidos como de cuarta generación, igualmente disponen que el amparo de la responsabilidad civil en la Fase de Operación y Mantenimiento es el mismo que el contemplado para la Construcción propiamente; de ahí la importancia que se mantenga esa proporción o igualdad en ambas Fases, tal como ha quedado ilustrado en el inciso que precede, así como porque de tener un amparo superior como se encuentra regulado, necesariamente repercute en el encarecimiento del proyecto y la disminución de posibilidades de llegar a ser objeto de un crédito el mismo. </t>
  </si>
  <si>
    <t>SECCION 7.5</t>
  </si>
  <si>
    <t>NUMERACIÓN DE PÁGINAS DEL CONTRATO PARTE ESPECIAL.</t>
  </si>
  <si>
    <t xml:space="preserve">Se informa al interesado que el documento publicado corresponde al Contrato Parte Especial en su totalidad. Por un error en la numeración dice que son 65 páginas, sin embargo, son sólo 52. Se procederá a ajustar la numeración en el documento definitivo. </t>
  </si>
  <si>
    <t>Duran &amp; Osorio Abogados Asociados, 6/05/2020</t>
  </si>
  <si>
    <t>Seguro de Obras Civiles: el Contrato Parte General en la sección 12.8 (a) (i)  establece que el seguro deberá cubrir el daño  "independientemente de la causa que genere el daño". Esto no reconoce que usualmente hay exclusiones de reaseguro y de ley que no permitirán garantizar la indemnización independientemente de la causa del daño, motivo por el cual se sugiere modificar la redacción para que la póliza cubra los daños que pueda llegar a sufrir la infraestructura de dacuerdo con las condiciones establecidas en el apéndice financiero 3</t>
  </si>
  <si>
    <t xml:space="preserve">Parte General </t>
  </si>
  <si>
    <t xml:space="preserve">Seguro de Obras Civiles: Les solicitamos aclarar que para la infraetructura existente el valor del seguro pueda ser el de pérdida máxima probable o del 100% del valor de la infraestructura según se defina el concesionario con el mercado asegurador. </t>
  </si>
  <si>
    <t xml:space="preserve">Seguro de Obras Civiles: Les pedimos permitir que se generen sublimites comercialesa en esa póliza como es el LEG 3 y la de remoción de escombros. Esto dado que si se aplica lo consignado en la sección 12.7 no será comercialmente posible conseguir estos seguros. </t>
  </si>
  <si>
    <t xml:space="preserve">Les solicitamos aclarar cual sería la garantía de lucro cesante que debe ser obtenida en los términos del apéndice financiero y especialmente cuales son las coberturas con que se deberá contar. </t>
  </si>
  <si>
    <t xml:space="preserve">Apéndice Financiero Póliza de Obras Civiles Sección I y II. </t>
  </si>
  <si>
    <t xml:space="preserve">Maquinaria Amarilla: Les pedimos permitir en la sección 12.8 (b) que la garantía de maquinaria amarilla pueda ser tomado por el concesionario y/o por el Contratista EPC. </t>
  </si>
  <si>
    <t xml:space="preserve">Solicitamos a la ANI que ante un EER, se cubra por parte de la ANI los costos adicionales de seguros derivados del mayor plazo del contrato. Esto porque de acuerdo con lo estipulado en la sección 14.2 (f) (iii) se está trasladando una carga sobre una situación por fuera del control del concesionario. </t>
  </si>
  <si>
    <t xml:space="preserve">Pédimos se permita incluir como asegurado adicional en la póliza de obras civiles al contratista EPC, quien estará desarrollando las obras y evitando así un doble aseguramiento.  </t>
  </si>
  <si>
    <t xml:space="preserve">Les pedimos aclarar que los endosos de los seguros a que se refieren en el apéndice son facultartivos. </t>
  </si>
  <si>
    <t xml:space="preserve">Seguro de RCE: Se solicita revisar los valores dado que están muy por encima del mercado, especialmente al aumentar para la etapa de O&amp;M casí 5 veces cuando el riesgo es menor, llegando a un valor de 935 mil millones, a todas luces exagerado. Esto además excede la disposición legal del artículo 2.2.1.2.3.1.17 del decreto 1082 de 2015. </t>
  </si>
  <si>
    <t xml:space="preserve">Seriedad de la Oferta: Les pedimos que para la garantía de seriedad se permitan reasegurdores BBB-, como lo permiten por regulación en el REACOEX. Esto para permitir que las garantías sean reaseguradas por los agentes que a juicio de la Superintendencia Financiera son aceptables. </t>
  </si>
  <si>
    <t>Cumplimiento: Se solicita a la ANI eliminar la solicitud del ANEXO 21 CONDICIONES DE COLOCACIÓN DE LAS GARANTÍAS, eliminando no solo el Anexo 21, también el aparte al que hace referencia a este Anexo en el Numeral 4.1.14 (a) Tipos de garantías (i) Contrato de seguro contenido en una póliza “Adicionalmente, deberá venir acompañada de una certificación expedida por el asegurador en la que declare las condiciones de la colocación de la garantía (según el modelo que se adjunta al presente Pliegos como Anexo 21).”. Lo anterior por considerarse redundante ya que la Superintendencia Financiera de Colombia regula ya la materia de colocación de reaseguros de las compañías de seguros.</t>
  </si>
  <si>
    <t xml:space="preserve">Seriedad de la Oferta: en el numeral 4.1.14 del pliego de condiciones se establece "Las garantías, cualquiera que sea su naturaleza, deberán estar constituidas con Bancos Aceptables”, lo que contradice la posibilidad de otros tipos de garantías como son las pólizas. </t>
  </si>
  <si>
    <t xml:space="preserve">Se acepta la observación y se elimina la expresión "Las garantías, cualquiera que sea su naturaleza, deberán estar constituidas con Bancos Aceptables. " </t>
  </si>
  <si>
    <t xml:space="preserve">Cumplimiento: Se solicita a la ANI eliminar la cobertura de no renovación de las pólizas, en la medida que contradice la posibilidad de divisibilidad de las garantías que establece el Articulo 2.2.1.2.3.1.3 del Decreto 1082 de 2015. Esto de manera tal que si se cumple con el pre aviso de 6 meses, no se pueda afetcar la garantía expedida o de lo contratio no será posible conseguir dichas garantías. </t>
  </si>
  <si>
    <t>Cumplimiento: Según lo establecido en el documento CONTRATO DE CONCESIÓN BAJO EL ESQUEMA DE APP No. su CAPÍTULO VII GARANTÍAS clausula 7.1 Valor y Vigencia del Amparo de Cumplimiento literal (b) inciso (i) Etapa Pre-operativa se establece como valor del amparo de cumplimiento una suma de Doscientos Treinta Y Ocho Mil Quinientos Dos Millones Cuatrocientos Ochenta Y Cuatro Mil Ochocientos Tres Pesos del Mes De Referencia ($238.502.484.803) y (ii) Etapa Operación y Mantenimiento se establece como valor del amparo de cumplimiento una suma de Quinientos Setenta Y Cinco Mil Setecientos Cincuenta Y Un Millones Cuatrocientos Veintidós Mil Trescientos Sesenta Y Siete Pesos Del Mes De Referencia ($575.751.422.367), la determinación de dichos valores no guarda consistencia con los parámetros definidos en el Decreto 1082 de 2015, Artículos 2.2.1.2.3.1.3. Indivisibilidad de la garantía. De acuerdo con lo anterior se solicita a la ANI calcular el valor asegurado para cada Etapa del Contrato, Periodo Contractual o unidad funcional, tomando el valor de las obligaciones del contratista para cada Etapa del Contrato, Contractual o unidad funcional y de acuerdo con las reglas de suficiencia de la garantía de cumplimiento Decreto 1082 en su Artículo 2.2.1.2.3.1.12. “Si el valor del contrato es superior a un millón (1.000.000) de SMMLV y hasta cinco millones (5.000.000) de SMMLV, la Entidad Estatal puede aceptar garantías que cubran al menos el dos punto cinco por ciento (2,5%) del valor del contrato”, se solicita a la ANI evaluar la posibilidad de una reducción significativa del valor de esta garantía en proporción al ítem que se pretende amparar así como a las limitaciones de capacidad del mercado de seguros y reaseguros global, el no reducir el valor asegurado en este amparo podría dificultar la obtención de las Garantías de la LICITACIÓN PÚBLICA No. VJ-VE-APP- IPB-001-2020. y afectar el término y cierre de la Licitación. Por último, es importante anotar que los valores asegurados exceden de manera muy significativa y quizá desproporcionada los valores definidos y establecidos en el CAPÍTULO VI SANCIONES Y ESQUEMAS DE APREMIO.</t>
  </si>
  <si>
    <t xml:space="preserve">Salarios y Prestaciones sociales: Les pedimos revisar los valores de los amparos, dado que no guardan relación con las etapas, ni con lo establecido en el Decreto 1082 de 2015. </t>
  </si>
  <si>
    <t>Parte General - Parte Especial</t>
  </si>
  <si>
    <t>SENDA, 8/05/2020</t>
  </si>
  <si>
    <t>- Agencia calificadora/Calificación mínima admisible</t>
  </si>
  <si>
    <t>- Standard &amp; Poor´s/BBB-.</t>
  </si>
  <si>
    <t>- M. Best/B+</t>
  </si>
  <si>
    <t>- Fitch/BBB-</t>
  </si>
  <si>
    <t>- Moody´s/Baa3"</t>
  </si>
  <si>
    <t>En razón de lo anterior y teniendo en cuenta las importantes necesidades de capacidad demandadas en éste proyecto, se hace necesario no limitar la participación de Reaseguradores dado que el mercado local en sus contratos automáticos de reaseguro no cuenta con la capacidad suficiente para respaldar éste tipo de proyectos, en especial para la Etapa Contractual del proceso una vez celebrado el Contrato de Concesión, razón por la cual se solicita a la Entidad eliminar la restricción de acceso a mercados de reaseguro para la garantía de seriedad de la oferta, con la eliminación del numeral (ii) citado antes, levantando las restricciones de acceso al mercado de Reaseguro Facultativo, claro está manteniendo lo definido por la Superintendencia Financiera de Colombia respecto del Registro de REACOEX.</t>
  </si>
  <si>
    <t>Pliego de Condiciones y Anexo 21</t>
  </si>
  <si>
    <t>Lo anterior por considerarse redundante ya que la Superintendencia Financiera de Colombia ya regula la materia de colocación de reaseguros de las compañías de seguros.</t>
  </si>
  <si>
    <t>Al respecto se observa que el citado numeral puede generar confusiones ya que se está generalizando a Bancos Aceptables como entidad para su constitución según la garantía que se escoja, cabe precisar que los Incisos (i) (ii) (iii) (iv) son clases de garantías según lo indicado en el decreto Decreto 1082 de 2015, Artículo 2.2.1.2.3.1.2 sin embargo para la clase de garantía inciso (1) Contrato de seguro contenido en una póliza no es aplicable lo indicado Bancos Aceptables, razón por la cual se solicita a la Entidad aclarar el numeral 4.1.14 precisando que el inciso (v) (1) no es aplicable para la garantía suscrita por medio de Contrato de seguro contenido en una póliza.</t>
  </si>
  <si>
    <t>Contrato</t>
  </si>
  <si>
    <t>Se solicita a la Entidad precisar en la cláusula 2.5 Etapas de Ejecución Contractual Inciso (iii) Etapa de reversión del Contrato - Parte General, la duración de la Etapa de Reversión, conforme Ia definición de la clausula 1.143 Plazo Máximo de la Etapa de Reversión del pliego de condiciones, que indica que corresponde a ciento ochenta (180) días contados a partir de la Fecha de Terminación de la Etapa de Operación y Mantenimiento conforme a lo previsto en la Sección 2.4(b) de la Parte General del Contrato.</t>
  </si>
  <si>
    <t>Lo anterior para en aras de realziar el cálculo de las garantías de forma correcta conforme el Capitulo VII Garantías y Seguros del Contrato.</t>
  </si>
  <si>
    <t>En el Contrato de concesión, Capítulo VII garantías, clausula 7.1 Valor y Vigencia del Amparo de Cumplimiento literal (b) inciso (i) Etapa Pre-operativa se establece como valor del amparo de cumplimiento una suma de doscientos treinta y ocho mil quinientos dos millones cuatrocientos ochenta y cuatro mil ochocientos tres pesos del mes de referencia ($238.502.484.803) y (ii) etapa operación y mantenimiento se establece como valor del amparo de cumplimiento una suma de quinientos setenta y cinco mil setecientos cincuenta y un millones cuatrocientos veintidós mil trescientos sesenta y siete pesos del mes de referencia ($575.751.422.367).</t>
  </si>
  <si>
    <t xml:space="preserve">solicitamos a la entidad contratante la aclaracion valor obligaciones fases, reduccion de valores asegurados garantia unica de cumplimiento, amparo de cumplimiento: según lo establecido en el documento. </t>
  </si>
  <si>
    <t>SENDA</t>
  </si>
  <si>
    <t>En línea con la observación anterior, se solicita reducir el valor de la garantía de cumplimiento en proporción al ítem que se pretende amparar así como a las limitaciones de capacidad del mercado de seguros y reaseguros global, aclarando que el no reducir el valor asegurado en este amparo podría dificultar la obtención de las Garantías del proceso de selección y la pluralidad de oferentes en la presente convocatoria.</t>
  </si>
  <si>
    <t xml:space="preserve">Es importante anotar que los valores asegurados exceden de manera muy significativa y quizá desproporcionada los valores definidos y establecidos en el CAPÍTULO VI SANCIONES Y ESQUEMAS DE APREMIO. </t>
  </si>
  <si>
    <t>En el Contrato Parte General, Capítulo VII, Garantías, cláusula 7.2 valor y vigencia del amparo de pago de salarios y prestaciones sociales literal (b) inciso (i) (ii) y (iii) se indican los valores asegurados mínimos aplicables para el amparo de pago de salarios y prestaciones sociales para cada una de las etapas y fases.</t>
  </si>
  <si>
    <t>DURÁN &amp; OSORIO ABOGADOS, 11/05/2020</t>
  </si>
  <si>
    <t>De acuerdo con lo establecido en la Sección 2.3. del proyecto de Pliego de Condiciones, el plazo entre la Resolución de Apertura de la Licitación Pública y el cierre del plazo de la Licitación Pública es tan solo de tres meses. En nuestra experiencia, este plazo es insuficiente para que los interesados preparen una propuesta competitiva para presentarle a la ANI. Para un proyecto de esta naturaleza, con el monto de inversión del mismo y con la complejidad técnica que el mismo tiene, el plazo usual para la preparación de la propuesta es de aproximadamente 6 meses. Este tiempo sería el plazo mínimo que se requiere, por parte de los Interesados, para poder adelantar los estudios que se consideran indispensables para montar el presupuesto, negociar los términos del contrato EPC, negociar los términos del SPV entre los socios que harán parte de la sociedad concesionaria, hacer las correspondientes validaciones con los potenciales financiadores del proyecto, entre muchas otras actividades que se deben adelantar antes de llegar a presentar una Oferta competitiva en un proceso licitatorio con estas características. Por lo tanto, se solicita de manera respetuosa a la entidad que para la apertura de la Licitación Pública este plazo en el cronograma que se prevea desde el inicio, sea de al menos 6 meses.</t>
  </si>
  <si>
    <t>SISTEMA INTEGRADO DE GESTIÓN</t>
  </si>
  <si>
    <t>PROCESO</t>
  </si>
  <si>
    <t>GESTIÓN DE LA CONTRATACIÓN PÚBLICA</t>
  </si>
  <si>
    <t>FORMATO</t>
  </si>
  <si>
    <t>MATRIZ RESPUESTA A OBSERVACIONES</t>
  </si>
  <si>
    <t>RESPUESTA A OBSERVACIONES</t>
  </si>
  <si>
    <t>No.</t>
  </si>
  <si>
    <t xml:space="preserve">EMPRESA QUE OBSERVA </t>
  </si>
  <si>
    <t>TIPO DE OBSERVACIÓN (TÉCNICA, JURÍDICA, FINANCIERA, ETC.)*</t>
  </si>
  <si>
    <t>John Laing, 13/05/2020</t>
  </si>
  <si>
    <t>Contrato Parte General
sección 6.3</t>
  </si>
  <si>
    <t>Técnica y Jurídica</t>
  </si>
  <si>
    <t>Se informa al interesado que no se acepta su observación. La entidad considera que los eventos incluidos en la Sección 6.3 (b) del contrato son razonables y responden a las necesidades del Proyecto.</t>
  </si>
  <si>
    <t>Contrato Parte General
sección 6.3 (b)</t>
  </si>
  <si>
    <t>Solicitamos ajustar las formulas de Liquidación y Terminación anticipada del contratopara que en toda la vida del proyecto reconozcan el Equity aportado y todos los costos del proyecto independientemente de las fuentes disponibles. Equity aportadfo con posterioridad (Equity Contingente).</t>
  </si>
  <si>
    <t>Contrato Parte General numeral 8.1 Gestión Social y Ambiental (d)</t>
  </si>
  <si>
    <t>Por favor aclarar si las obligaciones para la vía Salida Palmira – Pradera, Salida Palmira – Candelaria, y para Intersección Sameco, previo a ser realizadas y/o una vez realizadas las obligaciones previstas y/o una vez entregada la infraestructura, se deben ejecutar obligaciones de Operación y/o Mantenimiento Rutinario y/o Mantenimiento Periódico. Así mismo por favor especificar el procedimiento de entrega, los tiempos y costos asociados. Por último por favor aclarar para cada caso la entidad a la cual se le hará la entrega de la mencionada infraestructura.</t>
  </si>
  <si>
    <t>Apéndice Técnico 1 numeral 4.7 Infraestructura de Reversión Especial</t>
  </si>
  <si>
    <t>Por favor aclarar si las obligaciones para Vía la Herradura – Matapalo y para la Vía la Villa Rica – Caloto, previo a ser realizadas y/o una vez realizadas las obligaciones previstas y/o una vez entregada la infraestructura, se deben ejecutar obligaciones de Operación y/o Mantenimiento Rutinario y/o Mantenimiento Periódico. Así mismo por favor especificar el procedimiento de entrega, los tiempos y costos asociados. Por último por favor aclarar para cada caso la entidad a la cual se le hará la entrega de la mencionada infraestructura.</t>
  </si>
  <si>
    <t>Apéndice Técnico 1 numeral 7.2 Factor de Calidad</t>
  </si>
  <si>
    <t>(h) Subcuenta Depósito Especial del Recaudo.
Solicitamos a la ANI evaluar la posibilidad que durante los años que tarde la recuperación económica del país, derivados de los impactos económicos de la pandemia actual COVID-19 o posteriores que se puedan o no presentar, se contemple con el objeto de mitigar el riesgo de tráfico que afectan al proyecto y por ende los ingresos para el Concesionario; la ANI se reserve el Treinta y Siete coma Veintiocho por ciento (37,28%) del total del Recaudo de Peaje obtenido de las Estaciones de Peaje del Proyecto, transferidas por el Concesionario (sección 3.7 dela Parte Especial).</t>
  </si>
  <si>
    <t>Parte Especial numeral 4.5 Fondeo de Subcuentas del Patrimonio Autónomo.</t>
  </si>
  <si>
    <t>Si la anterior solicitud no fuera tenida en cuenta, solicitamos a la ANI que con abse en los estudios de tráfico aportados en el marco del proceso licitatorio genere Línea base y active un mecanismo de compensación como el DR 8 para los primeros años del contrato y sucesivamente en caso de presentarse una nueva pandemia.</t>
  </si>
  <si>
    <t>TRÁFICO</t>
  </si>
  <si>
    <t>SENDA, 13/05/2020</t>
  </si>
  <si>
    <t>El numeral 7.1 del Pliego de condiciones que indica el orden de presentación de los documentos, anexos y formatos de la licitación, está requiriendo dos (2) veces la acreditación del documento consorcial en los literales (f) y (u). Favor corregir.</t>
  </si>
  <si>
    <t xml:space="preserve">Se informa al interesado que se acepta su observación y se hará la modificación correspondiente. </t>
  </si>
  <si>
    <t>Entendemos que el Acuerdo de Garantía (Anexo No. 3) solamente deberá ser suscrito por el oferente o en caso de estructuras plurales por el integrante que acredite la Experiencia en Inversión y o la Capacidad Financiera, así mismo entendemos que si estos requisitos son acreditados por el integrante a traves de terceros (matriz, sociedades controladas) éstos no deberán suscribir el Anexo No. 3. Favor confirmar que nuestro entendimiento es correcto.</t>
  </si>
  <si>
    <t>Acuerdo de Garantía</t>
  </si>
  <si>
    <t>Dentons Cárdenas &amp; Cárdenas</t>
  </si>
  <si>
    <t xml:space="preserve">Financiación- Compromiso en firme </t>
  </si>
  <si>
    <t>Parte General - Sección 3.8(a)(i)</t>
  </si>
  <si>
    <t xml:space="preserve">Por favor aclarar a qué se refieren con un compromiso “en firme” sobre la financiación para certificar el cierre financiero, y en qué se diferenciaría de la certificación que se solicitaba para el cierre financiero de los proyectos de 4G. Consideramos que los bancos podrían emitir una carta de compromiso sujeta a la aprobación final de los comités de crédito, la celebración final de los contratos de financiación y al cumplimiento de las condiciones precedentes estándares para este tipo de financiaciones. Entendemos que “compromiso en firme” se refiere a una certificación en este sentido. Favor confirmar nuestro entendimiento. </t>
  </si>
  <si>
    <t>795.               </t>
  </si>
  <si>
    <t xml:space="preserve">Plazo para el Cierre Financiero </t>
  </si>
  <si>
    <t>Parte Especial – Capítulo II –Tabla de Referencias a la Parte General</t>
  </si>
  <si>
    <t>Sección 3.8(a)</t>
  </si>
  <si>
    <t>Tenemos los siguientes comentarios y solicitudes:</t>
  </si>
  <si>
    <t>(i)  Consideramos que el plazo de 360 días para el Cierre Financiero no es suficiente, por lo que amablemente solicitamos que se otorgue un plazo mucho mayor. Destacamos que, en los Contratos 4G la inmensa mayoría de los proyectos obtuvieron Cierre Financiero entre 2 o 4 años después de las respectivas fechas de inicio. En otras palabras, si ese hubiese sido el parámetro en los contratos 4G prácticamente ningún concesionario hubiese cumplido con dicha obligación.</t>
  </si>
  <si>
    <t>(ii) Adicionalmente, los 360 días para acreditar el Cierre Financiero en los términos que lo solicita la ANI no guardan correspondencia con los plazos para realizar los Giros de Equity a los que se refiere la Sección 4.4 del Borrador de la Parte Especial. De hecho, el 97% aproximadamente de la totalidad de los Giros de Equity se debe realizar dentro de los mismos 360 días, con lo cual es claro que varios o todos esos Giros de Equity se realizarán con recursos de los socios del proyecto y no con financiación.</t>
  </si>
  <si>
    <t>(iii)         Solicitamos considerar la posibilidad de que el plazo para que el Concesionario presente la totalidad de la documentación para acreditar el Cierre Financiero se cuente a partir de la fecha en la que se suscriba el Acta de Inicio de la Fase de Construcción, y no a partir de la Fecha de Inicio. Lo anterior en la medida en que, para obtener compromisos en firme de financiadores, éstos requieren que todos los requisitos para dar inicio a la construcción se hayan cumplido, lo cual se puede acreditar con el Acta de Inicio de la Fase de Construcción. En la Fecha de Inicio todavía hay varios temas esenciales que están pendientes, tales como las Licencias Ambientales, Estudios de Trazado y Diseño, etc.</t>
  </si>
  <si>
    <t>796.               </t>
  </si>
  <si>
    <t>Plazo de nueve meses para presentar contrato de crédito</t>
  </si>
  <si>
    <t>Parte General - Sección 3.8 (c)</t>
  </si>
  <si>
    <t xml:space="preserve">Entendemos que el riesgo de financiación es totalmente transferido al concesionario. Por tanto, la mitigación del mismo corresponde a los desarrolladores del proyecto y la incapacidad de obtener el financiamiento no debe ser una razón para que los desarrolladores no cumplan con sus obligaciones bajo el contrato de concesión. </t>
  </si>
  <si>
    <t xml:space="preserve">Entendemos que el objetivo es asegurar el adecuado fondeo del proyecto para una exitosa construcción del mismo, pero en otros países de la región (Perú u Argentina) hemos visto que este tipo de cláusulas han afectado a los proyectos negativamente. </t>
  </si>
  <si>
    <t>Para la implementación de este tipo de cláusulas aconsejamos revisar la experiencia de mercados como Canadá y la Unión Europea. En tales casos, la autoridad ha obtenido todos los permisos ambientales, sociales y se dispone de los predios necesarios con anterioridad a la publicación de la licitación.</t>
  </si>
  <si>
    <t>797.               </t>
  </si>
  <si>
    <t xml:space="preserve">Posibles multas al concesionario durante la toma de posesión </t>
  </si>
  <si>
    <t xml:space="preserve">Minuta del Contrato. Parte General. Sección 3.12 (c) </t>
  </si>
  <si>
    <t>Entendemos que a partir de la notificación para toma de posesión o de la notificación del derecho de toma de posesión, no habrá lugar a la imposición de multas al concesionario, ni al inicio de procesos sancionatorios para imponerlas. Solicitamos confirmar nuestro entendimiento y si así es, dejarlo expreso en el contrato de concesión. Este es un aspecto importante para la bancabilidad del proyecto.</t>
  </si>
  <si>
    <t>798.               </t>
  </si>
  <si>
    <t xml:space="preserve">Sanciones diferentes a las multas </t>
  </si>
  <si>
    <t>Minuta del Contrato. Parte General. Numeral 1.112 y Capítulo X</t>
  </si>
  <si>
    <t xml:space="preserve">Comentarios: </t>
  </si>
  <si>
    <t xml:space="preserve">(i)  Entendemos que la única “Sanción” prevista en el Contrato de Concesión, según los términos de la definición mencionada, es la cláusula penal consagrada en la sección 10.6. Favor confirmar nuestro entendimiento. </t>
  </si>
  <si>
    <t xml:space="preserve">(ii) Si hubiere otras Sanciones, por favor precisar cuáles son y solicitamos que se les fije un límite o tope máximo como lo tienen las multas y la cláusula penal. </t>
  </si>
  <si>
    <t>799.               </t>
  </si>
  <si>
    <t xml:space="preserve">Compensación por imposibilidad de recaudar peajes, elusión y otros.  </t>
  </si>
  <si>
    <t>Minuta del Contrato. Parte General Sección 3.3(g) y 3.3(h)</t>
  </si>
  <si>
    <t>La Sección 3.3(g) consagra una compensación a cargo de la ANI cuando se haga imposible el recaudo de peajes, cuando se demuestre la Elusión y otros. Respecto a este punto, nos permitimos hacer las siguientes observaciones y solicitudes:</t>
  </si>
  <si>
    <t xml:space="preserve">i)    Solicitamos que se elimine el término de 90 días durante el cual no se generará compensación alguna a cargo de la ANI. Al tratarse de un proyecto cuyo único ingreso será el tráfico, este lapso tendrá un impacto en el flujo de caja y en la liquidez del proyecto y en general en la bancabilidad del mismo. Además, si dichos 90 días aplican por cada evento de los allí referidos en toda la duración del Contrato de Concesión y se materializan los mismos 4 o 5 veces, puede ocurrir que no haya ningún tipo de compensación para el Concesionario por periodos de 180 o 360 días o más, lo cual no se compadece con una distribución razonable de riesgos en materia de tráfico. </t>
  </si>
  <si>
    <t>ii)   El proceso para probar la elusión o afectación del tráfico no implica que la retribución por parte de la ANI no pueda ser retroactiva. Este aspecto puede llevar a que los financiadores requieran mayores cuentas de reserva, lo que puede afectar la viabilidad del proyecto.</t>
  </si>
  <si>
    <t>iii)  En lo que respecta al porcentaje que se le reconocerá al Concesionario por la compensación, consideramos que la ANI debe reconocer, en todos los casos, el 100% del recaudo esperado cuando suceda cualquiera de estas causales, y no solo el 90% establecido en esta Sección, por las mismas razones ya señaladas.</t>
  </si>
  <si>
    <t>800.               </t>
  </si>
  <si>
    <t xml:space="preserve">Elusión </t>
  </si>
  <si>
    <t>Minuta del Contrato. Parte General. Numeral 3.3(h)(i)(4)</t>
  </si>
  <si>
    <t xml:space="preserve">Consideramos que la regulación en el contrato del concepto de “Elusión” hace muy difícil que el Concesionario pueda tener acceso a la compensación correspondiente y por tanto afecta negativamente la bancabilidad del proyecto. Con el fin de que la Elusión sea un mecanismo efectivo, solicitamos respetuosamente lo siguiente: </t>
  </si>
  <si>
    <t>1.55 Parte General y Especial</t>
  </si>
  <si>
    <t xml:space="preserve">i)    Que se elimine la necesidad de un acto administrativo para su reconocimiento, pues su expedición podría tardar meses. Si no se acepta esta observación, solicitamos que se indique cuál es el procedimiento previo para la expedición del acto administrativo correspondiente y los tiempos para su expedición. </t>
  </si>
  <si>
    <t xml:space="preserve">ii)   Que se aligere la carga probatoria a cargo del concesionario para demostrar la Elusión, pues tal como está planteada hace casi imposible su cumplimiento. </t>
  </si>
  <si>
    <t>801.               </t>
  </si>
  <si>
    <t xml:space="preserve">Minuta del Contrato. Parte General: </t>
  </si>
  <si>
    <t xml:space="preserve">Sección 3.14(g)(ix), 4.2 (ee), </t>
  </si>
  <si>
    <t xml:space="preserve">La Subcuenta Cambio Climático, está definida de la siguiente manera:  </t>
  </si>
  <si>
    <t>Anexo Técnico 6 Ambiental - Sección 5.3</t>
  </si>
  <si>
    <t>(i)  La Sección 3.1(b) a la que hace referencia la sección 3.14 (g) (ix) no se refiere a fuentes de financiación sino a fuentes de la Retribución, por lo que solicitamos que se precise a qué se refiere esta Sección cuando habla de “fuentes de financiación diferentes”.</t>
  </si>
  <si>
    <t xml:space="preserve">(iii)         Si nuestro entendimiento es correcto, consideramos que esta obligación no debería ser atribuida al Concesionario, ya que se trata de actividades adicionales que no serán compensadas con la Retribución del Proyecto. </t>
  </si>
  <si>
    <t>802.               </t>
  </si>
  <si>
    <t xml:space="preserve">Entrega de la Infraestructura </t>
  </si>
  <si>
    <t xml:space="preserve">Minuta del Contrato. Parte General Secciones </t>
  </si>
  <si>
    <t>1.56 y 4.2(a)</t>
  </si>
  <si>
    <t>Parte Especial Sección 3.6(f)</t>
  </si>
  <si>
    <t xml:space="preserve">Tenemos las siguientes observaciones: </t>
  </si>
  <si>
    <t>Habrá entonces una infraestructura que se entregará unos pocos meses después de presentada la oferta y otra que se entregará años después. Así las cosas, este riesgo, de tener que recibir la infraestructura sin objeción o reserva alguna, no es razonable y no puede ser asumido por el oferente y eventual concesionario. Además del deterioro normal de este tipo de infraestructuras, en los meses y años siguientes a la presentación de la oferta puede suceder algún suceso imprevisto que afecte las condiciones de la infraestructura, que puede implicar unos costos mucho mayores a aquellos que razonablemente se pueden prever en la fase de oferta. Debemos resaltar que esto genera una alta incertidumbre sobre los costos del proyecto, por lo que se puede afectar su bancabilidad. Por lo anterior, solicitamos se autorice al Concesionario a objetar las condiciones en las que se encuentra la infraestructura al momento de recibirla y que se le reconozcan los costos adicionales que generen las intervenciones imprevistas derivadas del estado de la vía al momento de su entrega.</t>
  </si>
  <si>
    <t>803.               </t>
  </si>
  <si>
    <t>Parte Especial Sección 3.6(g)</t>
  </si>
  <si>
    <t>No se entiende la razón por la que el Concesionario tenga que trasladar los recursos por las intervenciones que tendría que hacer a estos tramos a la Subcuenta de Excedentes ANI, si la Sección 3.6(g) es clara al indicar que estos tramos quedarán excluidos del objeto y alcance del Contrato. Por lo anterior, solicitamos que se eliminen las disposiciones que obligan al Concesionario a depositar recursos en la Subcuenta de Excedentes ANI por obras que no realizará si no se le entrega la infraestructura.</t>
  </si>
  <si>
    <t>804.               </t>
  </si>
  <si>
    <t>Minuta del Contrato. Parte General 4.10(i), 10.2(b) y 19.3(d)</t>
  </si>
  <si>
    <t xml:space="preserve">Mayores costos de interventoría </t>
  </si>
  <si>
    <t>Estas secciones del contrato establecen los casos en los que el Concesionario está obligado a realizar fondeos adicionales a la Subcuenta de Interventoría y Supervisión:</t>
  </si>
  <si>
    <t xml:space="preserve">-       Plazo adicional sin sanciones </t>
  </si>
  <si>
    <t>-       Cuando el otorgamiento del Plazo de Cura implique la ampliación del plazo de la Fase de Preconstrucción o del plazo máximo del Plan de Obras por Unidad Funcional descrito en la Parte Especial.</t>
  </si>
  <si>
    <t xml:space="preserve">-       Obras voluntarias (para el seguimiento y control de la obra voluntaria) </t>
  </si>
  <si>
    <t xml:space="preserve">Consideramos que esta es una obligación cuyo costo es indeterminado y de imposible cálculo previo y que por lo tanto dificulta la bancabilidad del proyecto. Es necesario tener presente que el contrato de interventoría se firma con posterioridad a la suscripción de este contrato de concesión, y en todo caso después de presentadas las ofertas, por lo que los oferentes interesados en resultar adjudicatarios del contrato de concesión, no conocen el valor de dicho contrato de interventoría. En este mismo sentido, destacamos que el contrato de la interventoría (bien sea a través de uno o varios contratos subsecuentes) debería estar vigente durante toda la duración del contrato de concesión, por lo que no se observa qué costos adicionales habría en estos supuestos. </t>
  </si>
  <si>
    <t xml:space="preserve">Además, no hay manera de saber de antemano cuántos meses adicionales de interventoría va a ser necesario cubrir. A la vista de lo anterior, solicitamos que se eliminen estas obligaciones, dado que ponen una carga al Concesionario de difícil cálculo al presentar su oferta. </t>
  </si>
  <si>
    <t>805.               </t>
  </si>
  <si>
    <t xml:space="preserve">Minuta del Contrato. Parte General. Numerales 8.1 (d) 13.2(a)(iii) y </t>
  </si>
  <si>
    <t>Nuevas Consultas Previas</t>
  </si>
  <si>
    <t>Apéndice Técnico 1, capítulo IX sobre obligaciones de las Consultas Previas</t>
  </si>
  <si>
    <t>Así, teniendo en cuenta que la ley pone en cabeza de la ANI la obligación de concluir el proceso de consultas previas antes de abrir la licitación, consideramos que el riesgo de tener que hacer consultas previas adicionales con posterioridad a la celebración del contrato, debe ser asumido por la ANI. Se trata de una obligación a cargo del Estado por expresa disposición legal. Adicionalmente, la incertidumbre en esta materia y las implicaciones en costos de posibles consultas previas adicionales, dificulta la bancabilidad del proyecto. De hecho, en varios de los proyectos 4G una de las principales dificultades para obtener oportunamente los cierres financieros fue la incertidumbre asociada a las consultas previas, incluso y en varios casos, los concesionarios tuvieron que realizar consultas previas luego de que el respectivo proyecto contaba con licencia ambiental, lo cual de ningún modo puede ser atribuible al concesionario.</t>
  </si>
  <si>
    <t xml:space="preserve">Solicitudes: </t>
  </si>
  <si>
    <t xml:space="preserve">(i)  Por lo anterior, solicitamos respetuosamente que, si se llegare a requerir la realización de una o varias consultas previas con posterioridad a la celebración del Contrato, la ANI tenga la obligación de compensar plenamente al concesionario, en tiempo y en costo (tanto el costo de realizar los procedimientos de consulta como el cumplimiento de los compromisos que de dichas consultas se deriven). Esa situación no puede ser tratada como un Evento Eximente de Responsabilidad tal como está regulado en el contrato, pues éste da derecho al concesionario a una compensación apenas parcial que resulta totalmente insuficiente. </t>
  </si>
  <si>
    <t xml:space="preserve">(ii) Si la obra se paraliza o si el ritmo de su ejecución se afecta sustancialmente, el concesionario debe ser compensado plenamente, incluidos los costos financieros.   </t>
  </si>
  <si>
    <t>(iii)         Debe ser la ANI quien asuma el 100% del costo de los compromisos derivados de los acuerdos con las comunidades.</t>
  </si>
  <si>
    <t>806.               </t>
  </si>
  <si>
    <t>Minuta del Contrato. Parte General. Numeral 13.2(a)(vii)</t>
  </si>
  <si>
    <t xml:space="preserve">Cambios en los diseños </t>
  </si>
  <si>
    <t xml:space="preserve">Consideramos que no es razonable que el riesgo de las modificaciones del diseño sea asignado al concesionario en su totalidad. Los diseños pueden modificarse por diversos motivos, incluyendo solicitudes de la Interventoría, la ANI, autoridades ambientales, autoridades locales o incluso por la población; así, imponerle la carga al Concesionario de que asuma todos los sobrecostos que de ello se deriven no resulta razonable.  Solicitamos que la asignación de este riesgo sea replanteada.   </t>
  </si>
  <si>
    <t>807.               </t>
  </si>
  <si>
    <t xml:space="preserve">Evento Eximente de Responsabilidad </t>
  </si>
  <si>
    <t>Minuta del Contrato. Parte General. Sección 14.2 (g) (ii) y (iii).</t>
  </si>
  <si>
    <t xml:space="preserve">Solicitamos que, para tener derecho a la compensación por un Evento Eximente de Responsabilidad, no sea necesario que la obra se paralice totalmente, sino que se permita la disminución sustancial en el ritmo de ejecución de la misma. Lo anterior, por cuanto es altamente probable que los eventos eximentes de responsabilidad no causen una parálisis total de las obras, sino una disminución sustancial en su ritmo de ejecución.  </t>
  </si>
  <si>
    <t xml:space="preserve">Sugerimos la siguiente redacción: </t>
  </si>
  <si>
    <t>808.               </t>
  </si>
  <si>
    <t>COVID – 19 y sus efectos</t>
  </si>
  <si>
    <t>Minuta del Contrato.</t>
  </si>
  <si>
    <t>Parte Especial Sección 2.4(b)</t>
  </si>
  <si>
    <t xml:space="preserve">Teniendo en consideración que este contrato será adjudicado y celebrado en medio de la pandemia producida por el COVID-19, dada la incertidumbre frente a su duración y teniendo en cuenta el impacto que dicha pandemia ha tenido en los contratos de concesión en marcha, de manera respetuosa solicitamos que se incluyan disposiciones contractuales en virtud de las cuales sea la ANI quien, en determinados escenarios, asuma los riesgos correspondientes y que permitan que el concesionario sea compensado plenamente por sus efectos. </t>
  </si>
  <si>
    <t xml:space="preserve">En este orden de ideas, sugerimos que se incluyan disposiciones contractuales en los términos que indicamos a continuación: </t>
  </si>
  <si>
    <t xml:space="preserve">(i)   En caso de imposibilidad de recaudar peajes y/o en caso de disminución significativa de los mismos, el concesionario debe tener derecho a una compensación plena (100%) por menor recaudo que deberá ser reconocida desde el momento en que la medida mencionada sea implementada. </t>
  </si>
  <si>
    <t xml:space="preserve">(ii)  El contrato podrá adicionarse en plazo, con la consecuente adición del ingreso esperado, VPIP, con el propósito de compensar el efecto de la reducción en ingresos y el aumento de costos que se generen con ocasión de la pandemia causada por el COVID 19 o cualquier otra pandemia. </t>
  </si>
  <si>
    <t xml:space="preserve">(iii) En caso de parálisis, suspensión o disminución significativa en el ritmo de las obras, el concesionario tendrá derecho a ser compensado plenamente por los costos ociosos por la mayor permanencia en obra y además se le deben reconocer los costos financieros. </t>
  </si>
  <si>
    <t>809.               </t>
  </si>
  <si>
    <t xml:space="preserve">Multa por adquirir mayor área a la requerida </t>
  </si>
  <si>
    <t>Minuta del Contrato. Parte Especial. Numeral 6.1(g)</t>
  </si>
  <si>
    <t xml:space="preserve">Solicitamos que esta disposición sea eliminada, por las siguientes razones. </t>
  </si>
  <si>
    <t>ii)   El concesionario puede considerar, de buena fe y actuando de manera diligente y como experto en proyectos de infraestructura, que determinada área es requerida para el proyecto y la ANI y/o la interventoría pueden considerar lo contrario. Una sanción impuesta en estas circunstancias no resultaría ni justa ni razonable.</t>
  </si>
  <si>
    <t>810.               </t>
  </si>
  <si>
    <t>Multa por no suscripción del Acta de Inicio de la Fase de Construcción</t>
  </si>
  <si>
    <t>Minuta del Contrato. Parte Especial. Numeral 6.1(u)</t>
  </si>
  <si>
    <t>Favor aclarar si para la multa establecida en el literal (u) del numeral 6.1, aplica el Plazo de Cura y/o si hay un término máximo para su imposición. En caso afirmativo, favor indicar el Plazo de Cura y el término máximo de imposición.</t>
  </si>
  <si>
    <t>811.               </t>
  </si>
  <si>
    <t xml:space="preserve">Índice de Cumplimiento Predial y consecuencias </t>
  </si>
  <si>
    <t>Minuta Parte General. Sección 7.1(f)</t>
  </si>
  <si>
    <t xml:space="preserve">La sección 7.1 (f) consagra una serie de deducciones, retenciones y suspensiones de la Retribución en caso de demora en la realización de ciertas obligaciones de la gestión predial. De manera respetuosa solicitamos que se revise la redacción de esta sección, pues consideramos que le falta claridad.  </t>
  </si>
  <si>
    <t>Agradecemos tener en cuenta que en el último párrafo se hace referencia a suspensión de la retribución, lo cual no es preciso frente a la terminología utilizada en el resto de la sección.</t>
  </si>
  <si>
    <t>812.               </t>
  </si>
  <si>
    <t>7.1(f)(iii)</t>
  </si>
  <si>
    <t>Posibles multas por la gestión predial en adición a deducciones, retenciones y suspensiones</t>
  </si>
  <si>
    <t>Tenemos la siguiente observación:</t>
  </si>
  <si>
    <t xml:space="preserve">Solicitamos que se elimine la posibilidad de acumular las multas con la retención, las deducciones y suspensiones previstas en esta disposición contractual, pues se estaría sancionando al concesionario dos veces por los mismos hechos o incumplimientos. </t>
  </si>
  <si>
    <t>813.               </t>
  </si>
  <si>
    <t xml:space="preserve">Mecanismos de solución de Controversias </t>
  </si>
  <si>
    <t>De acuerdo a las Secciones 15.1 y 15.2 del contrato, entendemos que sólo se podrá acudir a un Tribunal Arbitral bajo alguna de estas tres circunstancias: (i) Cuando la reclamación o disputa no se encuentre dentro de los eventos que, por disposición contractual expresa, son de conocimiento del Amigable Componedor; (ii) Cuando la decisión del Amigable Componedor no ha sido unánime; (iii) Para solicitar la declaratoria de nulidad o rescisión de la decisión del Amigable Componedor.</t>
  </si>
  <si>
    <t>Minuta del Contrato. Parte General 15.1 y 15.2</t>
  </si>
  <si>
    <t xml:space="preserve">Tenemos las siguientes observaciones y solicitudes: </t>
  </si>
  <si>
    <t>(i)  Favor confirmar nuestro entendimiento</t>
  </si>
  <si>
    <t xml:space="preserve">(ii) Si nuestro entendimiento es correcto, consideramos que la posibilidad de acudir a un tribunal arbitral es muy limitada y, por lo tanto, de manera respetuosa solicitamos que este capítulo del contrato de concesión sea ajustado para que las partes puedan acudir libremente al arbitraje en cualquier circunstancia. El arbitraje es un mecanismo de solución de controversias ampliamente aceptado para disputas en proyectos de infraestructura y consideramos que este asunto puede tener impacto en la bancabilidad del proyecto. </t>
  </si>
  <si>
    <t>814.               </t>
  </si>
  <si>
    <t xml:space="preserve">Parte General - Sección 18.3 </t>
  </si>
  <si>
    <t xml:space="preserve">Proponemos las siguientes modificaciones: </t>
  </si>
  <si>
    <t xml:space="preserve">“(…) </t>
  </si>
  <si>
    <t xml:space="preserve">Por último, consideramos que el valor de la variable AR, una vez certificada por el Interventor con base en los estados financieros auditados del Patrimonio Autónomo conforme con lo previsto en las Secciones 3.15(l)(xi) y 4.2(r) de la Parte General, y sin que haya habido discrepancia entre las Partes, o en caso de discrepancias, una vez resueltas las mismas por parte del Amigable Componedor, deberá ser definitiva y no podrá estar sujeta a modificaciones posteriores cuando haya lugar a la aplicación de las fórmulas de liquidación. </t>
  </si>
  <si>
    <t>815.               </t>
  </si>
  <si>
    <t>Parte General - Sección 18.3</t>
  </si>
  <si>
    <t>816.               </t>
  </si>
  <si>
    <t>Se informa al interesado que si se considera necesario establecer un límite al Equity con el fin evitar costos asociados a ineficiencias y/o riesgo que deben ser asumidos 100% por el Concesionario. De igual manera, se está evaluando el factor que limita el Equity (FAE), para flexibilizar entre otros la estructura de financiación.
Nota: sin perjuicio de lo planteado en esta respuesta, solamente serán vinculantes las regulaciones efectivamente publicadas en los Pliegos del proceso licitatorio.</t>
  </si>
  <si>
    <t>Bajo el Contrato de Concesión, el Concesionario asume el riesgo de financiamiento, y puede establecer el ratio Equity-deuda según lo considere apropiado. En caso que considere necesario aportar un monto de Equity mayor al establecido en la Parte Especial, no hay razón alguna para no reconocer dicho aporte en la fórmula de liquidación o limitarlo a un monto máximo. Es bien sabido que en este tipo de proyectos es común que se requiera aportar más Equity del inicialmente previsto por la ANI y el estructurador.</t>
  </si>
  <si>
    <t>817.               </t>
  </si>
  <si>
    <t xml:space="preserve">Se informa al interesado que el Acuerdo de Garantía  permanecerá vigente y oponible hasta la caducidad de las acciones de la ANI derivadas del mismo, una vez se efectúe el procedimiento de ejecución previsto en la Sección 3.1 del referido Acuerdo. </t>
  </si>
  <si>
    <t xml:space="preserve">Acuerdo de Garantía </t>
  </si>
  <si>
    <t>Entendemos que el Acuerdo de Garantía será devuelto al Concesionario una vez se realicen todos los Giros de Equity, puesto que en ese caso la garantía ya habrá perdido su razón de ser, que es garantizar los aportes de Equity. Favor confirmar nuestro entendimiento y realizar el ajuste correspondiente.</t>
  </si>
  <si>
    <t xml:space="preserve">Anexo 3- Acuerdo de Garantía </t>
  </si>
  <si>
    <t>818.               </t>
  </si>
  <si>
    <t xml:space="preserve">En caso de un oferente plural, en cuyo caso el SPV tendrá varios accionistas, entendemos que el Garante tiene la obligación de garantizar el aporte de los giros de Equity, solamente en proporción al porcentaje de participación que tiene el oferente/accionista, que utilizó las credenciales del Garante, en el SPV. Favor confirmar nuestro entendimiento. Y si así es, de manera respetuosa solicitamos aclarar el texto del Acuerdo de Garantía en ese punto. </t>
  </si>
  <si>
    <t xml:space="preserve">El texto del Anexo 3 tiene los siguientes apartes: </t>
  </si>
  <si>
    <t>Anexo 3- Acuerdo de Garantía</t>
  </si>
  <si>
    <t xml:space="preserve">Pero de acuerdo al mismo texto del Anexo 3, el Deudor Garantizado es el SPV, por lo cual no es claro qué quiere decir el texto cuándo señala “el porcentaje de participación del garantizado”. </t>
  </si>
  <si>
    <t>819.               </t>
  </si>
  <si>
    <t xml:space="preserve">Acuerdo de Garantía – ingreso de nuevos inversionistas </t>
  </si>
  <si>
    <t>Solicitamos aclarar cómo se ajustará la garantía de los giros de Equity contenida en el Acuerdo de Garantía (Anexo 3), en caso de que después de presentada la oferta o de adjudicado el contrato de concesión, ingrese un nuevo inversionista, que, de conformidad con las reglas del pliego de condiciones, sea una Garante y por lo tanto deba suscribir el Acuerdo de Garantía contenido en el Anexo 3.  Entendemos que, en dicho caso, el Acuerdo de Garantía entregado con la oferta debe modificarse para reflejar el porcentaje real del Garante en el SPV y el nuevo inversionista entregará el Acuerdo de Garantía que le corresponde según su participación en el SPV. Favor confirmar nuestro entendimiento y en caso afirmativo solicitamos realizar los ajustes que correspondan en el pliego y/o en el Anexo 3.</t>
  </si>
  <si>
    <t>Acuerdo de Garantía Anexo 3</t>
  </si>
  <si>
    <t>820.               </t>
  </si>
  <si>
    <t xml:space="preserve">Capacidad Financiera- Estados Financieros </t>
  </si>
  <si>
    <t xml:space="preserve">Se informa al interesado que su entendimiento es correcto. En todo caso, la ANI se reserva el derecho a solicitar a los Oferentes sus Estados Financieros para corroborar la información contenida en los respectivos Anexos </t>
  </si>
  <si>
    <t xml:space="preserve">Pliego de Condiciones </t>
  </si>
  <si>
    <t xml:space="preserve"> Secciones 3.25, 4.3.1 y 4.3.4.</t>
  </si>
  <si>
    <t xml:space="preserve">Entendemos que, para el presente proceso de selección, no es necesario entregar los estados financieros con la oferta. Favor confirmar nuestro entendimiento. </t>
  </si>
  <si>
    <t>821.               </t>
  </si>
  <si>
    <t xml:space="preserve">Oferta Económica – Fecha Estimada de Inicio </t>
  </si>
  <si>
    <t xml:space="preserve"> Sección 1.3.62 y 5.2.1</t>
  </si>
  <si>
    <t>El Valor Máximo de la Oferta Económica hace referencia a determinado valor con referencia a la Fecha Estimada de Inicio en los pliegos, pero en la Parte General del Contrato de Concesión el VPIP hace referencia a la Fecha de Inicio del Contrato. Pareciera que el VPIP tendría una fecha de referencia antes de la firma del contrato (según Fecha Estimada de Inicio) y otra una vez se firme (a la Fecha de Inicio del contrato), creando inconsistencias del monto del VPIP. Por lo tanto, creemos que es prudente dejar una fecha de referencia determinada que no cambie durante el tiempo para el cálculo del VPIP.</t>
  </si>
  <si>
    <t>822.               </t>
  </si>
  <si>
    <t xml:space="preserve">Garantía de seriedad de oferta </t>
  </si>
  <si>
    <t>El Decreto 1082 de 2015, Artículo 2.2.1.2.3.1.9. Suficiencia de la garantía de seriedad de la oferta. Numeral 1 admite que para presupuestos entre 1 y 3 millones de SMMLV, como lo es este proyecto, la entidad amita garantías de seriedad de al menos el 2,5% y la cifra de 79.000 millones cumple con el requisito de ley.  No se acepta la observación.</t>
  </si>
  <si>
    <t xml:space="preserve"> Sección 4.1.14 (a) (vi) </t>
  </si>
  <si>
    <t>El valor exigido por la ANI para la garantía de seriedad de la oferta es superior a lo establecido en el Artículo 2.2.1.2.3.1.9 del Decreto 1082 de 2015; por ello solicitamos a la ANI reducir el valor de la garantía de seriedad de la oferta y reducirlo al 2.5% del Valor Máximo de la Oferta según lo establecido en el decreto referido.</t>
  </si>
  <si>
    <t>823.               </t>
  </si>
  <si>
    <t xml:space="preserve">Acreditación de existencia y representación legal de las personas jurídicas extranjeras sin presencia en Colombia </t>
  </si>
  <si>
    <t xml:space="preserve"> Sección 4.1.3</t>
  </si>
  <si>
    <t xml:space="preserve">En relación con las personas jurídicas extranjeras sin sucursal en Colombia se exige la presentación de un documento para acreditar su existencia y representación legal y se señala que dicho certificado debe ser expedido por lo menos dentro de los cuatro (4) meses anteriores a la Fecha de Cierre de la Licitación. Teniendo en cuenta la compleja situación de público conocimiento asociada al COVID-19 y las consecuentes dificultades para enviar documentos originales, notarizados y apostillados a Colombia, solicitamos que dicha exigencia sea más flexible y se amplíe como mínimo a seis (6) meses. Lo anterior también previendo eventuales prorrogas o suspensiones de la Licitación precisamente por todo lo relacionado al COVID_19. </t>
  </si>
  <si>
    <t>824.               </t>
  </si>
  <si>
    <t>Auditores</t>
  </si>
  <si>
    <t xml:space="preserve"> Sección 4.3.1.</t>
  </si>
  <si>
    <t>825.               </t>
  </si>
  <si>
    <t xml:space="preserve">Control y Matrices </t>
  </si>
  <si>
    <t xml:space="preserve">El control podra ser indirecto unicamente en los terminos indicados en el pliego de condiciones, esto es, en el evento el que se acredita capacidad financiera o experiencia en inversión a traves de las sociedades controladas por las matrices del proponente o del integrante de la estructura plural del proponente. 
Adicionalmente se aclara que en el proceso de selección se tendrá en cuenta únicamente la presunción de control establecida en el numeral 1 del artículo 261 del Código de Comercio Colombiano. 
</t>
  </si>
  <si>
    <t xml:space="preserve"> Sección 1.3.41 y 4.4.2.</t>
  </si>
  <si>
    <t xml:space="preserve">El pliego define “Matrices” de la siguiente manera: </t>
  </si>
  <si>
    <t xml:space="preserve">1.3.41 Matriz” o “Matrices”. Son las personas naturales o jurídicas (de naturaleza societaria o no societaria) que ejerzan control sobre el Oferente o cualquiera de sus Integrantes, en los términos del numeral 4.4 de este Pliego.” </t>
  </si>
  <si>
    <t>La sección 4.4.1 del pliego dispone lo siguiente.</t>
  </si>
  <si>
    <t>De manera atenta solicitamos complementar la redacción de estas secciones en el sentido de aclarar que el control ejercido sobre una sociedad puede ser directo o indirecto.  Si bien el Anexo 3 – Acuerdo de Garantía - así lo da a entender, el proyecto de pliego no es explícito en cuanto al control indirecto que puede ejercer una sociedad y ser considerada “Matriz”.</t>
  </si>
  <si>
    <t xml:space="preserve">Para estos efectos, sugerimos la siguiente definición de Matriz o matrices: </t>
  </si>
  <si>
    <t>826.               </t>
  </si>
  <si>
    <t xml:space="preserve">Puntaje por acreditar trabajadores en condición de discapacidad </t>
  </si>
  <si>
    <t xml:space="preserve">De conformidad con lo señalado en el aparte de excepciones de los Tratados Internaciones, las entidades pueden establecer criterios para mantener o adoptar medidas relacionadas con servicios prestados por personas en condición de discapacidad, siempre y cuando estas no constituyan un medio de discriminación arbitrario o injustificable entre las Partes, o impliquen una restricción encubierta al comercio. (Tratado Libre Comercio – Corea, Artículo 14.2; Tratado de Libre Comercio – Unión Europea, Artículo 174; Tratado de Libre Comercio México, Artículo 15-16; Tratado de Libre Comercio – AELC Asociación Europea de Libre Comercio, Artículo 7.3; Tratado de Libre Comercio Alianza Pacífico, Artículo 8.20; Tratado de Libre Comercio Canadá Artículo 1402; Tratado de Libre Comercio Costa Rica, Artículo 10.2; Tratado de Libre Comercio Triángulo Norte, Artículo 11.2; Tratado de Libre Comercio USA, Artículo 9.14)
Teniendo en cuenta lo expuesto y toda vez que el Decreto 392 de 2018 deriva de una política pública de Colombia establecida en la Ley 1618 de 2013, fundamentada en el artículo 13 de la Constitución Política, que consagra la igualdad material o real a través de la discriminación positiva a favor de determinados grupos o personas en situación de vulnerabilidad, dentro de las cuales se encuentran las personas en condición de discapacidad, resultando claro que la aplicación del criterio de evaluación contenido en el Decreto 392 de 2018 no constituyen un medio arbitrario, injustificado o encubierto para restringir la participación dentro del proceso de selección, sino que por el contrario es un desarrollo de los pilares fundamentales de nuestro estado social de derecho, siendo procedente establecer el factor de evaluación de conformidad con lo señalado por Colombia Compra Eficiente a través del concepto No. 4201813000007574, en el que se indica que los proponentes extranjeros interesados en participar en Procesos de Contratación y obtener el puntaje adicional establecido en el Decreto 392 de 2018, deberán incluir en su nómina a personas en situación de discapacidad vinculadas laboralmente según el ordenamiento jurídico colombiano y solicitar el certificado en el Ministerio del Trabajo.
Por lo anterior no se acoge su observación.  </t>
  </si>
  <si>
    <t xml:space="preserve"> Sección 5.6.1</t>
  </si>
  <si>
    <t xml:space="preserve">Solicitamos a la ANI modificar el Pliego de Condiciones de tal manera que el otorgamiento de ese 1% no sea discriminatorio para proponentes extranjeros sin domicilio en Colombia. Al respecto agradecemos que la ANI considere que es prácticamente imposible para un proponente extranjero sin domicilio en Colombia y sin tener ningún tipo de presencia en Colombia emplear de forma anticipada a ser adjudicatario del Proyecto a trabajadores en condición de discapacidad e incluso obtener el certificado del Ministerio del Trabajo que allí se exige. Adicionalmente, la ANI debe considerar que compensar ese 1% con el puntaje que se le otorga a la oferta económica es totalmente desproporcionado e implica una desventaja sustancial para aquellos interesados que por obvias razones no pueden acreditar la contratación de trabajadores en condición de discapacidad en los términos exigidos en el Pliego. </t>
  </si>
  <si>
    <t>En ese sentido, solicitamos que se permita poner un plan de contratación de largo plazo de personas en condición de discapacidad. En la medida en que dicho plan sería obligatorio durante la vida de la concesión, se estaría generando empleo de largo plazo para dicha población. El hecho de que un licitante cuente con trabajadores en situación de discapacidad no implica que vaya a generar nuevo empleo por el periodo de la concesión.</t>
  </si>
  <si>
    <t>827.               </t>
  </si>
  <si>
    <t>Cambio tributario</t>
  </si>
  <si>
    <t>Se informa al interesado que no se acepta su observación. La definición de Cambio Tributario está en línea con la regulación propuesta en la Sección 3.16 y se entenderá por Cambio Tributario,  la imposición de nuevos tributos o la eliminación o variación de los existentes, respecto de los vigentes al momento de la presentación de la Oferta, que en forma directa y en su efecto acumulado, impacte positiva o negativamente el costo de ejecución del Contrato.</t>
  </si>
  <si>
    <t>Minuta del Contrato. Parte General 1.22</t>
  </si>
  <si>
    <t>El Cambio Tributario se define así en el contrato, parte general:</t>
  </si>
  <si>
    <t>Se exceptúan de esta definición los cambios que se presenten en impuestos que graven la renta.”</t>
  </si>
  <si>
    <t>Solicitamos eliminar de esta definición “en su efecto acumulado”, toda vez que se trata de una expresión abierta y que puede dar lugar a discusiones. Las reglas aplicables al Cambio Tributario están previstas en detalle en la Sección 3.16 y ello debería ser suficiente</t>
  </si>
  <si>
    <t>828.               </t>
  </si>
  <si>
    <t>Minuta del Contrato. Parte General 1.42</t>
  </si>
  <si>
    <t xml:space="preserve">Agradecemos informar en qué documento y en qué momento la ANI informará los predios que ha adquirido para el Proyecto. </t>
  </si>
  <si>
    <t>829.               </t>
  </si>
  <si>
    <t>Minuta del Contrato. Parte General 1.43 y 1.44</t>
  </si>
  <si>
    <t xml:space="preserve">Solicitamos que el Plan de Adquisición de Predios y el Cronograma de Trabajo Predial consten en un único documento. De hecho, el Cronograma de Trabajo Predial parecería en realidad ser un insumo o elemento del Plan de Adquisición de Predios, pero ello no es claro en la minuta del contrato. Por ejemplo, si se modifica el Plan de Obras u ocurre un Evento Eximente de Responsabilidad,  tanto el Cronograma de Trabajo Predial como el Plan de Adquisición de Predios se tienen que modificar necesariamente, por lo que no se observa la necesidad de dos documentos contractuales diferentes. Lo anterior genera confusión. </t>
  </si>
  <si>
    <t>830.               </t>
  </si>
  <si>
    <t xml:space="preserve">Patrimonio Autónomo </t>
  </si>
  <si>
    <t xml:space="preserve">Se informa al interesado que no se acepta su observación. La ANI considera que los plazos previstos para la constitución del Patrimonio Autónomo son razonables de acuerdo con su experiencia en el tema. </t>
  </si>
  <si>
    <t>Minuta del Contrato. Parte General 2.3 (b) y 3.13.</t>
  </si>
  <si>
    <t>Solicitamos ampliar los plazos previstos para la constitución del Patrimonio Autónomo. Los plazos establecidos en la minuta del contrato son demasiado exigentes de cara al tiempo que toma en la práctica realizar tal cuestión.</t>
  </si>
  <si>
    <t>831.               </t>
  </si>
  <si>
    <t>Giros de Equity</t>
  </si>
  <si>
    <t>Se informa al interesado que no se acepta su observación. La ANI considera que el plazo previsto para realizar el primer giro de Equity es razonable y corresponde a las necesidades del Proyecto.</t>
  </si>
  <si>
    <t>Minuta del Contrato. Parte General 2.3 (b) (viii)</t>
  </si>
  <si>
    <t xml:space="preserve">Solicitamos ampliar el plazo para realizar el primer giro de Equity debido a la complejidad de la operación que ello implica. </t>
  </si>
  <si>
    <t>832.               </t>
  </si>
  <si>
    <t xml:space="preserve">Ampliación del plazo </t>
  </si>
  <si>
    <t>Minuta del Contrato. Parte General 2.4</t>
  </si>
  <si>
    <t xml:space="preserve">Agradecemos a la ANI aclarar si las recientes medidas adoptadas por el Gobierno Nacional y el Ministerio de Transporte en materia de ampliación de plazos de asociaciones público-privadas aplicará para este proyecto, tal y como lo establece el artículo 25 del Decreto 482 del 26 de marzo de 2020 o el Artículo 15 del Decreto 569 de 15 de abril de 2020.  Si ello es así, solicitamos que se incluyan dichas reglas de forma expresa en el Contrato de Concesión. </t>
  </si>
  <si>
    <t>833.               </t>
  </si>
  <si>
    <t>Declaraciones del Concesionario</t>
  </si>
  <si>
    <t>Minuta del Contrato. Parte General 2.6 (a) (vi)</t>
  </si>
  <si>
    <t>Esta sección consagra la siguiente declaración y garantía del Concesionario:</t>
  </si>
  <si>
    <t>834.               </t>
  </si>
  <si>
    <t xml:space="preserve">Se informa al interesado que no se acepta su observación, la ANI considera necesario solicitar al Concesionario que informe sobre la existencia o no de pactos o acuerdos de accionistas, siempre que la misma no goce de reserva legal y esté a disposición del Concesionario. </t>
  </si>
  <si>
    <t>Minuta del Contrato. Parte General 2.6 (a) (xvi)</t>
  </si>
  <si>
    <t>Esta sección establece:</t>
  </si>
  <si>
    <t>Solicitamos eliminar el párrafo resaltado, ya que lo allí dispuesto es totalmente irrelevante para la ANI y no tiene relación ni efecto alguno en la ejecución del Contrato de Concesión. Además, expresiones en el sentido de que la ANI pueda solicitar la información “que estima necesaria” es demasiado amplia, más aún si la ANI pretende imponer multas como lo anuncia al final del párrafo transcrito.</t>
  </si>
  <si>
    <t>835.               </t>
  </si>
  <si>
    <t xml:space="preserve">Solidaridad y Acuerdo de Garantía </t>
  </si>
  <si>
    <t>Minuta del Contrato. Parte General 2.6 (b) (v)</t>
  </si>
  <si>
    <t>Lo anterior, toda vez que este numeral establece una regla fundamental del Contrato de Concesión y es que no existe solidaridad entre los socios del Concesionario. Esa circunstancia nada tiene que ver con el Acuerdo de Garantía, que se refiere a garantizar los Giros de Equity pero de ninguna manera tiene que ver con solidaridad o no de los socios, por lo que la expresión referida resulta confusa.</t>
  </si>
  <si>
    <t>836.               </t>
  </si>
  <si>
    <t>Silencio de la ANI - Cierre Financiero</t>
  </si>
  <si>
    <t xml:space="preserve">Se informa al interesado que no se acepta su observación. La ANI deberá verificar todos los documentos aportados por el Concesionario antes de declarar la existencia del Cierre Financiero. El hecho que la obligación del Concesionario de financiar el Proyecto no se agote con la existencia de dicho Cierre no quiere decir que la ANI no debe verificar la acreditación de su ocurrencia. </t>
  </si>
  <si>
    <t>Minuta del Contrato. Parte General 3.8 (e)</t>
  </si>
  <si>
    <t>837.               </t>
  </si>
  <si>
    <t>Cierre Financiero</t>
  </si>
  <si>
    <t xml:space="preserve">Se informa al interesado que no se acepta su observación. La ANI deberá verificar los documentos aportados por el Concesionario con el fin de declarar la existencia del Cierre Financiero. </t>
  </si>
  <si>
    <t>Solicitamos complementar la redacción del Contrato de Concesión en el sentido que este registro se materializa con las comunicaciones del Concesionario y no requiere de ningún tipo de pronunciamiento o aprobación por la ANI o el Interventor.</t>
  </si>
  <si>
    <t>838.               </t>
  </si>
  <si>
    <t>GMF</t>
  </si>
  <si>
    <t>Minuta del Contrato. Parte General 3.14 (h) (ii)</t>
  </si>
  <si>
    <t>839.               </t>
  </si>
  <si>
    <t xml:space="preserve">Plazo adicional sin sanciones para el concesionario </t>
  </si>
  <si>
    <t>Minuta del Contrato. Parte General 4.10 (c)</t>
  </si>
  <si>
    <t>Jurídica Estructuración</t>
  </si>
  <si>
    <t>Solicitamos modificar la redacción en el sentido de que el valor a favor de la ANI sea por cada día efectivamente requerido y no por cada día solicitado. Este mecanismo resulta bastante gravoso para el Concesionario y por lo tanto si el Concesionario actúa diligentemente y utiliza menos días de los requeridos, no debe ser penalizado por la ANI.</t>
  </si>
  <si>
    <t>840.               </t>
  </si>
  <si>
    <t>Minuta del Contrato. Parte General 4.10 (n)</t>
  </si>
  <si>
    <t>Solicitamos que la competencia del Amigable Componedor sea sobre toda la Sección 4.10 y no únicamente sobre la Sección 4.10 (n), lo cual de hecho es muy limitado y en la práctica resultaría inaplicable si se omite la referencia a los otros numerales de dicha sección.</t>
  </si>
  <si>
    <t>841.               </t>
  </si>
  <si>
    <t>Garantías a exigir a los Contratistas</t>
  </si>
  <si>
    <t>Minuta del Contrato. Parte General 5.2 (d)</t>
  </si>
  <si>
    <t>Solicitamos eliminar la Sección 5.2 (d), en la medida en que las garantías y los montos que exija el Concesionario a sus Contratistas y subcontratistas es irrelevante y no tiene efecto alguno para la ANI. Debe ser un aspecto a discreción del Concesionario y/o los Prestamistas del Proyecto.</t>
  </si>
  <si>
    <t>842.               </t>
  </si>
  <si>
    <t>Recompra de derechos económicos</t>
  </si>
  <si>
    <t>Minuta del Contrato. Parte General 17.2 (c) y 18.3(f)</t>
  </si>
  <si>
    <t>843.               </t>
  </si>
  <si>
    <t xml:space="preserve">Programación de las obras </t>
  </si>
  <si>
    <t xml:space="preserve">Se informa al interesado que no se acepta su observación. Los plazos máximos establecidos en el contrato para el inicio de la operación de las Unidades Funcionales ya tienen en cuenta los procedimientos de verificación. </t>
  </si>
  <si>
    <t>Minuta del Contrato. Parte Especial. 5.2</t>
  </si>
  <si>
    <t xml:space="preserve">Solicitamos que se modifique esa redacción para señalar que los plazos máximos allí referidos son para “poner las Intervenciones a disposición de la ANI”, pues de lo contrario se le estaría restando automáticamente al Concesionario todo el tiempo de duración que tome el procedimiento de verificación. De hecho, las Unidades Funcionales solo entran en operación cuando se firma el acta de terminación correspondiente. Dicho concepto de inicio de operación no está definido ni regulado en el Contrato de Concesión. </t>
  </si>
  <si>
    <t>Destacamos que la sección 6.1 (c) de la Parte Especial se refiere a los plazos de la Sección 5.2 como “Plazo máximo”, lo cual es el concepto preciso que sugerimos sea utilizado.</t>
  </si>
  <si>
    <t>844.               </t>
  </si>
  <si>
    <t xml:space="preserve">Multa Cierre Financiero </t>
  </si>
  <si>
    <t>Minuta del Contrato. Parte Especial. 6.1 (u)</t>
  </si>
  <si>
    <t>845.               </t>
  </si>
  <si>
    <t>Certificación emitida por la entidad contratante para acreditar experiencia en inversión</t>
  </si>
  <si>
    <t>Una vez revisada la observación esta se encuentra procedente, por lo que se realizará el respectivo ajuste en el Pliego de Condiciones Definitivo</t>
  </si>
  <si>
    <t>Proyecto Pliego de Condiciones. 4.2.10 (c) (iv)</t>
  </si>
  <si>
    <t>Solicitamos que se amplíe el requisito de fecha de expedición de la certificación de la entidad contratante de 3 meses a 6 meses como mínimo. Lo anterior teniendo en cuenta la compleja situación, de público conocimiento, asociada al COVID-19 y las consecuentes dificultades para enviar documentos originales, notarizados y apostillados a Colombia. Solicitamos que dicha a exigencia sea más flexible y se amplíe como mínimo a seis (6) meses. Lo anterior también previendo eventuales prorrogas o suspensiones de la Licitación precisamente por todo lo relacionado al COVID_19.</t>
  </si>
  <si>
    <t>846.               </t>
  </si>
  <si>
    <t>Soportes de Ingresos “SI”</t>
  </si>
  <si>
    <t>Parte especial – Sección 3.1 (b), 3.4(b), 13.2 (a) (XVIII). (múltiples referencias en la parte especial.</t>
  </si>
  <si>
    <t xml:space="preserve">En relación con este aspecto, tenemos dos solicitudes: </t>
  </si>
  <si>
    <t>(i)   Solicitamos que el Soporte de Ingresos al que hace referencia la Parte General del Contrato de Concesión se incorpore para este proyecto. Creemos que es de mucha relevancia para el Concesionario contar con este SI por parte de la ANI. Este Soporte de Ingresos ayudaría a la consecución de recursos de financiación para el proyecto el cual ayudaría a viabilizar su eficiente ejecución.  </t>
  </si>
  <si>
    <t>(ii)  Además, en relación con el Soporte de Ingresos, es necesario tener en consideración lo que dispone la parte general del contrato en el numeral 3.4(b):</t>
  </si>
  <si>
    <t xml:space="preserve">Dado que en este proyecto hay una UF0, en la que se comenzarán a recaudar peajes desde el comienzo, solicitamos que el Soporte de Ingresos no quede sujeto a que se haya suscrito la última Acta de Terminación de Unidad Funcional, sino que sea efectivo desde el comienzo de la operación y mantenimiento de la UF0. </t>
  </si>
  <si>
    <t>847.               </t>
  </si>
  <si>
    <t>Certificación conjunta para acreditar control</t>
  </si>
  <si>
    <t xml:space="preserve">Pliego de Condiciones, Sección 4.4.2 (a) (ii) y (iii) </t>
  </si>
  <si>
    <t xml:space="preserve">Solicitamos que se modifique el aparte subrayado, pues entendemos que quienes deben certificar la situación de control deben ser las sociedades en cuestión (controlante y controlada). Tratándose de sociedades controladas por la Matriz del Oferente o del Integrante de la Estructura Plural, el Oferente o los Integrantes de la Estructura Plural no deben suscribir esa certificación. </t>
  </si>
  <si>
    <t>El pliego dispone lo siguiente en el numeral 4.4.2 (a) (iii)</t>
  </si>
  <si>
    <t>GIA, 13/05/2020</t>
  </si>
  <si>
    <t>Agradecemos a la ANI que por favor consideren extender el plazo de presentación de la Oferta puesto que la emergencia sanitaria global que estamos viviendo no permite la ejecución de actividades necesarias para preparar una Oferta suficientemente estudiada y de alta calidad. Ej: visitas de campo, mediciones de tráfico, integración de documentación a presentar, entre otros.</t>
  </si>
  <si>
    <t>Jurídica  Contratación</t>
  </si>
  <si>
    <t>Durán &amp; Osorio Abogados, 14/05/2020</t>
  </si>
  <si>
    <t xml:space="preserve">La sección 3.3 c) del contrato -Parte General- establece que, "El Concesionario también tendrá la obligación de realizar y asumir los costos de todas las actividades administrativas para verificar la documentación que acredite los requisitos establecidos para el otorgamiento del beneficio de tarifas especiales diferenciales, incluyendo la instalación de tarjetas inteligentes o sus equivalentes tecnológicos, previa la validación de identidad del beneficiario y del vehículo"
De acuerdo con lo anterior, solicitamos amablemente a la Entidad aclarar: (i) ¿Quién es el responsable de definir a quién se le otorgarán las tarifas diferenciales?; (ii) En caso tal que sea la ANI quien otorgue las tarifas diferenciales, ¿el concesionario debería asumir dichos costos?. De ser esto a cargo del concesionario, les pedimos definir desde ya a quienes y que número de personas tendrían estos beneficios. </t>
  </si>
  <si>
    <t>3.3 c) Parte General</t>
  </si>
  <si>
    <t>De acuerdo la sección 3.14 g) ii) 2) Parte General , "Los costos por concepto del Gravamen a los Movimientos Financieros (GMF) que sean generados en la Cuenta Proyecto y Cuenta ANI deberán ser asumidos en su totalidad por el Concesionario. En consecuencia, a los valores que se deben fondear a cada subcuenta, de conformidad con la Parte Especial, el Concesionario deberá realizar además los fondeos adicionales para cubrir el Gravamen a los Movimientos Financieros (GMF)". En este sentido, solicitamos a la Entidad aclarar: (i) ¿En qué momento se realiza el fondeo adicional para cubrir el GMF? y (ii) ¿Cuándo se hacen usos de las subcuentas?</t>
  </si>
  <si>
    <t>3.14 g) ii) 2) Parte General</t>
  </si>
  <si>
    <t>La sección 3.14 g) vi) 4) Parte General establece que, "El Concesionario tiene la obligación permanente de informar a la ANI y a la Interventoría antes de solicitar a la Fiduciaria el desembolso de recursos con cargo a la Subcuenta Compensaciones Socioambientales, los conceptos de cobro para el desembolso de recursos los cuales deberán estar soportados con base en las actividades que cubre esta Subcuenta y en los actos administrativos que impone la obligación de compensación".
Conforme a lo anterior, solicitamos a la ANI: (i) Puntualizar el alcance de dicha información en la medida en que la redacción es amplia y puede llevar a múltiples interpretaciones y (ii) Aclarar si dentro del proceso para solicitar el desembolso, la ANI y/o la Interventoría deben dar su concepto de no objeción, previo al envío y solicitud de desembolso a la Fiduciaria por parte del Concesionario.</t>
  </si>
  <si>
    <t>3.14 g) vi) 4) Parte General</t>
  </si>
  <si>
    <t xml:space="preserve">La sección 3.14 h) v) 9) Parte General establece que, "En el evento que, el valor mínimo del aporte a la Subcuenta Interventoría y Coordinación descrito en la Parte Especial, por causas no imputables al Concesionario sea insuficiente para atender los reconocimientos destinados a la atención de los pagos al Interventor y al Equipo de Coordinación y Seguimiento del Contrato, los recursos adicionales serán aportados oportunamente y cuando se necesiten por el Concesionario, con previa aprobación de la ANI". De acuerdo con lo anterior, solicitamos a la ANI que nos aclara cuáles son los criterios para aprobar el monto de desembolso, así como que nos aclaren si la Entidad aprobar cualquier monto de desembolso y el Concesionario está en la obligación de financiarlo. Finalmente, quisieramos conocer si existe un tope máximo y dónde está establecido el mismo. </t>
  </si>
  <si>
    <t>3.14 h) v) 9) Parte General</t>
  </si>
  <si>
    <t xml:space="preserve">Teniendo en cuenta que el riesgo por cambio a NIIF del impuesto de renta se mantiene (porque en efectos prácticos la ley de financiación no obliga a las Concesiones a tributar bajo NIIF) somentemos a consideración de la Entidad mantener el mecanismo previsto en los contratos 4G en donde se otorgaba una liquidez a las concesiones en el caso de materializarse el riesgo en la medida en que esta es una situación imprevisible que se encuentra por fuera del control del privado y que, en caso de materializarse, podría generar unos sobrecostos importantes. </t>
  </si>
  <si>
    <t>3.16 Parte General</t>
  </si>
  <si>
    <t>En cualquier momento de ejecución del Contrato, el Concesionario deberá implementar el protocolo tecnológico para recaudo electrónico de Peajes que llegare a indicar la ANI. En el caso que esa implementación implique costos adicionales a los que corresponden a las obligaciones a cargo del Concesionario relacionadas con la adopción de tecnologías de recaudo previstas en este Contrato, particularmente en el Apéndice Técnico 2, la ANI asumirá los sobrecostos.
De manera respetuosa les solicitamos que nos confirmen que en el caso en el que otra autoridad comptente exija el cumplimiento de una obligación como la que se está haciendo referencia, el mecanismo descrito en esa sección del contrato también operaría.</t>
  </si>
  <si>
    <t>8.3 a) Parte General</t>
  </si>
  <si>
    <t xml:space="preserve">Teniendo en cuenta las obligaciones de los fondeos descritas en la Parte General del Contrato y la fórmula de terminación anticipada con anterioridad al inicio de la Fase de Construcción, consideramos importante poner de presente que parecería haber un descalce entre los valores que deberán ser fondeados con giros de equity y los que son reconocidos mediante la fórmula de terminación anticipada. Esto ocurre debido a que en los primeros 12 meses no existe financiación y el equity mínimo deberá cubrir todos los fondeos de las subcuentas. Con base en lo anterior y de manera respetuosa solicitamos a la Entidad revise el tema pues con los montos que hoy estan establecidos en la Parte Especial, en nueve de los doce meses, el valor a fondear de subcuentas es superior al equity a aportar. </t>
  </si>
  <si>
    <t>18.3 c) Parte General</t>
  </si>
  <si>
    <t xml:space="preserve">La sección 4.5 i) i) Parte especial establece que, "La Subcuenta Contingencias se creará con la suscripción del Contrato de Fiducia Mercantil y hará parte de la Cuenta ANI.
(i) Durante la Etapa Preoperativa del Contrato la ANI deberá dar instrucciones a la Fiduciaria para que se lleven a cabo los aportes a la Subcuenta Contingencias con los recursos provenientes del Recaudo de Peaje, de acuerdo con el orden señalado en la Tabla de Referencias de esta Parte Especial en la Sección 3.14(h)(iv)(2)(iv) de la Parte General, hasta alcanzar el monto o la fecha máxima señalados, lo que primero ocurra de acuerdo con la siguiente tabla: (...)"
Teniendo en cuenta lo anterior, solicitamos a la ANI confirmar que los valores que serán trasladados al fondo de contingencias, solo se podrán destinar para la compensación de riesgos de este proyecto particular. En caso de ser así, de manera respetuosa solicitamos que tal situación sea aclarada en el texto del Contrato. </t>
  </si>
  <si>
    <t>4.5 i) i) Parte especial</t>
  </si>
  <si>
    <t>La presente sección establece que:
"1. En primer lugar y previo a cualquier otro fondeo, a la Subcuenta Depósito Especial del Recaudo con el porcentaje señalado en la sección 4.5(h)(i) de esta Parte Especial.
2. En segundo lugar y previo a cualquier otro fondeo, a la Subcuenta creada para la UF 0 dentro de la Subcuenta Recaudo Peaje, con el porcentaje correspondiente a la UF0 señalado en la Sección 4.1 de esta Parte Especial.
3. En tercer lugar, después de efectuar los fondeos descritos en los numerales anteriores, se fondeará la Subcuenta Contingencias hasta alcanzar el monto señalado o la fecha máxima, lo que primero ocurra, de conformidad con la sección 4.5(i) de esta Parte Especial.
4. En cuarto lugar y con posterioridad a los anteriores fondeos, a las Subcuentas creadas para las demás UF dentro de la Subcuenta de Recaudo con los recursos remanentes del Recaudo de Peaje con el porcentaje correspondiente a cada UF señalado en la Sección 4.1 de esta Parte Especial."
Teniendo en cuenta la cascada de fondeos quisiéramos confirmar si los porcentajes señalados en la Sección 4.1 de la Parte Especial se deben aplicar a la recolección de peajes disponible después de fondear la subcuenta de recaudo especial (Recolección total menos fondeo de subcuenta de recaudo especial):
En caso de que la interpretación anterior no sea la correcta, nos gustaría confirmar si: i) El porcentaje señalado en la Sección 4.1 de la Parte Especial para la UF0 (20.33%) deberá ser aplicado a la recolección total (anterior a fondeo de subcuenta de recaudo especial)? ii) La recolección neta después de fondear la subcuenta de recaudo especial y la UF0 se debe distribuir a prorrata para las otras UF’s teniendo en cuenta (y ajustando) los porcentajes señalados en la Sección 4.1?
Sugerimos ajustar la redacción para que no haya lugar a diferentes interpretaciones.</t>
  </si>
  <si>
    <t>3.14(h)(iv)(2) Tabla datos específicos Parte especial y 4.1 Parte especial</t>
  </si>
  <si>
    <t xml:space="preserve">De acuerdo con lo establecido en la sección 1.8 del Proyecto de Pliego de Condiciones es obligación del Oferente  visitar e inspeccionar el sitio de ejecución del proyecto. Teniendo en cuenta lo anterior y en aras de poder preparar una Oferta competitiva, es de nuestro interés poder visitar e inspeccionar cuanto antes el sitio de ejecución del Proyecto. Sin embargo, dentro de los documentos del proceso no encontramos un protocolo para llevar a cabo dichas visitas. En este sentido, y dada la coyuntura actual, solicitamos a la Entidad, determinar cuál es protocolo de visitas al sitio y los requisitos para obtener de la ANI los permisos y salvoconductos necesarios. </t>
  </si>
  <si>
    <t>1.8 Pliego de condiciones</t>
  </si>
  <si>
    <t>COPASA, 14/05/2020</t>
  </si>
  <si>
    <t>La situación sanitaria actual no le permite a los interesados hacer trabajo de campo, y en todo caso éste no sería representativo de una situación normal. Por lo tanto, solicitamos a la ANI facilitar en el cuarto de datos los archivos explotables en formato Excel del trabajo de campo realizados por el estructurador para el Estudio de Tráfico y Demanda: áforos, encuestas origen - destino, encuestas de preferencias declaradas, estudios de velocidades y tiempos de recorrido.</t>
  </si>
  <si>
    <t>Cuarto de Datos: Estudio de Tráfico y Demanda</t>
  </si>
  <si>
    <t>Favor confirmar si el Estudio de Tráfico y Demanda que se encuentra en el Cuarto de Datos corresponde a la última versión de éste, con la que se realizó la estructuración final del proyecto.</t>
  </si>
  <si>
    <t>El proyecto Buga - Loboguerrero - Buenaventura tiene un impacto importantes en varios tramos de la Malla Vial. Favor confirmar las características de este proyecto que aparecen en el capítulo 6.2 del Estudio de Tráfico y Demanda, en especial frente al número de carriles en los diferentes tramos y el número y ubicación de casetas de peaje nuevas y existentes. Favor explicar además que significa "Infraestructura Adecuada" en la Tabla 6.3 para el tramo Loboguerrero - Mediacanoa.</t>
  </si>
  <si>
    <t>El Estudio de Tráfico y Demanda menciona una categoría específica para el Transporte Público (TP) en el trabajo de campo. Pero en los resultados de este trabajo de campo no se encuentra ningún dato sobre esta categoría, en especial en las tablas de áforos. No es claro si el Transporte Público es incluido en estos áforos  bajo otra categoría (C2P, C2G)  o si no fueron incluidos. Favor aclarar, y si no fueron incluidos, agradecemos actualizar el informe para hacerlo, ya que en varios tramos su volumen no es desdeñable y es relevante para el cálculo de pavimentos.</t>
  </si>
  <si>
    <t>Cuarto de Datos: Estudio de Tráfico y Demanda, Capítulo 1</t>
  </si>
  <si>
    <t>Así mismo, favor actualizar el Estudio de Tráfico y Demanda para la incluir la metodología utilizada para proyectar el crecimiento de Transporte Público, la cual no aparece en el informe.</t>
  </si>
  <si>
    <t>Cuarto de Datos: Estudio de Tráfico y Demanda, Capítulo 7</t>
  </si>
  <si>
    <t>Solicitamos a la ANI indicar fechas actualizadas de la entrada en operación de los proyectos señalados en la Tabla 6-8 del Estudio de Tráfico y Demanda.</t>
  </si>
  <si>
    <t>Cuarto de Datos: Estudio de Tráfico y Demanda, Capítulo 6.7</t>
  </si>
  <si>
    <t>En el capítulo 8-4 del Estudio de Tráfico y Demanda se menciona el "mejoramiento de las condiciones físico
operativas del corredor Troncal del Pacífico (La Virginia – Mediacanoa)" pero en ningúna parte del documento se detalla a qué corresponde este mejoramiento, en qué fecha entra en operación, si éste tiene implicaciones en los peajes existentes o si se preveen nuevos peajes. Favor propocionar esta información.</t>
  </si>
  <si>
    <t>Cuarto de Datos: Estudio de Tráfico y Demanda, Capítulo 8.4</t>
  </si>
  <si>
    <t>Favor explicar cómo se realizaron las proyecciones de las categorías especiales contenidas en el capítulo 8.11 del Estudio de Tráfico y Demanda, ya que esto no se encuentra elaborado en ninguna otra sección del documento.</t>
  </si>
  <si>
    <t>Cuarto de Datos: Estudio de Tráfico y Demanda, Capítulo 8.11</t>
  </si>
  <si>
    <t>Favor confirmar que el concesionario debe recaudar los peajes desde el Acta de Inicio para todas las 8 estaciones de peaje del proyecto.</t>
  </si>
  <si>
    <t>Contrato Parte Especial 4.1</t>
  </si>
  <si>
    <t>Si el concesionario debe fondear la subcuenta de la UF0 previo a la subcuenta Contingencias y el porcentaje correspondiente a la UF0 es el señalado en el capítulo 4.1 de la Parte Especial, sobre qué monto se calcula este porcentaje, ya que al calcularlo se desconoce todavía el monto correspondiente al Recaudo Proyecto?</t>
  </si>
  <si>
    <t xml:space="preserve">La Entidad aclara al interesado que conforme a los estipulado en la Tabla de Referencia del Contrato Parte Especial 3.14 (h) (iv)(2), se específica el orden y los montos para el fondeo de la Subcuenta de Recaudo de Peaje. En este sentido, el porcentaje establecido para el fondeo de la Unidad Funcional 0, aplicará sobre los recursos que hayan quedado disponibles, luego de haber realizado el fondeo a la Subcuenta de depósito Especial. Posteriormente y una vez atendido el fondeo de la Unidad Funcional 0, con los recursos remanentes, se fondeará la Subcuenta de Contingencias hasta alcanzar el monto señalado o la fecha máxima y finalmente, con el remanente del Recaudo de Peaje con los porcentajes destinado a las demás Unidades Funcionales con base en la estipulado en la sección 4.1 de la Parte Especial. </t>
  </si>
  <si>
    <t>Contrato Parte Especial Tabla 3.14(h)(iv)(2)
Contrato Parte Especial 4.1</t>
  </si>
  <si>
    <t>Los resultados del estudio de tráfico con los que fue estructurado el proyecto son claramente optimistas frente al contexto actual de la economía. Sugerimos examinar diferentes opciones para hacer frente a esto, en especial en los primeros años de la concesión: aumentar el porcentaje de retribución de la UF0, asignar porcentajes positivos del recaudo a las UF1 y UF5 en los primeros años, disminuir el porcentaje del recaudo destinado al Depósito Especial y a las Contingencias, eliminar el Factor de Calidad.</t>
  </si>
  <si>
    <t>Cuarto de Datos: Estudio de Tráfico y Demanda
Contrato Parte Especial 4.1</t>
  </si>
  <si>
    <t>Capitulo de redes: El archivo MV-C02-HD-PL-001-PP-MJ R0.dwg, tiene un archivo de referencia externa denominado "Ortofoto_Cali-Jamundi", el cual no se encuentra cargado en el cuarto de datos de la ANI</t>
  </si>
  <si>
    <t>Cuarto de datos de la ANI: Documentos de Redes: B31211 01. Carpeta LOCALIZACIÓN ODT</t>
  </si>
  <si>
    <t>Capitulo de redes: ¿Existe algún plano donde se encuentre una base de las redes del corredor, de tal forma que se pueda verificar la longitud de interferencia?</t>
  </si>
  <si>
    <t>Cuarto de datos de la ANI: Documentos de Redes</t>
  </si>
  <si>
    <t>Capitulo de redes: El archivo MV-C03-HD-PL-001-PP-MJ R0.dwg, tiene un archivo de referencia externa denominado "Jamundí-Villarrica", el cual no se encuentra cargado en el cuarto de datos de la ANI</t>
  </si>
  <si>
    <t>Cuarto de datos de la ANI: Documentos de Redes:B41212. Carpeta 01. LOCALIZACIÓN ODT</t>
  </si>
  <si>
    <t>Capitulo de Geometría: Los planos corresponden al Diseño geométrico, planta perfil, pero en el perfil no se presentan las obras hidráulicas.</t>
  </si>
  <si>
    <t>Cuarto de datos de la ANI: Documentos de Redes: B41212. Carpeta 01. LOCALIZACIÓN ODT</t>
  </si>
  <si>
    <t>Capitulo de redes: ¿De acuerdo a lo que se documento en el informe de redes, cual fue el factor o criterio utilizado para suplir la incertidumbre de la información no suministrada por las empresas de servicios públicos?</t>
  </si>
  <si>
    <t>Cuarto de datos de la ANI: Documentos de Redes: F1211</t>
  </si>
  <si>
    <t>Capitulo de redes: En los planos presentados, la información no tiene la resolución lo suficientemente clara para diferenciar red de alta y media tensión de acuerdo a las convenciones presentadas en plano. ¿Se tiene un archivo con el que se pueda detallar de la mejor manera esta información?</t>
  </si>
  <si>
    <t>Cuarto de datos de la ANI: Documentos de Redes: F12245</t>
  </si>
  <si>
    <t>Capitulo de redes: En el archivo Plano_Corredores_13(ALC).dwg, se presenta un cuadro de convenciones pero las mismas no son claras y no se presentan longitudes de interferencia de redes para cada uno de los tramos que hacen parte del corredor. ¿Existe un plano con una mejor resolución? Esto para poder validar las longitudes de interferencias.</t>
  </si>
  <si>
    <t>Capitulo predial: ¿Dentro de la información predial se evaluó , la existencia de predios baldíos ( se realizó alguna gestión ante la ANT)?</t>
  </si>
  <si>
    <t>Cuarto de datos de la ANI: Documentos prediales</t>
  </si>
  <si>
    <t>Capitulo predial: ¿Se verificó la existencia de predios ejidos? (ejidos: Son aquellos terrenos urbanos que hacen parte del patrimonio de una entidad territorial, que se caracterizan por ser imprescriptibles, y pueden enajenarse y explotarse en favor del mismo ente municipal o de la comunidad.)</t>
  </si>
  <si>
    <t>Capitulo predial: No se encuentra una sabana predial y tira topográfica consolidada y actualizada. Por favor aclarar si esta información existe y su ubicación dentro de los archivos.</t>
  </si>
  <si>
    <t>Capitulo predial: ¿Existen archivos GDB, SHP de la tira topográfica predial, ZHF, ZHGE?</t>
  </si>
  <si>
    <t>Capitulo predial: ¿Existen archivos .XLS de la sabana predial consolidada?</t>
  </si>
  <si>
    <t>Capitulo predial: ¿Se verificaron licencias de construcción y/o planes parciales vigentes?</t>
  </si>
  <si>
    <t>Capitulo predial: ¿La información jurídico catastral y geográfica son de qué fecha?</t>
  </si>
  <si>
    <t>Capitulo predial: ¿Dónde se encuentran los anexos de este informe?</t>
  </si>
  <si>
    <t>Cuarto de datos de la ANI: Documentos prediales: E14111</t>
  </si>
  <si>
    <t xml:space="preserve">Capitulo predial: ¿Cuál fue el criterio para estimar el lucro cesante en 6% para predios residenciales y 20% para predios comerciales? </t>
  </si>
  <si>
    <t>Capitulo predial: ¿Se cuenta con los informes de las Zonas Homogéneas Físicas- ZHF y las Zonas Homogéneas Geoeconómicas- ZHGE?</t>
  </si>
  <si>
    <t>Capitulo predial: La carpeta se encuentra sin información</t>
  </si>
  <si>
    <t>Cuarto de datos de la ANI: Documentos prediales: H812</t>
  </si>
  <si>
    <t>Cuarto de datos de la ANI: Documentos prediales: H721</t>
  </si>
  <si>
    <t>Capitulo predial: El archivo no se encuentra de acuerdo con lo relacionado en el índice</t>
  </si>
  <si>
    <t>Cuarto de datos de la ANI: Documentos prediales: H373</t>
  </si>
  <si>
    <t>Cuarto de datos de la ANI: Documentos prediales: H374</t>
  </si>
  <si>
    <t>Cuarto de datos de la ANI: Documentos prediales: H405</t>
  </si>
  <si>
    <t>Cuarto de datos de la ANI: Documentos prediales: H5159</t>
  </si>
  <si>
    <t>Cuarto de datos de la ANI: Documentos prediales: H5193</t>
  </si>
  <si>
    <t>Cuarto de datos de la ANI: Documentos prediales: H61-51</t>
  </si>
  <si>
    <t>Cuarto de datos de la ANI: Documentos prediales: H61-52</t>
  </si>
  <si>
    <t>Cuarto de datos de la ANI: Documentos prediales: H613</t>
  </si>
  <si>
    <t>Capitulo predial: Dentro de la documentación no se encuentra una estimación total de áreas construidas requeridas y su respectivo valor. ¿Existe esta información?</t>
  </si>
  <si>
    <t>Capitulo predial: Dentro de la información publicada no se encuentra una identificación de invasiones al derecho de vía ¿Existe esta información?</t>
  </si>
  <si>
    <t>Capitulo predial: Para las industrias de alto impacto y comercio de alto impacto ¿Qué tipo de metodología utilizaron para las estimaciones de valores comerciales del terreno, construcciones y lucro cesante? Ya que no se encuentra claramente esta información dentro de los archivos publicados.</t>
  </si>
  <si>
    <t>Capitulo predial: No se encuentra el estudio referente a la valoración de arboles, cultivos y especies ¿se tiene algún estudio al respecto? De ser así, por favor referirnos el archivo dentro del cuarto de datos.</t>
  </si>
  <si>
    <t>Capitulo de Geotecnia: ¿Cual es el criterio o metodología empleada para definir el perfil estratigráfico en la localización de los apoyos de los puentes? Considerando que los estudios de la campaña geotécnica no cuentan con perforaciones o apiques en dichas localizaciones.</t>
  </si>
  <si>
    <t>Cuarto de datos de la ANI: Documentos geotecnia</t>
  </si>
  <si>
    <t xml:space="preserve">Capitulo de Geotecnia: Dado que en los apoyos de los puentes peatonales no se encuentra información de perforaciones geotécnicas, ¿Qué criterio se empleó para realizar una interpolación estratigráfica y definir la profundidad y el desempeño de los pilotes propuestos? </t>
  </si>
  <si>
    <t>Capitulo de Geotecnia: ¿Que criterio o especificación se tuvo en cuenta para definir la localización de las perforaciones en relación con los puentes?</t>
  </si>
  <si>
    <t>Capitulo de Geotecnia: ¿Se cuentan con ensayos de suelos en las zonas designadas para la disposición de materiales?</t>
  </si>
  <si>
    <t>Cuarto de datos de la ANI: Documentos geotecnia: MV-C02-GG-IF-001-R0</t>
  </si>
  <si>
    <t>Capitulo de Geotecnia: Dentro de la información no se evidencia información detallada en relación con los diseños de conformación de Zodmes. ¿Se encuentra esta información dentro del cuarto de datos?</t>
  </si>
  <si>
    <t>Capitulo de Geotecnia: Dentro de la información no se evidencia información detallada en relación con certificaciones de materiales de agregados de empresas de la región. ¿Se encuentra esta información dentro del cuarto de datos?</t>
  </si>
  <si>
    <t xml:space="preserve">Capitulo de Geotecnia: ¿El material de relleno y trasdós de los muros estabilizados con neumáticos, cumplen con las especificaciones de las normas colombianas? </t>
  </si>
  <si>
    <t>Capitulo de Geotecnia: ¿Qué diseños se presentaron para el manejo del drenaje en los terraplenes estabilizados con neumáticos? Debido a que dentro de la información del cuarto de datos no se encuentra dicha información.</t>
  </si>
  <si>
    <t>Capitulo de Geotecnia: ¿Que criterios o especificaciones se tuvieron en cuenta en la elaboración del plan de exploración de la campaña geotécnica?</t>
  </si>
  <si>
    <t>Capitulo de Geotecnia: Dentro de la información del cuarto de datos, no se evidencia la existencia de ensayos de consolidación. ¿Estos existen?</t>
  </si>
  <si>
    <t>Capitulo de Geotecnia: ¿Existen las memorias de los ensayos de corte directo para los ensayos realizados?</t>
  </si>
  <si>
    <t>Cuarto de datos de la ANI: Documentos geotecnia: MV-C02-GG-FT-003-R0</t>
  </si>
  <si>
    <t>Capitulo de Pavimentos: ¿Existe mas evidencia de mantenimiento rutinario entre el 2019 a la fecha?</t>
  </si>
  <si>
    <t>Cuarto de datos de la ANI: Documentos Pavimentos</t>
  </si>
  <si>
    <t>Capitulo de Pavimentos: Dentro de la información del cuarto de datos, no se evidencia la existencia de  un plano de localización de apiques. ¿Estos existen?</t>
  </si>
  <si>
    <t>Capitulo de Pavimentos: ¿Se cuentan con datos relacionados con fricción de las unidades funcionales 3, 4 y 5?</t>
  </si>
  <si>
    <t>Capitulo de Pavimentos: ¿Existe información relacionada con mediciones del IRI?</t>
  </si>
  <si>
    <t>Capitulo de Pavimentos: ¿Cómo se hizo la estimación de cantidades e intervenciones para las vías del factor de calidad, ya que no se encuentra la información disponible (diseños, ensayos) en el cuarto de datos?</t>
  </si>
  <si>
    <t>Capitulo de Pavimentos: ¿Existe información relacionada con georradar de la unidad funcional 4?</t>
  </si>
  <si>
    <t>Capitulo de Pavimentos: ¿Existe información relacionada con deflectometría de las unidades funcionales 3, 4 y 5?</t>
  </si>
  <si>
    <t>Capitulo de Pavimentos: ¿existe información relacionada con ahuellamiento de las unidades funcionales  4 y 5?</t>
  </si>
  <si>
    <t xml:space="preserve">Capitulo de Geotecnia y Ambiental: De acuerdo con la información del cuarto de datos, no se encuentran planos con respecto a la localización de los Zodmes y fuentes de material consideradas en el proyecto. </t>
  </si>
  <si>
    <t>Cuarto de datos de la ANI: Documentos Geotecnia y Ambiental</t>
  </si>
  <si>
    <t>Capitulo Ambiental: Cuantos PAGAS se consideraron en la estructuración del proyecto?</t>
  </si>
  <si>
    <t>Cuarto de datos de la ANI: Documentos Ambientales</t>
  </si>
  <si>
    <t>Capitulo Social: ¿Se tiene algún avance o novedad referente a la protocolización sin acuerdos de la consulta previa de Dos Aguas - Cascajal?</t>
  </si>
  <si>
    <t>Cuarto de datos de la ANI: Documentos Social</t>
  </si>
  <si>
    <t>Capitulo Ambiental: Para la valoración de las compensaciones ambientales que periodo de mantenimiento ¿Qué periodo se contemplo para estas?</t>
  </si>
  <si>
    <t xml:space="preserve">Capitulo de estructuras: El diseño del puente Versalles de realizó en el año 2015 teniendo como base los lineamientos establecidos en el CCSP-95 cuando ya se encontraba en vigencia el CCP-14.  </t>
  </si>
  <si>
    <t>Cuarto de datos de la ANI: Documentos Estructuras</t>
  </si>
  <si>
    <t>Capitulo de estructuras: Puente Variante El Bolo: La resistencia (25 Mpa) propuesta para los pilotes de concretos en los planos no cumple resistencia (28 Mpa) mínima según Especificaciones Generales de Construcción INVIAS y según lo mostrado en la memoria de cálculo</t>
  </si>
  <si>
    <t>Capitulo de estructuras: Dentro del cuarto de datos, no se evidenciaron ensayos directos de patología, para el diagnostico de las estructuras existentes. Por favor aclarar ¿Cual fue el criterio o metodología para definir el nivel de intervención de las estructuras existentes?</t>
  </si>
  <si>
    <t>Capitulo de estructuras: Obras de contención y puentes, únicamente se encontró una memoria de calculo para un puente de vigas y losa de 18 m de longitud.</t>
  </si>
  <si>
    <t>Cuarto de datos de la ANI: Documentos Estructuras: G5-8</t>
  </si>
  <si>
    <t>Capitulo de estructuras: No aparece información (carpetas) H4070, H4073, H4074, H4076, H4077, H4079, H4080, H4081 relacionada con puentes peatonales.</t>
  </si>
  <si>
    <t>Capitulo de Transito: No se evidencia la existencia de un estudio de colas para el dimensionamiento de los carriles de aceleración, desaceleración, basculas de pesaje</t>
  </si>
  <si>
    <t>Cuarto de datos de la ANI: Documentos Transito</t>
  </si>
  <si>
    <t>Capitulo de Transito: No se evidenció un estudio de niveles de servicio, para las intersecciones planteadas</t>
  </si>
  <si>
    <t>Capitulo de geología: ¿ Se realizó algún tipo de validación de campo evaluando la geomorfología del proyecto? Ya que no se evidencia esta información dentro del cuarto de datos.</t>
  </si>
  <si>
    <t>Cuarto de datos de la ANI: Documentos Geología</t>
  </si>
  <si>
    <t>Capitulo de áreas de servicio: ¿Existen planos de localización y diseño de basculas de pesaje, CCO y áreas de servicio?</t>
  </si>
  <si>
    <t>Cuarto de datos de la ANI: Documentos áreas de servicio</t>
  </si>
  <si>
    <t xml:space="preserve">Capitulo Ambiental: Teniendo en cuenta el alcance del proyecto por Unidad Funcional, ¿Cuantos PAGA se tienen proyectados para la ejecución de las actividades de rehabilitación y mantenimiento? En caso de que el Concesionario adjudicatario lo considere pertinente podría presentase un solo PAGA y adelantar los tramites de los permisos ambientales requeridos? </t>
  </si>
  <si>
    <t xml:space="preserve">Capitulo Ambiental: Las UF 3 y 4, cuyas actividades contemplan la construcción de vía nueva y la construcción de una segunda calzada, ¿Podrían hacerse visibles mediante la obtención de una sola licencia ambiental para las dos UF? </t>
  </si>
  <si>
    <t xml:space="preserve">Capitulo Ambiental: 	Teniendo en cuenta que la Consulta Previa con el Consejo Comunitario Las Dos Aguas de Cascajal se protocolizó con acuerdos parciales, ¿Existen acercamientos posteriores a fin de establecer contacto con la comunidad y llegar a acuerdos finales? </t>
  </si>
  <si>
    <t xml:space="preserve">Capitulo Ambiental: Los pasivos ambientales y sociales establecidos en la parte especial del contrato, ¿Se podrían ver modificados? Es decir, antes del inicio de las obras objeto del proceso ¿Podrían aumentar o disminuir? </t>
  </si>
  <si>
    <t xml:space="preserve">Capitulo Ambiental: ¿Existen riesgos asociados a que surjan nuevas consultas previas en las unidades funcionales del proyecto?    </t>
  </si>
  <si>
    <t xml:space="preserve">Capitulo Ambiental: De los costos asociados a los compromisos de las consultas previas, ¿Se encuentran incluidos en la subcuenta de compensaciones ambientales o en la de obras sociales? </t>
  </si>
  <si>
    <t>Capitulo Pavimentos:En el cuarto de datos no se evidencia la fecha de realización de los trabajos de campo. como IRI, Ahuellamiento y el levantamiento de daños. Fecha indispensable para el análisis del plan de mantenimiento, en donde se puede encontrar o en que fecha se realizaron?</t>
  </si>
  <si>
    <t>Capitulo Pavimentos:Para las zonas de peaje y pesaje existentes no se evidencia plan de mantenimiento ni rehabilitaciones propuestas, en que parte del cuarto de datos se puede encontrar?</t>
  </si>
  <si>
    <t>Capitulo Pavimentos:Dentro del apéndice se enuncia que no existirán zonas de pesaje nuevas, sin embargo, dice que estas deberán adaptarse a la ampliaciones, existe diseño de pavimentos de estas ampliaciones?.</t>
  </si>
  <si>
    <t>Capitulo FACTOR DE CALIDAD: ¿Existen Estudios Tecnicos , inventario del Estado de las vias, etc de las 2 vias que involucran como Factor de Calidad, si es asi donde se encuentran , ¿Nos podrían suministrar esta información?</t>
  </si>
  <si>
    <t>Cuarto de datos de la ANI: Documentos Tecnicos</t>
  </si>
  <si>
    <t>Capitulo dePRESUPUESTO: Es posible que la entidad suba al cuarto de datos los Presupuestos de Capex, Ambiental, Social,etc que se establecieron para proyectar un CAPEX de 1,16 Billones y un OPEX de 1, 36 Billones , podrían suministrar esta información?</t>
  </si>
  <si>
    <t>Capitulo de Pavimentos: ¿En el corredor 1 se tiene la tabla de intervencionesTabla 9.40  donde aparece Microfresado, Fresado, Refuerzo, Parcheo, etc es posible conocer x abscisado en cuales se aplican los mismos ,  y asi con las demas intervenciones de los otros corredores</t>
  </si>
  <si>
    <t>SAINC S.A., 15/05/2020</t>
  </si>
  <si>
    <t xml:space="preserve">En relación con el aviso de convocatoria y en general con los términos del presente proceso de selección, solicitamos a la ANI incorporar dentro del presente procedimiento cada uno de los medios electrónicos de los cuales disponga la entidad, en un todo de conformidad con las directrices emitidas por el Gobierno Nacional en los decretos de emergencia sanitaria. </t>
  </si>
  <si>
    <t>De la sección 1.6.3. del capítulo 1.6 costos de la oferta y de la celebración del contrato del pliego de condiciones establece: “Si algún Interesado considera que no ha podido obtener toda la información relevante de conformidad con este Pliego de Condiciones y sus Anexos, para evaluar la totalidad de obligaciones y riesgos que el Contrato prevé́, o si considera que sus propias estimaciones le hacen imposible la asunción de esas obligaciones y riesgos, deberá́ abstenerse de presentar Oferta. La presentación de la Oferta implica la aceptación de que esas obligaciones y riesgos serán enteramente asumidos en caso de que el Oferente resulte Adjudicatario del Contrato de Concesión, como contraprestación por el pago previsto en el Contrato y con base en su Oferta Económica.” (Énfasis fuera de texto). Observación: se solicita incorporar en el texto que la responsabilidad del contratista tendrá límite en excepciones, las derivadas de las circunstancias de fuerza mayor en los términos de ley, de acuerdo con el tratamiento establecido en la matriz de riesgos del contrato.</t>
  </si>
  <si>
    <t xml:space="preserve">Se informa al interesado que no se acepta su observación. La responsabilidad del contratista se encuentra regulada a lo largo del Contrato. En todo caso, la presentación de la Oferta implica la aceptación de que esas obligaciones y riesgos serán enteramente asumidos en caso de que el Oferente resulte Adjudicatario del Contrato de Concesión, como contraprestación por el pago previsto en el Contrato y con base en su Oferta Económica, de acuerdo con la asignación de riesgos prevista por la entidad. </t>
  </si>
  <si>
    <t xml:space="preserve">Aunque la Entidad entiende la situación actual y en respuesta a la misma se han ampliado los plazos, se informa al interesado que será responsabilidad de los Oferentes visitar e inspeccionar los sitios en los cuales se desarrollará el Proyecto, realizando todas las evaluaciones y estimaciones que sean necesarias para presentar su Oferta. Esta obligación hace parte de la debida diligencia que deberá adelantar en el Proceso de Selección. En todo caso, los lugares del Proyecto son transitables por el público adoptando las medidas de bioseguridad requeridas por el Gobierno Nacional.  </t>
  </si>
  <si>
    <t>En relación con cada una de las audiencias que se tendrán que surtir en el marco del proceso de selección, entre otras, la audiencia de apertura y cierre, audiencia de apertura de sobres 2 y adjudicación (sección 8.6. del Pliego de Condiciones), audiencia de aclaración al pliego de condiciones (sección 2.5.1. del Pliego de Condiciones) solicitamos a la ANI aplicar lo previsto en el artículo 1 del decreto 440 de 2020, en lo que se refiere a la celebración de audiencias públicas a través de medios electrónicos.</t>
  </si>
  <si>
    <t>En relación con el cronograma de la licitación pública contenido en el numeral 2.3. del Pliego de Condiciones, solicitamos que en el evento en que persista la situación de emergencia económica, social y sanitaria causada por Covid-19, cada una de las audiencias programadas en una sede física se gestionen por medios electrónicos habilitados por la Entidad para este efecto.</t>
  </si>
  <si>
    <t xml:space="preserve">Se informa al interesado que no se acoge su observación. La ANI considera que el plazo previsto para la constitución del SPV es suficiente y razonable toda vez que coincide con los plazos usualmente requeridos para adelantar este trámite. </t>
  </si>
  <si>
    <t xml:space="preserve">La sección 2.3 “Perfeccionamiento e Inicio de Ejecución del Contrato” de la Parte General del Contrato de Concesión indica los requisitos de perfeccionamiento e inicio de ejecución del Contrato. Le solicitamos a la ANI incorporar un numeral para regular aquellos eventos en los que el adjudicatario coincida con el Estructurador. En relación con esta regulación, solicitamos precisar que, en este caso, la ANI pagará al adjudicatario los costos de estructuración del Proyecto.
</t>
  </si>
  <si>
    <t>El numeral (v) del literal (a) de la sección 2.6. “declaraciones y garantías de las partes” de la Parte General del Contrato de Concesión establece: “Aceptación del Contrato: el Concesionario ha leído cuidadosamente los términos del Contrato, Parte General y Parte Especial, sus Apéndices y Anexos y demás documentos que hacen parte del mismo, hizo los comentarios que a su juicio fueron necesarios y, con la presentación de la Oferta, determinó que las modificaciones que se efectuaron por parte de la ANI durante el Proceso de Selección fueron adecuadas y suficientes para atender sus inquietudes. Declara asimismo que en los términos de la ley 1508 de 2012, del Artículo 24 de la Ley 80 de 1993 y en general de las normas y principios aplicables a la contratación pública, puso en conocimiento de la ANI aquellos apartes que a su juicio no eran claros y acepta que tales apartes fueron debidamente aclarados de manera que en el presente Contrato no existen apartes confusos ni contradicciones o de existirlos, están claramente solucionados con base en los criterios y reglas de interpretación contenidos en el mismo Contrato. El Concesionario declara que acepta los términos y condiciones del Contrato en la medida en que los ha estudiado y ha valorado con la diligencia necesaria el costo que implica el cumplimiento cabal, oportuno y conforme a los términos del Contrato de la totalidad de las obligaciones y de la asunción de los riesgos previstos en el Contrato sus Apéndices y Anexos. Particularmente, declara que ha efectuado una valoración de los riesgos a su cargo conforme a los términos del presente Contrato y acepta dicha asunción de sus efectos favorables y/o desfavorables sin limitación alguna.” (Énfasis fuera de texto)
Observación: El contratista adjudicatario únicamente puede realizar esta declaración, si cada una de sus observaciones relacionadas con la valoración de los riesgos son acogidas por la Entidad e incorporadas en la correspondiente matriz de riesgos.</t>
  </si>
  <si>
    <t xml:space="preserve">No se acepta la solicitud,teniendo en cuenta que las observaciones son un mecanismo de participación en el cual los interesados pueden presentar sus comentarios, sugerencias, inquietudes y solicitudes frente a los documentos del proceso de selección, con el fin de que la Entidad realice el análisis correspondiente y de ser procedente efectue los ajustes a que haya lugar. Lo anterior, no implica que la Entidad se encuentra en la obligación de aceptar todas las observaciones allegadas. 
En todo caso, con la presentación de la oferta, se entiende que el proponente acepta los términos y condiciones establecidos en la totalidad de los documentos que hacen parte integral del proceso y por lo tanto se encuentra obligado a realizar, entre otras, las manifestaciones indicadas. </t>
  </si>
  <si>
    <t>El numeral (13) del literal (iv) “Subcuenta Recaudo Peaje” del capítulo 3.14. “cuentas y subcuentas del Patrimonio Autónomo” indica que los “sobrantes serán trasladados mensualmente a la Subcuenta Excedentes ANI”. Le solicitamos a la ANI precisar a qué se refiere con “sobrantes”. Entendemos por “sobrantes” los recursos de peaje consignados por los usuarios en exceso del monto mínimo de recaudo. Le proponemos a la ANI que estos recursos sean transferidos a la Subcuenta Proyecto, teniendo en cuenta que estos recursos pueden contribuir a las necesidades del contrato.</t>
  </si>
  <si>
    <t>El subliteral (i) del literal (b) de la cláusula 4.12. de la Parte General del Contrato de Concesión señala que existirá “incompatibilidad entre especificaciones técnicas” cuando (1) impida la ejecución o el cumplimiento de la obra, (2) destruya sus resultados o (3) genere variaciones en los resultados. En relación con estos numerales solicitamos a la ANI incluir un (4) numeral que consiste en “cuando afecten las condiciones de seguridad vial”. Consideramos que este (4) numeral resulta determinante, para que, en eventos de contradicción entre especificaciones técnicas, se prefiera aquella interpretación que procure por la protección de la seguridad en el corredor vial concesionado.</t>
  </si>
  <si>
    <t>El numeral 15.2. literal g de la Parte General del Contrato de Concesión establece: “El inicio del procedimiento arbitral no inhibirá el ejercicio de las potestades sancionatorias ni de las facultades ajenas al derecho común y exorbitantes de que disponga la ANI conforme al Contrato y la Ley Aplicable. Los actos administrativos fruto del ejercicio de facultades excepcionales no podrán ser sometidos a arbitramento por ser competencia de la jurisdicción contenciosa administrativa.” Observación: El alcance de esta disposición de ninguna manera puede sustituir las normas de orden público, en particular, la posibilidad de practicar medidas cautelares relacionadas con la “suspensión de un proceso o actuación administrativa” el artículo 230 de la Ley 1437 de 2011, el cual señala: “Artículo 230. Contenido y alcance de las medidas cautelares Las medidas cautelares podrán ser preventivas, conservativas, anticipativas o de suspensión, y deberán tener relación directa y necesaria con las pretensiones de la demanda. Para el efecto, el Juez o Magistrado Ponente podrá decretar una o varias de las siguientes medidas: 1. Ordenar que se mantenga la situación, o que se restablezca al estado en que se encontraba antes de la conducta vulnerante o amenazante, cuando fuere posible. 2. Suspender un procedimiento o actuación administrativa, inclusive de carácter contractual. A esta medida solo acudirá el Juez o Magistrado Ponente cuando no exista otra posibilidad de conjurar o superar la situación que dé lugar a su adopción y, en todo caso, en cuanto ello fuere posible el Juez o Magistrado Ponente indicará las condiciones o señalará las pautas que deba observar la parte demandada para que pueda reanudar el procedimiento o actuación sobre la cual recaiga la medida.
3. Suspender provisionalmente los efectos de un acto administrativo. 4. Ordenar la adopción de una decisión administrativa, o la realización o demolición de una obra con el objeto de evitar o prevenir un perjuicio o la agravación de sus efectos. 5. Impartir órdenes o imponerle a cualquiera de las partes del proceso obligaciones de hacer o no hacer. PARÁGRAFO. Si la medida cautelar implica el ejercicio de una facultad que comporte elementos de índole discrecional, el Juez o Magistrado Ponente no podrá sustituir a la autoridad competente en la adopción de la decisión correspondiente, sino que deberá limitarse a ordenar su adopción dentro del plazo que fije para el efecto en atención a la urgencia o necesidad de la medida y siempre con arreglo a los límites y criterios establecidos para ello en el ordenamiento vigente.” (Énfasis añadido fuera de texto). 
En consecuencia, la facultad sancionatoria de la ANI no puede desconocer la competencia del tribunal arbitral, incluida la del decreto de medidas cautelares tendientes a suspender el inicio de un proceso o actuación administrativa.</t>
  </si>
  <si>
    <t>El numeral 9.7. “Etapa de Reversión” de la Parte General del Contrato de Concesión señala en su literal (g) que “los indicadores deberán cumplir con lo previsto en el Apéndice Técnico 4 para el recibo del Proyecto”. Nos permitimos solicitar a la ANI considerar que este Apéndice Técnico 4 contiene indicadores en Etapa de Construcción, por ello recomendamos crear unos indicadores aplicables para una eventual reversión en Etapa de Pre construcción.</t>
  </si>
  <si>
    <t xml:space="preserve">Del anexo 22. Matriz de riesgos recomendamos a la ANI incluir en su estructura de riesgos: (i) mecanismo mitigación de los riesgos y (ii) probabilidad de ocurrencia, esto es, riesgo bajo, riesgo medio-bajo, riesgo medio-alto o riesgo alto. En este sentido, es pertinente resaltar que el artículo 4° de la Ley 1150 de 2007 incluyó la obligación de incorporar en los pliegos de condiciones la “estimación, tipificación y asignación de los riesgos previsibles involucrados en la contratación estatal”. En relación con la calificación del riesgo, el CONPES 3714 de 2007 ofrece los siguientes lineamientos:
</t>
  </si>
  <si>
    <t>Efectos favorables y/o desfavorables de la variación en los costos asociados a las cantidades de obras requeridas para la prevención o solución de eventos geológicos. PRIVADO
Observación: Teniendo en cuenta la naturaleza de este riesgo, existe una alta probabilidad del descubrimiento de fallas geológicas no contempladas por la ANI en la estructuración del proyecto, y por tanto, tampoco incluidas por los oferentes en sus propuestas. La asignación de este riesgo exclusivamente al Concesionario no es razonable, como quiera que por la naturaleza del riesgo, los llamados a mitigarlo son ambas partes del contrato.</t>
  </si>
  <si>
    <t>RIESGO OPERACIÓN Y MANTENIMIENTO El numeral 16 de la matriz de riesgos asigna en el Concesionario los “efectos por las variaciones en los costos generados por la entrega anticipada o tardía de la infraestructura existente”
Observación: este riesgo debe ser asignado a la ANI pues en esta Entidad recae la obligación de entrega de la infraestructura existente. Por tanto, una entrega tardía o anticipada, así como sus mayores costos, recaerán únicamente en la Entidad.</t>
  </si>
  <si>
    <t>El numeral 18 de la matriz de riesgos asigna en el Concesionario los “efectos de las variaciones en las cantidades de obra requeridas para las obras de mantenimiento y las actividades de operación”
Observación: este es un riesgo que debe ser asumido por la ANI teniendo en cuenta (i) que el Concesionario únicamente está llamado a asumir las variaciones en cantidades de obra derivadas de un error o falta de diligencia en las obras de mantenimiento y operación demostrado por la ANI, y (ii) que todas las demás variaciones en las cantidades de obra, derivadas entre otros, intervenciones prioritarias no previstas, instrucciones de la ANI, situaciones de fuerza mayor recaen en la ANI.</t>
  </si>
  <si>
    <t>El numeral 19 de la matriz de riesgos asigna en el Concesionario los “efectos de las variaciones en los precios de los insumos para las obras de mantenimiento y las actividades de operación”
Observación: el Concesionario precisa que esta asignación de riesgo únicamente se extenderá en las variaciones normales de precios de insumos. En este sentido proponemos compartir el riesgo, en el sentido de asignar a la ANI los riesgos derivados de variaciones en los precios de insumos por encima del promedio usual de los precios de mercado.</t>
  </si>
  <si>
    <t>RIESGO COMERCIAL El numeral 20 de la matriz de riesgos asigna en el Concesionario el riesgo que consiste en “efectos de la variación en los ingresos por cambio de tráfico”
Observación: La asignación de este riesgo debe ser conjunta de la entidad y el contratista, toda vez que existen circunstancias ajenas a la voluntad del privado, que pueden alterar el comportamiento del tráfico más allá de su variación normal u ordinaria. Por tanto, solicitamos a la ANI incorporar en la tipificación del riesgo que, las variaciones de ingresos por cambio de tráfico que superen los rangos normales de variación, serán asumidas por la Entidad.</t>
  </si>
  <si>
    <t>El numeral 20 de la matriz de riesgos asigna en el Concesionario el riesgo que consiste en “efectos desfavorables sobre los ingresos derivados de evasión del pago de peaje”.
Observación: La asignación de este riesgo debe ser asumida por la ANI. La evasión de peaje se constituye en un asunto de manejo público que escapa a la administración del Concesionario.</t>
  </si>
  <si>
    <t>El numeral 20 de la matriz de riesgos asigna en el Concesionario el riesgo que consiste en “efectos de la variación de los ingresos por explotación comercial”. 
Observación: La asignación de este riesgo debe ser conjunta de la entidad y el contratista, toda vez que existen circunstancias ajenas a la voluntad del privado, que pueden alterar gravemente el ingreso por explotación comercial, sin que éste tenga la capacidad de mitigar el riesgo.</t>
  </si>
  <si>
    <t>RIESGO FINANCIERO El numeral 24 de la matriz de riesgos asigna en el Concesionario el riesgo que consiste en “efectos desfavorables de la no obtención del financiamiento del proyecto Privado”
Observación: La asignación de este riesgo debe ser conjunta de la entidad y el contratista, toda vez que existen circunstancias ajenas a la voluntad del privado, que pueden incidir en la no obtención del financiamiento del proyecto Privado. La ANI es conocedora del comportamiento que ha tenido el mercado al financiamiento de los proyectos de concesión 4G. Así, tanto Concesionario como ANI están llamados a administrar, manejar y mitigar este riesgo de financiamiento.</t>
  </si>
  <si>
    <t>El numeral 25 de la matriz de riesgos asigna en el Concesionario el riesgo que consiste en “efectos de la alteración de las condiciones de financiación y/o costos de la liquidez que resulten de la variación en las variables del mercado o condiciones del proyecto”
Observación: La asignación de este riesgo debe ser asumida por la ANI. La modificación de las variables del mercado o condiciones del Proyecto son aleas no transferibles al Concesionario.</t>
  </si>
  <si>
    <t>RIESGO LIQUIDEZ El numeral 27 de la matriz de riesgos asigna en el Concesionario el riesgo derivado del “efecto de las variaciones en la liquidez generada por variaciones en el tráfico”
Observación/: la falta de liquidez del contratista por circunstancias ajenas a su órbita de acción, representa un riesgo que el privado no está en capacidad de mitigar. En ese sentido, la entidad debe participar en la mitigación de este riesgo para garantizar la buena ejecución del contrato. En ese sentido la asignación debe ser asignada a la Entidad.</t>
  </si>
  <si>
    <t>RIESGO FUERZA MAYOR Siguiendo lo dispuesto en la ley 1150 de 20072, la Matriz de riegos propuesta por la Entidad, contiene la distribución, tipificación, asignación y tratamiento de los riegos durante la ejecución del Contrato. Particularmente, los riesgos 37 y siguientes, corresponden a los eventos de fuerza mayor3:Si bien la Entidad determina nueve (9) eventos de fuerza mayor, con su correspondiente tratamiento y asignación, se presentan imprecisiones del siguiente tenor:
1. El Contrato – Parte general – determina en su numeral 7.4 los eventos en los que se configuran eximentes de responsabilidad, consistentes en “Fuerza Mayor Predial”, que contienen eventos de adquisición predial y de disponibilidad predial, correspondientes a los Riesgos 37 y 38 respectivamente. En efecto, la matriz de riesgos asigna estos riesgos a la Entidad pública, pero incorpora el adverbio “PARCIALMENTE” para establecer un límite al tratamiento del riesgo asignado.
Sin embargo, se observa que en el texto del Contrato no es claro cuál es el límite que pretende la entidad, respecto de los eventos eximentes de responsabilidad descritos en el numeral 7.4. Por tanto, se solicita determinar con claridad a qué se refiere con “parcialmente los efectos derivados (…)”
2. En el mismo sentido, los riesgos 39, 40, 41,42, 43 y 45 – asignados todos a la Entidad – incorporan el adverbio “parcialmente”, sin establecer claramente los límites de su tratamiento y sus efectos. En este sentido, es importante aclarar si entonces corresponde a riesgos compartidos, como quiera que el contratista adjudicatario resultaría asumiendo una parte de los efectos de la asunción de estos riesgos, particularmente los efectos de carácter económico y respecto del plazo contractual.
3. Contrario a lo establecido en el Contrato – Parte general - 4, la matriz de riesgos no constituye una referencia sino que corresponde a un documento integrante del Contrato; pero en todo caso, esto no es óbice para que los documentos guarden coherencia en su contenido. El Contrato (Página 207) contiene los “Riesgos de la ANI”, lo que significa que en un ejercicio de debida planeación y estructuración del proyecto, se determinó que la Entidad se encontraba en mejor posición para mitigar y realizar el tratamiento correspondiente a los eventos que le fueren asignados.En este sentido, los veinticuatro (24) riesgos contenidos en el Numeral 3.3. “Riegos de la ANI” deberán ser asumidos propiamente por la Entidad, incluyendo los eventos de fuerza mayor, y sin delimitación alguna de la responsabilidad en sus efectos.
Por su parte, la matriz de riesgos - riesgos 39,40,41,42, 43 y 45 – determina que son asignados a la Entidad pero le otorga un matiz consistente en establecer que serán asumidos “parcialmente”; por lo que estaría asignando el riesgo de manera compartida, y en contravía de los dispuesto en el texto del Contrato.
En este orden de ideas, se advierte la diferencia entre la asignación de riesgos contenida en el Contrato y la asignación de riesgos de la Matriz de riesgos, por lo que se requiere aclarar dicha contradicción
4. Adicional a los eventos de fuerza mayor - analizados en precedencia - entre la Matriz de riesgos y el capítulo xiii – ecuación contractual y asignación de riesgos – existen más diferencias en cuanto a la determinación de los riesgos, su tratamiento y asignación. En consecuencia, solicitamos a la entidad determinar de manera clara cuál documento es procedente para el análisis de riesgos del contrato y cuáles corresponden realmente a los riesgos.</t>
  </si>
  <si>
    <t>RIESGO SOBERANO El numeral 30 de la matriz de riesgos asigna en el concesionario el riesgo derivado del “efecto de las variaciones en las condiciones macroeconómicas que tengan impacto en el proyecto”
Observación: el CONPES 3714 de 2011, establece en relación con las condiciones macroeconómicas que no podrán trasladarse riesgos que el contratista no pueda controlar tales como “condiciones macroeconómicas no previsibles, las cuales por ser imprevisibles escaparían de la órbita de aplicación del artículo 4 de la Ley 1150 de 2007.” En conclusión, el riesgo por expresa recomendación del CONPES debe estar asignado a la ANI.</t>
  </si>
  <si>
    <t>RIESGO REGULATORIO El numeral 34 de la matriz de riesgos tipifica a cargo del Concesionario el riesgo que consiste en los “eefectos de los cambios en la normatividad (General)”. A su vez, el numeral 35 de la matriz de riesgos asigna entre el Concesionario y la ANI el riesgo que consiste en “efectos de los cambios en Normatividad Tributaria”
Observación: en relación con los “riesgos regulatorios” el CONPES 3714 de 2007 señala que “se recomienda que por regla general, el riesgo lo asuma la parte que cuenta con un manejo y posibilidad de administración efectiva de los riesgos regulatorios por su naturaleza y en virtud de las normas propias de cada regulación.”
En este sentido anotamos que en palabras del Ministerio de Hacienda y Crédito Público “el actor con mayor capacidad para manejar riesgos es aquel que más influencia tiene sobre la probabilidad de que ocurra un evento adverso, o aquel que pueda manejar mejor sus consecuencias. Por lo tanto, se deberá asignar el riesgo a la parte que lo maneje al menor costo. En otras palabras, si el costo de prevenir un evento adverso es menor que el costo de manejar sus consecuencias (o viceversa), el riesgo debe asignarse a quien tenga una mayor capacidad de influenciar la probabilidad de ocurrencia (o de manejar sus consecuencias, en caso de que la situación sea la contraria)”
Con esta literatura que enmarca la gestión de riesgos, resulta claro que el riesgo regulatorio recae únicamente en la ANI pues es el Estado quien tiene la capacidad de manejo, control y mitigación de los aspectos regulatorios asociados al contrato de concesión.</t>
  </si>
  <si>
    <t>RIESGO TECNOLOGICO: La matriz de riesgos no tipifica, asigna ni estima este riesgo. El riesgo tecnológico de acuerdo con la metodología de contingencias del Ministerio de Hacienda y Crédito Público consiste en “el advenimiento de nuevos desarrollos tecnológicos o estándares que deben ser tenidos en cuenta para la ejecución del contrato”. El efecto de este riesgo consiste en que puede ocasionar “cambios en las condiciones contractuales exigencias técnicas, sobrecostos”.
Observación: la cláusula 8.3. De la Parte General del Contrato de Concesión señala en relación con la implementación de nuevas tecnologías para el recaudo de peaje:
“8.3 Implementación de nuevas tecnologías para recaudo electrónico de Peajes
(a) En cualquier momento de ejecución del Contrato, el Concesionario deberá implementar el protocolo tecnológico para recaudo electrónico de Peajes que llegare a indicar la ANI. En el caso que esa implementación implique costos adicionales a los que corresponden a las obligaciones a cargo del Concesionario relacionadas con la adopción de tecnologías de recaudo previstas en este Contrato, particularmente en el Apéndice Técnico 2, la ANI asumirá los sobrecostos (entendido como la diferencia entre el costo de la implementación de las nuevas tecnologías y el costo previsto respecto de las obligaciones a cargo del Concesionario en este Contrato) y en línea con lo establecido en la Sección 13.3(p) de esta Parte General. Para tal fin, el Concesionario financiará los sobrecostos respectivos y la ANI pagará al Concesionario lo que corresponda, para lo cual atenderá su obligación con cargo a los recursos disponibles de que trata la Sección 13.4 de esta Parte General, conforme al siguiente procedimiento” (Énfasis añadido).
Como se observa, la ANI podría exigir al Concesionario la implementación de un nuevo protocolo tecnológico para recaudo electrónico. Esta contingencia está definida en el contrato y la asignación de la misma recae en la ANI. Por tanto recomendamos que para garantizar la plena gestión de este riesgo se incorpore en la matriz de riesgos. La asignación no sólo incluirá cambio de tecnologías por recaudo electrónico, sino también cualquier otro tipo de cambio tecnológico exigido por la ANI y que conlleve a sobrecostos de ejecución.
Con lo anterior sugerimos incorporar en el matriz riesgo tecnológico tipificado como “el advenimiento de nuevos desarrollos tecnológicos o estándares que deben ser tenidos en cuenta para la ejecución del contrato”. Este riesgo, en particular, los cambios en las condiciones contractuales, exigencias técnicas, impacto en programación de obra y sobrecostos estarán asignado a cargo del ANI.</t>
  </si>
  <si>
    <t>INFRATA, 15/05/2020</t>
  </si>
  <si>
    <t>Por medio de la presente, y una vez revisadas todas las carpetas del servidor de la ANI, vemos que está faltando información relevante del Proyecto “Accesos Cali – Palmira”, que nos impediría poder realizar un buen estudio de tráfico.
A lo anterior, le sumamos, la actual situación causada por el COVID, la que está imposibilitando el poder desplazarnos a la zona del proyecto, debido al Estado de Emergencia, decretado por el Gobierno de Colombia
Por lo tanto, nos gustaría solicitarle, que pudiera suministrar la siguiente información:
1. Datos de trafico de las 8 estaciones de peajes existentes por categoría de vehículo, correspondientes a los meses de noviembre y diciembre de 2018.
2. Datos mensuales de trafico de las 8 estaciones de peajes existentes por categoría de vehículo, correspondientes al año 2019.
3. Datos mensuales de trafico de las 8 estaciones de peajes existentes por categoría de vehículo, correspondientes a los meses corridos del año 2020.
4. Mapa (pdf o “shape file” sistema GIS) del sistema de zonificación utilizado para las Encuestas de Origen- Destino (OD) incluida en el estudio de tráfico ICEACSA-Bonus. 
5. Mapa (o “shape files”) que contengan un índice numérico para las zonas correspondientes a las matrices de las Encuestas de Origen- Destino (OD) presentadas en el “Cuarto de Información de Referencia virtual” en las secciones 0AI276 and 0AI277.
6. Tarifas históricas por año de las 8 estaciones de peajes existentes por categoría de vehículo, correspondientes entre los años 2004 – 2020.
7. Tipologia de la mercancía transportada en vehículos pesados según datos de las Encuestas de Origen- Destino (OD) incluidas en el estudio de tráfico ICEACSA-Bonus.
La ausencia de esta información, provocaría que no se pudieran realizar de forma correcta las futuras previsiones de tráfico, lo que podría derivar en un problema de bancabildiad, al ser un proyecto de riesgo de tráfico.</t>
  </si>
  <si>
    <t>Carpetas de tráfico – Servidor ANI</t>
  </si>
  <si>
    <t>CEC, 15/04/2020</t>
  </si>
  <si>
    <t xml:space="preserve">Solicitamos modificar la exigencia que la certificación de pagos de seguridad social sea por los pagos exigibles a la fecha de cierre, "(es decir, en los que se haya causado la obligación de efectuar dichos pagos)", ya que a la fecha de cierre se puede tener causados pagos a la seguridad social, sin embargo todavía estar en el término establecido por la norma para el pago oportuno, pues la fecha límite se establece con el ultimo digito del NIT. Por tanto, sugerimos modificar la expresión en paréntesis para aclarar que son los  pagados  en los últimos seis meses contados a partir de la fecha de cierre de la licitación (similar a los pliegos tipo). </t>
  </si>
  <si>
    <t xml:space="preserve">Se aclara al interesado que la certificación de pagos de seguridad social y aportes parafiscales debe certificar que a la Fecha de Cierre ha efectuado el pago de los aportes correspondientes a la nómina de los últimos seis (6) meses calendario anteriores a la Fecha de Cierre, los cuales sean legalmente exigibles a la fecha. En esta medida, no se considera necesario hacer la precisión sugerida. </t>
  </si>
  <si>
    <t>Proyecto de Pliegos 4.1.10 Certificados de pagos a la seguridad social, líneas 3 a 6, pág. 38</t>
  </si>
  <si>
    <t>El pago de la Garantía de Seriedad, cuando ésta se haga exigible, tiene el carácter indemnizatorio, por lo tanto se solicita eliminar el derecho de la ANI de exigir la indemnización de los perjuicios adicionales, ya que el valor asegurado lo establece la entidad y debe entenderse como una tasación anticipada de perjuicios.</t>
  </si>
  <si>
    <t>Proyecto de Pliegos 4.1.14  (a) (vii) La Garantía de Seriedad de la Oferta (x), línea 46, pág. 44</t>
  </si>
  <si>
    <t xml:space="preserve">Se informa al interesado que el Oferente podrá acreditar Experiencia en Inversión en Proyectos de Infraestructura siempre que quien acredite la Experiencia haya sido parte del contrato en que tuvo lugar la financiación siempre que se cumplan los requisitos de la Sección 4.2.2(b). La asignación de la experiencia se hará de acuerdo con lo indicado por la Sección 4.2.2(d). De acuerdo con lo anterior, no se acepta su observación toda vez que la ANI considera que la regulación es clara y no requiere precisión adicional. </t>
  </si>
  <si>
    <t xml:space="preserve">4.2. Experiencia en inversión 4.2.2. (b) líneas 40 a 43 y (d) línea 20 </t>
  </si>
  <si>
    <t xml:space="preserve">Solicitamos eliminar la posibilidad que los estructuradores vigilados por la Superfinanciera puedan acreditar experiencia de inversión para participar de la licitación. La experiencia de inversión se debe acreditar por quienes efectivamente asumen la calidad de deudores, ser estructurador de una financiación no le otorga la experiencia en inversión que requiere la entidad para un proyecto como el que nos ocupa.. </t>
  </si>
  <si>
    <t xml:space="preserve">Se informa al interesado que no se acepta la observación. La ANI ha permitido acreditar Experiencia de inversión cuando: (i) se tenga la condición de deudor, (ii)sea el emisor de los títulos o (iii) haya sido el estructurador de la financiacion siempre que acredite esta última experiencia sea una entidad vigilada por la Superintendencia Financiera de Colombia. Esta regulación fue incluida con el fin de permitir pluralidad de participantes en el Proceso de Selección y la ANI la considera razonable y en línea con las necesidades del Proyecto. </t>
  </si>
  <si>
    <t>4.2.7. Experiencia en inversión (a), línea 21 y 20, pág. 48</t>
  </si>
  <si>
    <t xml:space="preserve">Se informa al interesado que su entendimiento no es correcto. El Oferente Estructura Plural podrá aportar varios Cupos de Crédito para cumplir con el requisito, pero en todo caso, no podrá aportar más de un (1) cupo de crédito por Integrante. Para el caso de Oferentes Individuales, se les permitirá acreditar el Cupo de Crédito con hasta dos (2) Cupos de Crédito. </t>
  </si>
  <si>
    <t>4.3.6 Cupo de Crédito Específico.(vi)  Línea 30 a 32 y Parágrafo 1 Líneas 38 a 43, pág. 54</t>
  </si>
  <si>
    <t xml:space="preserve">Amablemente solicitamos considerar la posibilidad de uso de caucho reciclado de origen nacional o internacional, ya que la oferta nacional de este material es insuficiente para cubrir la demanda. </t>
  </si>
  <si>
    <t>5.5.4. Factor de Calidad (b) Uso de mezclas asfálticas modificadas con grano caucho reciclado Parágrafo 3ro, línea 23, pág. 67</t>
  </si>
  <si>
    <t xml:space="preserve">Favor especificar a que se refiere el Parágrafo 1 del numeral 5.6.5.,lo anterior considerando que el numeral 5.6. esta regulando el puntaje adicional de oferentes con trabajadores en condición de discapacidad y el parágrafo habla de experiencia requerida relacionada con Experiencia de Inversión </t>
  </si>
  <si>
    <t xml:space="preserve">Se informa al interesado que el parágrafo 1 de la Sección 5.6.5. hace referencia a la Seccion 5.6.4 en donde se establece que "Para Estructuras Plurales, la Entidad tendrá en cuenta la planta de personal del Integrante de la Estructura Plural que aporte como mínimo el cuarenta por ciento (40%) de la experiencia requerida para el Proceso de Contratación". De acuerdo con el parágrafo observado, se entenderá por experiencia requerida, la Experiencia en Inversión. 
</t>
  </si>
  <si>
    <t>Parágrafo 1 5.6.5. líneas 18 a 20 pagina 68</t>
  </si>
  <si>
    <t>El numeral 5.1.1 del Proyecto de Pliego de Condiciones establece que son factores de selección la Oferta Económica, la Oferta de Mano de Obra Local, el Factor de Calidad, el Apoyo a la Industria Nacional y la acreditación de trabajadores en condición de discapacidad. Respecto del Factor de Calidad: (i) Su evaluación consiste en un puntaje por el compromiso de realizar unas obras adicionales y por el uso de mezcla densa en caucho reciclado, y (ii) también es el cuarto criterio de desempate. 
La Sección 5.5 del Proyecto de Pliego de Condiciones, que regula el Factor de Calidad, establece en su numeral 5.5.4(a) que las obras adicionales, de haberse comprometido el futuro Concesionario a realizarlas, tienen una asignación de riesgos específica indicada en la Sección 3.11 de la Parte Especial de la minuta del Contrato de Concesión (la “Parte Especial”). 
Ahora, al revisar la Sección 3.11 de la Parte Especial, vemos que la distribución de riesgos consiste, básicamente, en que el Concesionario asuma: (i) los riesgos de mayor valor de los Predios y de Compensaciones Económicas, (ii) los mayores costos por traslado y/o intervención de Redes, y (iii) los mayores costos de Compensaciones Socioambientales. Las obras del Factor de Calidad tienen, adicionalmente, una reversión especial regulada en la Sección 3.10 de la Parte Especial. 
Vemos que la regulación del Factor de Calidad por parte de la Agencia Nacional de Infraestructura pretende establecer una excepción a las reglas de asignación de riesgos definidas en el artículo 4º de la Ley 1150 de 2007, el numeral 5º del artículo 24 de la Ley 80 de 1993, el artículo 4º de la Ley 1508 de 2012 y las políticas CONPES de asignación y valoración de riesgos. Lo anterior teniendo en cuenta que riesgos cuyo impacto es absolutamente imprevisible, como el costo de los Predios requeridos para el desarrollo de las Intervenciones, los costos de traslado y protección de Redes y el valor de las Compensaciones Sociambientales se asignan al colaborador privado de forma ilimitada e indefinida, lo que constituye una abierta transgresión a lo establecido en el numeral 5º del artículo 24 de la Ley 80 de 1993, y que prohíbe que en los Pliegos de Condiciones y en los contratos estatales se establezcan condiciones o requisitos de extensión ilimitada o indefinida, so pena de ser ineficaces de pleno derecho. 
El documento CONPES 3714 recomienda que cláusulas como estás, de asignación de riesgos imprevisibles al futuro contratista, y que pretenden eludir el restablecimiento del equilibrio económico asignando aleas indefinidas o ilimitadas, se sustraigan de los textos contractuales y de la modelación económica y financiera por ser absolutamente ineficaces. Lo anterior va de la mano con la vasta línea jurisprudencial del Consejo de Estado que ha definido que a los contratistas no les pueden ser asignados riesgos anormales o extraordinarios, ni riesgos cuya existencia es previsible, pero sus impactos son desconocidos, como, por ejemplo, el riesgo geológico. 
En el caso que nos ocupa, vemos que las obras del Factor de Calidad, y que tienen las mismas connotaciones de diseño, estructurales, constructivas y financieras que el resto del alcance contractual, tienen una asignación de riesgos disímil y diferente que no encuentra justificación y, por ende, debe ajustarse. Expliquemos un poco lo señalando anteriormente: (i) las obras que son del alcance se regulan por una asignación de riesgos diferente a la establecida para las obras del Factor de Calidad; (ii) sin embargo, la diferenciación no se explica; (iii) adicionalmente, la asignación de riesgos para el Factor de Calidad no tiene ninguna valoración o cuantificación, por lo que se asigna de forma ilimitada e infinita al Concesionario, y (iv) la asignación no se hace bajo las políticas de riesgo imperantes, en la medida que no se asignan a la parte que están en mejores condiciones para asumir las contingencias derivadas de la mayor valoración de predios y compensaciones socioeconómicas, traslado y protección de Redes y Compensaciones Socioambientales. 
En consecuencia, la única diferencia entre las obras que son objeto del alcance y las que hacen parte del Factor de Calidad es que las segundas son factor de puntaje por parte de la ANI, lo que parece que, para la ANI, implica automáticamente una mayor responsabilidad o exposición al riesgo. Pues bien, consideramos que esa mayor exposición al riesgo que pueda llegar asumir el proponente que decida ejecutar las obras del Factor de Calidad no constituye una “eficiencia” de la cual pueda beneficiarse la ANI porque lo que va a generarse es que: (i) los costos de las obras del Factor de Calidad se incrementen para poder cubrir la excesiva asignación de riesgos; (ii) que correlativamente se reduzcan los costos del alcance original del proyecto, y (iii) que el proyecto sea menos atractivo para la inversión privada.
Finalmente, podría pensarse que, ante estas consideraciones, bien pueden los proponentes no ofertar las obras del Factor de Calidad y ya está. Pues bien, esta postura no protege otro de los principios fundantes de la contratación estatal, cual es la selección objetiva, y es que no se puede dar prevalencia a la selección de proponentes que se arriesguen a asumir riesgos que no van a poder cubrir, en desmedro de los otros tantos proponentes que decidan, de forma justificada y cuidadosa, no ejecutar las obras del Factor de Calidad. Evidentemente que la fijación de este criterio de asignación de puntaje (el Factor de Calidad) no está sustentado en seleccionar la oferta más favorable para la ANI, sino en seleccionar la oferta más costosa, en perjuicio del alcance del proyecto, y que genera una contingencia adicional para la entidad, cual es la de tener que asumir los perjuicios derivados de una indebida valoración y asignación de riesgos.</t>
  </si>
  <si>
    <t xml:space="preserve">Sección 5.5 del Pliego de Condiciones
Sección 3.11.1 de la Parte Especial
Sección 7.2 de la Parte General
Sección 8.1 de la Parte General
Sección 8.2 de la Parte General
</t>
  </si>
  <si>
    <t>La Sección 5.6 del Proyecto de Pliego de Condiciones regula todo lo referente a la asignación de puntaje a favor de proponentes que cuenten con trabajadores en condición de discapacidad, y lo hacen en los siguientes términos: (i) debe presentarse el Anexo 17A que indique el número de trabajadores en su planta de personal; (ii) certificado vigente del Ministerio de Trabajo que acredite el número de personas con discapacidad; (iii) si el Oferente es una Estructura Plural, se señala que sólo se tendrá en cuenta la planta de personal integrante que aporte como mínimo el 40% de la experiencia en inversión requerida. 
Varias son las inquietudes que surgen de la regulación de este criterio de asignación de puntaje: 
• En primer lugar, consideramos que este criterio de asignación de puntaje no debería exigirse a los proponentes sino al futuro Concesionario, por lo que debería cumplirse con el compromiso firme e irrevocable del proponente en el sentido que, de resultar adjudicatario, se compromete a que un porcentaje de su planta de personal sean trabajadores en condiciones de discapacidad, lo cual se acreditará ante el Ministerio de Trabajo y Seguridad Social. Lo anterior se exige por lo siguiente: (i) el criterio de asignación de puntaje como está consignado en el Proyecto de Pliego establece una regla de absoluta desigualdad para los proponentes extranjeros teniendo en cuenta que el Ministerio de Trabajo no certifica el número de trabajadores en condiciones de discapacidad de las empresas que se encuentran por fuera del territorio nacional; (ii) no tiene sentido asignar el puntaje al oferente para que luego éste, cuando le sea adjudicado el Contrato de Concesión, se libere de su compromiso de mantener en su planta de personal a los trabajadores en condiciones de discapacidad acreditados ante la ANI, y (iii) es una forma de proteger sólo formalmente a los trabajadores en condiciones de discapacidad, teniendo en cuenta que no existe compromiso alguno para mantener en la planta de personal a estas personas luego de la adjudicación y durante la ejecución del contrato de concesión. 
• Ahora, lo que sí debe aclarar la ANI es a qué se refiere con que sólo se tendrá en cuenta la planta de personal del integrante de la Estructura Plural que acredite como mínimo el 40% la experiencia en inversión, teniendo en cuenta que: (i) ¿eso significa que sólo un integrante de la estructura plural puede acreditar personal en condiciones de discapacidad?; (ii) ¿el integrante de la estructura plural que acredite el personal con discapacidad tiene que tener la calidad de Líder?; (iii) ¿cuál es la justificación de que sólo un integrante de la estructura plural, y que además sea Líder, sea el que acredite el cumplimiento de este criterio de asignación de puntaje; (iv) ¿de qué forma esta regla de los Pliegos protege a los trabajadores en condiciones de discapacidad?
• Si se decidiera mantener la regla tal como está en el Proyecto de Pliego de Condiciones, en cualquier caso debe ajustarse de tal forma que no sea un criterio que fomente la desigualdad entre los posibles interesados. De esta manera, debe establecerse una regla para que los interesados extranjeros puedan acreditar el cumplimiento de este requisito y puedan ser acreedores al puntaje. Bajo tal perspectiva, se propone que sea el revisor fiscal o el representante legal del Oferente Individual o del Integrante de la Estructura Plural, cuando no esté obligado a tener revisor fiscal, el que acredite la planta de personal y el personal con discapacidad. Dicha certificación puede ser una declaración bajo la gravedad de juramente debidamente apostillada para garantizar la autenticidad de la información. 
• De no ser procedente lo anterior, solicitamos, entonces, que, con el fin de preservar la igualdad entre los interesados, y tal como sucede, por ejemplo, con la preferencia de la oferta nacional sobre la extranjera, la acreditación del personal con discapacidad se tenga en cuenta únicamente como criterio de desempate, y no como criterio para asignación de puntaje.</t>
  </si>
  <si>
    <t xml:space="preserve">Sección 5.6 de los Pliegos de Condiciones </t>
  </si>
  <si>
    <t>La Sección 4.2.10 del Proyecto de Pliego de Condiciones regula lo referente a la acreditación de la Experiencia en Inversión en Estructuras Plurales, y señala que debe adjuntarse una certificación de la entidad contratante en la que conste: (i) fecha de suscripción del contrato, (ii) valor, (iii) obligaciones principales de la parte privada, y (iv) que el contrato no haya sido objeto de terminación por incumplimiento, y que no se hubieran hecho efectivas las garantías. Tratándose de contratos en ejecución, la certificación no debe tener fecha de expedición mayor a tres meses contados desde la publicación de la Licitación en el SECOP.
Sobre el particular, preguntamos: 
• Entendemos que una certificación de un contrato en ejecución que se expidió el 6 de abril de 2020 sería válida bajo la regla del Pliego de Condiciones, teniendo en cuenta que se expidió tres meses antes de la creación del proceso en el SECOP, según lo establecido en el Link: https://www.contratos.gov.co/consultas/detalleProceso.do?numConstancia=20-19-10660579 Por favor confirmar que nuestro entendimiento sea correcto. 
• Ahora bien, atentamente consideramos que los Pliegos de Condiciones deben ajustarse a la situación de emergencia actual, lo que significa que va a ser bastante complejo para los interesados en participar obtener este tipo de certificaciones cuando, como medida sanitaria, las entidades gubernamentales han optado por limitar drásticamente la atención al público, ampliando los plazos que tienen para contestar derechos de petición, por ejemplo, o, incluso, suspendiendo el desarrollo de ciertos trámites administrativos. En virtud de lo anterior, y con miras a permitir la mayor participación de interesados, solicitamos que la vigencia de la certificación referida en la Sección 4.2.10(c) del Pliego de Condiciones, tratándose de contratos en ejecución, tenga una fecha de expedición no mayor de seis (6) meses contados desde el 6 de abril de 2020, fecha de publicación de la Licitación Pública en el SECOP.</t>
  </si>
  <si>
    <t>Sección 4.2.10(c) de los Pliegos de Condiciones</t>
  </si>
  <si>
    <t>SMBC, 15/05/2020</t>
  </si>
  <si>
    <t>Compensación por imposibilidad de recaudar peajes, elusión y otros.
La Sección 3.3(g) establece que la ANI compensará al concesionario cuando sea imposible el recaudo de peajes, sujeto a que el concesionario demuestre que se ha presentado Elusión. La cláusula actual impacta la bancabilidad de los proyectos debido a que el periodo de 90 días durante el cual la ANI no compensará al concesionario aun cuando el riesgo se hubiese materializado impacta negativamente la certidumbre sobre los flujos del proyecto.
En la medida que el proyecto depende 100% de recaudo de tráfico, los financiadores requerirán mitigantes para que el 25% del tráfico por año (equivalente al trimestre por el que no responde la ANI) este reservado, lo posiblemente limitará la capacidad de endeudamiento o el apetito de los bancos en participar en la transacción ya que se está generando un potencial problema de solvencia para los concesionarios.
El proceso de determinación del tráfico y la reconciliación con las proyecciones no impiden que la compensación pueda ser retroactiva. De esta manera, el problema de solvencia que crea la clausula actualmente puede ser solucionado y convertirse en tan solo una necesidad de liquidez transitoria.</t>
  </si>
  <si>
    <t>Elusión
El concepto de Elusión es de la mayor importancia para los financiadores, ya que representa una potencial reducción de los flujos de caja que esta por fuera del control del concesionario y de los financiadores. Entendemos que el riesgo esta asignado a la ANI. Por tanto, el procedimiento para que se gatille la compensación debe ser claro y efectivo. De lo contrario, el apetito de los financiadores se vera afectado.
El lenguaje actual da pie a interpretaciones y creemos que puede llevar a la ANI a negar la compensación. Consideramos que la ANI debería revisar el procedimiento de tal manera que los tiempos estén alineados con las necesidades del proyecto. Aconsejamos revisar la experiencia de Perú y Chile.</t>
  </si>
  <si>
    <t>Minuta del Contrato. Parte General. Numeral 3.3(h)(i)(4)
1.55 Parte General y Especial</t>
  </si>
  <si>
    <t>Obligaciones en materia de cambio climático.
Por favor tener en cuenta que las estructuras de Project Finance usadas para financiar este tipo de proyectos no permiten a los concesionarios obtener financiamiento adicional posterior a la fecha de cierre. Los financiadores solo permitirían deuda adicional si la fuente de repago de dicha deuda es diferente al recaudo de peajes, por ejemplo, pagos directos de la ANI.
Consideramos que las siguientes soluciones podrían ser viables:
• El fondeo de la cuenta de cambio climático debe ser determinado ex-ante y el riesgo debe ser determinado entre las partes, como con las demás subcuentas
• ANI reembolsa al concesionario por los fondeos a la cuenta de cambio climático, lo que permite separar los pagos entre los potenciales financiadores.</t>
  </si>
  <si>
    <t>Minuta del Contrato. Parte General:
Sección 3.14(g)(ix), 4.2 (ee),
Anexo Técnico 6 Ambiental - Sección 5.3</t>
  </si>
  <si>
    <t>Entrega de la Infraestructura
La entrega de la infraestructura se hará por etapas, pero el contrato de concesión establece que el concesionario asume el riesgo del estado en el que se entrega la infraestructura.
Los financiadores dependen de la revisión de la infraestructura para determinar los costos del proyecto. La incertidumbre respecto a los costos de la infraestructura entregada en la segunda etapa llevará a los financiadores a retrasar los cierres financieros, requerir reservas o garantías adicionales. La bancabilidad del proyecto se puede reducir por esta situación si adicionalmente se generan sobrecostos. La certidumbre sobre los costos es de la mayor importancia para asegurar la participación de los financiadores.</t>
  </si>
  <si>
    <t>Minuta del Contrato. Parte General Secciones
1.56 y 4.2(a)
Parte Especial Sección 3.6(f)</t>
  </si>
  <si>
    <t>Mayores costos de interventoría
Se establece que el concesionario estará obligado a realizar fondeos adicionales a la Subcuenta de Interventoría y Supervisión en las siguientes ocasiones:
- Plazo adicional sin sanciones
- Cuando el otorgamiento del Plazo de Cura implique la ampliación del plazo de la Fase de Preconstrucción o del plazo máximo del Plan de Obras por Unidad Funcional descrito en la Parte Especial.
- Obras voluntarias (para el seguimiento y control de la obra voluntaria)
Como se comenta anteriormente, la certidumbre sobre los costos es de la mayor importancia para asegurar la bancabilidad del proyecto. Los sobrecostos que no pueden ser determinados ex-ante por los financiadores reducen sustancialmente la bancabilidad del proyecto.</t>
  </si>
  <si>
    <t>Nuevas Consultas Previas
Uno de los problemas recurrentes durante el financiamiento de los proyectos 4G fue la materialización del riesgo de nuevas comunidades. Cabe tener en cuenta que los financiadores requerirán al concesionario que todas las consultas previas sean solucionadas previo al cierre financiero. De esta manera, las condiciones de cierre financiero del contrato de concesión deben estar alineadas con las realidades y requerimientos de los financiadores.
En todo caso, es el gobierno nacional quien tiene mayor control sobre la identificación y necesidades de las comunidades. Por tanto, consideramos que el riesgo de nuevas consultas previas sea asumido por la ANI.</t>
  </si>
  <si>
    <t>Minuta del Contrato. Parte General. Numerales 8.1 (d) 13.2(a)(iii) y
Apéndice Técnico 1, capítulo IX sobre obligaciones de las Consultas Previas</t>
  </si>
  <si>
    <t>COVID – 19 y sus efectos
Eventos como el COVID-19, desastres causados por el cambio climático u otras pandemias deben ser tenidos en cuenta en el contrato de concesión. Consideramos que la ANI es la parte mejor preparada para tomar dicho riesgo en la medida que el gobierno nacional es quien toma el liderazgo para la mitigación de estos casos. Por tanto, consideramos que la ANI debe asumir los riesgos y por tanto compensar al concesionario por los efectos de estas crisis.
Cabe tener en cuenta que medidas tomadas por otros países de la región, como Perú o Chile, llevaran a los financiadores a requerir cierta seguridad jurídica respecto a cambios en la ley aplicable, como por ejemplo el cambio en la ley de peajes en Perú.
Consideramos que los siguientes aspectos deberían ser incluidos en el documento y ser gatillados por eventos eximentes de responsabilidad o cambios de ley:
(i) En caso de imposibilidad de recaudar peajes y/o en caso de disminución significativa de los mismos, el concesionario debe tener derecho a una compensación plena (100%) por menor recaudo que deberá ser reconocida desde el momento en que la medida mencionada sea implementada.
(ii) El contrato podrá adicionarse en plazo, con la consecuente adición del ingreso esperado, VPIP, con el propósito de compensar el efecto de la reducción en ingresos y el aumento de costos que se generen con ocasión de la pandemia causada por el COVID 19 o cualquier otra pandemia.
(iii) En caso de parálisis, suspensión o disminución significativa en el ritmo de las obras, el concesionario tendrá derecho a ser compensado plenamente por los costos ociosos por la mayor permanencia en obra y además se le deben reconocer los costos financieros.</t>
  </si>
  <si>
    <t>Minuta del Contrato.
Parte Especial Sección 2.4(b)</t>
  </si>
  <si>
    <t>Fórmulas de liquidación del Contrato – Variable ARh
La variable ARh debe reconocer todos los costos y gastos incurridos por el Concesionario en desarrollo del Proyecto, estos no pueden ser limitados al listado contenido en la sección 18.3. Por ejemplo, se deberían reconocer los intereses de la deuda pagados durante construcción, el mantenimiento y costos operativos, costos de desarrollo, impuestos durante construcción, etc. en la medida que estos costos fueron necesarios para el desarrollo del proyecto. Cabe tener en cuenta que contablemente, se espera que estos costos sean parte del activo del concesionario (IFRS12). Este aspecto es importante para la bancabilidad del proyecto en la medida que otros países de la región con esquemas de concesión similares al propuesto en el contrato, Perú, reconocen estos costos en el pago por terminación.
Los costos asociados al Proyecto que serán reconocidos deberán corresponder a aquellos registrados por el Patrimonio Autónomo y verificados por el Interventor, sin el requisito que deban ser “a precio de mercado”
Adicionalmente, sugerimos incluir el costo de rompimiento de los derivados tanto en la variable ARh como en la formula Eh. Una gran parte de los proyectos 4G que lograron cierre financiero en los dos últimos años fueron liderados y estructurados por bancos internacionales que lograron movilizar dólares/pesos sintéticos. Las condiciones de mercado actuales y la falta de apetito de la banca local hacen pensar que serán los bancos internacionales quienes lideren los financiamientos y movilicen dólares/pesos sintéticos de nuevo. Este cambio ayudaría a incrementar la liquidez disponible para las financiaciones de todos estos proyectos en moneda local, aumentando la competitividad de los financiadores, lo que se reflejaría en ofertas de licitación más competitivas.
Por último, el valor de la variable AR, una vez certificada por el Interventor con base en los estados financieros auditados del Patrimonio Autónomo conforme con lo previsto en las Secciones 3.15(l)(xi) y 4.2(r) de la Parte General, y sin que haya habido discrepancia entre las Partes, o en caso de discrepancias, una vez resultas las mismas por parte del Amigable Componedor, deberá ser definitiva y no podrá estar sujeta a modificaciones posteriores cuando haya lugar a la aplicación de las fórmulas de liquidación. La falta de certidumbre respecto al pago por terminación reduce le bancabilidad de los proyectos. Esquemas de certificación como el mexicano o peruano que han probado ser exitosos podrían servir como referencia para el contrato 5G.</t>
  </si>
  <si>
    <t>Fórmulas de liquidación del Contrato – Variable Sh
Solicitamos que la variable Sh se aclare, pues no todos los riesgos que asume la ANI pueden ser deducidos, como actualmente está previsto. La variable Sh solo debe corresponder a los aportes que en efecto haya realizado la ANI y que aumenten la variable AR. Si no se afecta el AR, no debería restarse dicho aporte de la ANI pues es un riesgo asumido por la ANI; si se hace la deducción, en la práctica se le estaría transfiriendo dicho riesgo al Concesionario y por tanto los financiadores no estarán dispuestos a financiar los sobrecostos, reduciendo la bancabilidad del proyecto.</t>
  </si>
  <si>
    <t>Fórmulas de liquidación del Contrato – Variable Eh
Bajo el Contrato de Concesión, el Concesionario asume el riesgo de financiamiento, y puede establecer el ratio Equity-deuda según lo considere apropiado. En caso de que considere necesario aportar un monto de Equity mayor al establecido en la Parte Especial, no hay razón alguna para no reconocer dicho aporte en la fórmula de liquidación o limitarlo a un monto máximo. Es bien sabido que en este tipo de proyectos es común que se requiera aportar más Equity del inicialmente previsto por la ANI y el estructurador.
Solicitamos revisar la formula respecto a los intereses de la deuda. Consideramos que no deben ser incluidos en la formula. De ser incluidos, el resultado es que la deuda no estaría cubierta por el pago por terminación, lo que reduciría significativamente la bancabilidad de los proyectos.</t>
  </si>
  <si>
    <t>Silencio de la ANI - Cierre Financiero
Consideramos adecuado modificar el silencio negativo de la ANI cuando se acredite el Cierre Financiero. Los retrasos por parte de la ANI en la acreditación pueden poner en peligro el financiamiento del proyecto. En la medida que el riesgo de financiamiento es asignado al privado, las causas para la negación de la acreditación deben ser expuestas.</t>
  </si>
  <si>
    <t>Minuta del Contrato. Parte General 3.8 (e)f</t>
  </si>
  <si>
    <t>Soportes de Ingresos “SI”
En relación con este aspecto, tenemos dos solicitudes:
(i) Consideramos relevante para el proyecto que el Soporte de Ingresos al que hace referencia la Parte General del Contrato de Concesión sea incluido en el proyecto. Un ingreso mínimo reduce la volatilidad de los flujos del proyecto y por tanto incrementa la bancabilidad del proyecto.
(ii) Consideramos necesario tener en cuenta lo que se establece en la parte general del contrato en el numeral 3.4(b):
“Para cada periodo de doce (12) Meses consecutivos contados desde la suscripción de la última Acta de Terminación de Unidad Funcional -es decir desde el inicio de la Etapa de Operación y Mantenimiento-, si el valor del Recaudo de Peaje acumulado de los doce (12) Meses anteriores a dicho periodo es inferior al valor 𝑉𝑆𝐼𝑖 definido en la Parte Especial, la ANI pagará al Concesionario el Soporte de Ingresos de ese período …”
Dado que el proyecto cuenta con la UF0, en la que se comenzarán a recaudar peajes desde el comienzo, solicitamos que el Soporte de Ingresos no quede sujeto a que se haya suscrito la última Acta de Terminación de Unidad Funcional, sino que sea efectivo desde el comienzo de la operación y mantenimiento de la UF0.</t>
  </si>
  <si>
    <t>Lloreda Camacho, 15/05/2020</t>
  </si>
  <si>
    <t>Teniendo en cuenta que los estudios y documentos incluidos en el Cuarto de Datos, son un insumo fundamental para la presentación de la oferta y adicionalmente los pronunciamientos jurisprudenciales sobre la importancia de la información que las entidades contratantes ponen al servicio de los potenciales contratistas en aplicación del principio de planeación, les solicitamos retirar del numeral 1.7. del Pliego de Condiciones, la referencia a que la información corresponden a contenido “meramente informativo” que no generan las responsabilidades para la ANI previstas en los renglones 9-16 de la página 17.</t>
  </si>
  <si>
    <t>Pliego de Condiciones Sección 1.7.</t>
  </si>
  <si>
    <t>En relación con el cupo de crédito, solicitado para garantizar la pluralidad de oferentes y efectuar una solicitud proporcional al objeto del contrato, les solicitamos que cada una de las estructuras plurales pueda aportar más de un (1) cupo de crédito específico, en tanto que restringir su acreditación a un solo cupo restringe la participación de interesados que que están en posibilidad de obtener crédito, pero con diferentes bancos.</t>
  </si>
  <si>
    <t xml:space="preserve">Se informa al interesado que no se acepta su observación. La ANI considera que la regulación propuesta permite la pluralidad de Oferentes. Adicionalmente se aclara al interesado que el Oferente Estructura Plural podrá aportar varios Cupos de Crédito para cumplir con el requisito, pero en todo caso, no podrá aportar más de un (1) cupo de crédito por Integrante. Para el caso de Oferentes Individuales, se les permitirá acreditar el Cupo de Crédito con hasta dos (2) Cupos de Crédito. </t>
  </si>
  <si>
    <t>Pliego de Condiciones Sección 4.6.3. (a) (vi)</t>
  </si>
  <si>
    <t>En relación con el puntaje asociado al Apoyo a la Industria Nacional, entendemos que de conformidad con lo previsto en el numeral 5.4. del Pliego de Condiciones, los 100 puntos se pueden obtener si se ofrecen servicios nacionales, esto es que al 100% de la estructura plural u Oferente individual se le aplica trato nacional, o si el oferente ofrece bienes nacionales. Les agradecemos confirmar si nuestro entendimiento es correcto.</t>
  </si>
  <si>
    <t xml:space="preserve">Se informa al interesado que su entendimiento es correcto. Se asignará un total de 100 puntos a aquel Oferente colombiano o extranjero que acredite trato nacional. Así mismo, se asignarán 100 puntos a Oferente que incluya dentro de su oferta un ofrecimiento del 100% de bienes nacionales incorporado. 
</t>
  </si>
  <si>
    <t>Pliego de Condiciones Sección 5.4.</t>
  </si>
  <si>
    <t>Les agradecemos confirmar si la única alternativa para acceder a los 100 puntos por apoyo a la industria nacional, que tendrían las estructuras plurales integradas por al menos un miembro a quien no le aplicaría trato nacional, es ofrecer bienes nacionales en los términos de la Sección 5.4.5 (b) del Pliego de Condiciones.</t>
  </si>
  <si>
    <t xml:space="preserve">Se informa al interesado que su entendimiento es correcto. </t>
  </si>
  <si>
    <t>Pliego de Condiciones Sección 5.4.5. (b)</t>
  </si>
  <si>
    <t>De acuerdo con la Circular 17 de 205 expedida por Colombia Compra Eficiente resulta viable que los oferentes presenten traducciones simples de los documentos con sus ofertas y que solo en caso de adjudicación se aporte la traducción oficial correspondiente, por lo que les solicitamos modificar la Sección 6.2. del Pliego de Condiciones para precisar que las traducciones oficiales solo serán exigibles al adjudicatario del Proyecto.</t>
  </si>
  <si>
    <t xml:space="preserve">Se informa al interesado que no se acepta su observación.En cuanto a la traducción oficial, la Circular Única Externa de la Agencia Nacional de Contratación Pública – Colombia Compra Eficiente, establece en el numeral 10.4 Documentos en idioma extranjero. “Para que los documentos en un idioma distinto al castellano puedan ser apreciados en el Proceso de Contratación deben ser presentados en su lengua original junto con la traducción oficial al castellano”. Este requisito tampoco ha sido exceptuado por los Decretos expedidos por la Emergencia Sanitaria y en consecuencia, los documentos otorgados en un idioma distinto al castellano, deberán aportarse en los términos señalados en el Pliego de Condiciones. 
</t>
  </si>
  <si>
    <t>Pliego de Condiciones Sección 6.2.</t>
  </si>
  <si>
    <t>Teniendo en cuenta que durante la audiencia de adjudicación, y previo a la apertura de las ofertas económicas lo que se discutirá son las respuestas del Comité Evaluador frente a las observaciones formuladas por los Oferentes, a efectos de que se garantice el debido proceso y el principio de contradicción, les solicitamos retirar de la Secciones 8.6.3. y 8.6.4. del Pliego de Condiciones, la referencia a la facultad que tendría el funcionario que presida la audiencia para suspender la intervención del Oferente, si en su criterio pretende revivir las observaciones formuladas y resueltas en el respectivo informe.</t>
  </si>
  <si>
    <t>Se informa al interesado que no se acepta su observación. Esta facultad fue otorgada al funcionario que presida la audiencia de forma tal que no se generen demoras injustificadas en la audiencia frente a observaciones que han sido previamente resueltas por la entidad en el informe de evaluación.</t>
  </si>
  <si>
    <t>Pliego de Condiciones Secciones 8.6.3. y 8.6.4.</t>
  </si>
  <si>
    <t xml:space="preserve">Les solicitamos modificar la definición de Elusión prevista en la Sección 1.55 para que la misma se extienda no solo al uso legítimo “Nuevas Vías Públicas” sino que se extienda al uso de todas las vías alternas no incluidas en la Parte Especial que sirven de base para la presentación de la Oferta, por lo que a su vez solicitamos retirar la exclusión relacionada con el uso ilegítimo de cualquier vía alterna.
Lo anterior es de la mayor importancia por cuanto la Oferta será presentada con el conocimiento de las vías existentes a la fecha de presentación de la misma. Adicionalmente, el Concesionario durante la ejecución del Contrato no tendrá las herramientas para controlar que los usuarios no usen de forma ilegítima vías alternas, lo cual tiene el potencial de generarle importantes impactos económicos, que adicionalmente pueden tener impacto en la financiación.
</t>
  </si>
  <si>
    <t>Contrato de Concesión. Sección 1.55 Parte General</t>
  </si>
  <si>
    <t>Teniendo en cuenta que a lo largo del Contrato de Concesión, en particular el Capítulo X, no desarrolla sanciones diferentes a las Multas y la Cláusula Penal, les solicitamos retirar de la minuta de la Parte General del Contrato la definición de Sanción prevista en la Sección 1.112 en la medida que además de no tener desarrollo en la minuta, hace referencia a “incumplimientos definitivos e insubsanables”, que entendemos únicamente corresponderían a la aplicación de la Cláusula Penal que ya se encuentra regulada en el Contrato de Concesión.</t>
  </si>
  <si>
    <t>No se acoge la observación toda vez que es la misma norma especial, esto es artículo 86 de la Ley1474 de 2011 la que habilita a las Entidades Públicas para imponer  las sanciones pactadas en el contrato al indicar:  “Las entidades sometidas al Estatuto General de Contratación de la Administración Pública podrán declarar el incumplimiento, cuantificando los perjuicios del mismo, imponer las multas y sanciones pactadas en el contrato, y hacer efectiva la cláusula penal. Para tal efecto observarán el siguiente procedimiento: (…)”, de manera que, no se tiene discusión sobre la facultad que le asiste al GIT Sancionatorios para imponer sanciones, pero siempre y cuando estas se encuentren determinadas en el contrato, razón de ser de la inclusión en la minuta, figura que además se encuentra debidamente tipificada pues allí se indica que proceden para incumplimientos definitivos, o no subsanables, frente a los cuales no quepa la conminación, de manera que, tanto el supuesto de hecho que da lugar a la sanción como su consecuencia se encuentra consagrada, ya  que en el texto se indica el valor, a modo de tope, por el que resulta procedente sancionar.
También resulta pertinente aclarar que la sanción y la cláusula penal vienen disciplinadas de manera diferente en el contrato, pues tal y como bien se indica, ambas se aplican en supuestos de hecho diferentes, pues, aunque comparten el presupuesto de procedencia del incumplimiento obligacional definitivo, la cláusula penal se aplica en supuestos de caducidad y terminación anticipada del contrato, de manera que las sanciones resultan aplicables para los supuestos restantes, esto es, que configuren incumplimientos no subsanables y que no se den en el marco de una terminación anticipada del contrato o caducidad.</t>
  </si>
  <si>
    <t>Contrato de Concesión Sección 1.112 Parte General</t>
  </si>
  <si>
    <t>Jurídica Sancionatorio</t>
  </si>
  <si>
    <t xml:space="preserve">Aunque entendemos que el riesgo de tráfico está en cabeza del Concesionario, en las actuales circunstancias asociadas a la pandemia ocasionada por el COVID-19, a la fecha no resulta viable hacer una proyección concreta del tráfico que tendrá el Proyecto ni mucho menos resulta viable saber si durante el plazo del Contrato de Concesión se podría presentar una situación de similares características a la que ocurre en la actualidad, por lo que para viabilizar la financiación del Proyecto les solicitamos modificar la Sección 2.4. (b) (ii) de la Parte General del Contrato de Concesión en el sentido que el riesgo que asuma el Concesionario corresponda al plazo en el que obtendría el VPIP, de tal manera que el contrato se extienda hasta la obtención del VPIP, independiente de si se obtiene o no antes o después del año veintinueve (29) contado a partir de la Fecha de Inicio, naturalmente teniendo en cuenta los límites que de conformidad con la Ley Aplicable resulten imperativos. 
Sobre este tema, es de resaltar que la asignación del riesgo de forma exclusiva al Concesionario a todas luces no es razonable por cuanto los efectos positivos son asumidos en gran parte por la ANI en tanto que se anticipa la Reversión del Proyecto, mientras que los efectos negativos los asumen en su gran mayoría el Concesionario, quien conserva el importante riesgo de ni siquiera alcanzar el VPIP durante el plazo del Contrato de Concesión, lo cual le puede generar un impacto importante no solo a su rentabilidad, sino también a la financiación del Proyecto.
</t>
  </si>
  <si>
    <t xml:space="preserve">Contrato de Concesión Sección 2.4. (b) (ii) y 13.2 (a) (xviii) Parte General. </t>
  </si>
  <si>
    <t xml:space="preserve">Contrato de Concesión Sección 2.5. Parte General y Sección 3.8. de la Parte Especial. </t>
  </si>
  <si>
    <t xml:space="preserve">De conformidad con el artículo 39 de la Ley 1682 de 2013, como requisito previo a la apertura de los procesos de selección para la construcción de proyectos de infraestructura de transporte, la entidad pública deberá haber concluido el proceso de consulta previa con la respectiva comunidad hasta su protocolización. Así, al ser las consultas previas una responsabilidad exclusiva de la ANI durante la estructuración del Proyecto, de ninguna manera puede indicarse que el Concesionario debe asumir ningún tipo de responsabilidad en relación con las consultas, ni mucho menos indicar que los compromisos derivados de nuevos acuerdos que sean protocolizados, serán asumido por las Partes en proporciones iguales (cincuenta por ciento 50%).
Por lo anterior, les solicitamos precisar en la minuta del Contrato de Concesión que tanto las obligaciones como los costos asociados a los acuerdos correspondientes a las nuevas consultas, deben ser asumidos en su totalidad por la ANI.
</t>
  </si>
  <si>
    <t>Contrato de Concesión Sección 8.1. (d) Parte General</t>
  </si>
  <si>
    <t>Con el propósito de evitar que se cree el incentivo perverso consistente en que el Interventor pretenda generar Plazos de Cura que impliquen la ampliación del plazo de la Fase de Preconstrucción, o del plazo máximo del Plan de Obras por Unidad Funcional, les solicitamos retirar la Sección 10.2 (b) en virtud de la cual el Concesionario debería cubrir los costos de la Interventoría y Coordinación en el monto, correspondiente a la extensión en los referidos plazos.</t>
  </si>
  <si>
    <t xml:space="preserve">Se informa al interesado que no se acepta su observación. La ANI considera razonable incluir la obligación del Concesionario de cubrir los costos de Interventoría y Coordinación en el monto correspondiente cuando el otorgamiento del Plazo de Cura implique una ampliación del plazo. </t>
  </si>
  <si>
    <t>Contrato de Concesión. Sección 10.2. (b) Parte General</t>
  </si>
  <si>
    <t>Contrato de Concesión Sección 13.3. Parte General</t>
  </si>
  <si>
    <t>En relación con la Compensación Especial, para hacerla más equitativa y acorde con los trabajos realizados, les solicitamos retirar la tabla en la que se establecen los rangos de “inversiones efectivamente realizadas” que sirve para establecer la fracción efectivamente a compensar, para reemplazarla por una fórmula sencilla en la que la Compensación Especial corresponda al valor que hubiera recibido el Concesionario de haber terminado la Unidad Funcional, multiplicado por el porcentaje de ejecución de la respectiva Unidad Funcional, tal como ocurrió por ejemplo con la Primera Línea de Metro de Bogotá.</t>
  </si>
  <si>
    <t>Contrato de Concesión Sección 14.1 (b) Parte Especial</t>
  </si>
  <si>
    <t>Para efectos de dar continuidad a la ejecución del Contrato, les solicitamos precisar de forma expresa en la Sección 15.1. de la Parte General que las decisiones del Amigable Componedor deben ser acatadas por las Partes de manera inmediata a su promulgación, aún en el caso que esté pendiente una solicitud de nulidad o de revocatoria formulada por cualquiera de las Partes, y sólo dejará de ser obligatoria cuando así lo decida el Tribunal de Arbitramento y a partir de dicha decisión.</t>
  </si>
  <si>
    <t>Contrato de Concesión. Sección 15.1 Parte General</t>
  </si>
  <si>
    <t>Tal como lo ha podido corroborar la ANI durante la ejecución de los contratos 4G, parte de las dificultades para la acreditación del Cierre Financiero, corresponde a que la obtención del mismo depende de hitos como por ejemplo la obtención de Licencias y Permisos, o los Estudios y Diseños de Detalle. Por lo anteior, les solicitamos que el plazo para la obtención del Cierre Financiero no esté en función de la Fecha de Inicio, sino del cumplimiento de las condiciones para el inicio de la Fase de Construcción previstas en la Sección 4.4., como por ejemplo mediante la indicación de que el Cierre Financiero debe acreditarse dentro de los treinta (30) días siguientes al cumplimiento de las condiciones establecidas en la Sección 4.4. de la Parte General del Contrato de Concesión Parte General.</t>
  </si>
  <si>
    <t>Contrato de Concesión Sección 3.8 (a) Parte Especial</t>
  </si>
  <si>
    <t xml:space="preserve">Las consecuencias por no efectuar Giros de Equity resultan excesivamente onerosas para el Concesionario. Por un lado, de conformidad con el artículo 1617 del Código Civil los perjuicios del no pago de sumas de dinero corresponde a los intereses que sobre dichas sumas resulten aplicables por lo que la aplicación de Multas por dicha circunstancia resulta excesiva y contraria a lo dispuesto en la Ley Aplicable. Más aun, la Sección 3.14 (e) de la Parte General del Contrato de Concesión establece un mecanismo de reajuste del fondeo de las montos correspondientes a los giros de Equity en caso de retraso en el desembolso de los mismos, por lo que el cobro de las Multas resultaría en una doble penalidad para el Concesionario, lo cual se encuentra expresamente prohibido por el ordenamiento jurídico colombiano.
Teniendo en cuenta lo anterior, les solicitamos retirar la Parte Especial del Contrato de Concesión (Sección 6.1. (o)) las Multas por el retraso en el desembolso de los Giros de Equity.
</t>
  </si>
  <si>
    <t xml:space="preserve">Se informa al interesado que no se acepta su observación, la entidad considera que las Multas previstas en el contrato por el retraso en el desembolso de los giros de Equity es razonable y busca conminar al Concesionario para que cumpla la obligación incumplida.  </t>
  </si>
  <si>
    <t>Contrato de Concesión. Sección 6.1 (o) Parte Especial</t>
  </si>
  <si>
    <t>1024.            </t>
  </si>
  <si>
    <t>Dentons Cárdenas &amp; Cárdenas, 18/05/2020</t>
  </si>
  <si>
    <t>En el listado de anexos aparece el Diagrama de la Estructura Organizacional dos veces: como parte del Anexo 5 y como el Anexo 8. Por favor confirmar cuál de los dos aplica y eliminar del listado el que no.</t>
  </si>
  <si>
    <t xml:space="preserve">
Se aclara al interesado que los dos Anexos cumplen una finalidad diferente de acuerdo con lo establecido en el Pliego de Condiciones. El anexo 5 aplica para todos los proponentes y es un requisito  que deriva del artículo 23 de la Ley 1508 de 2012 y el 2 artículo 6.1.1.1.3 del Decreto 2555 de 2010 y el deber de conocimiento que debe tener la Entidad  de los proponentes, de acuerdo con lo señalado por el Consejo de Estado y la Procuraduría General de la Nación. 
Por su parte, el Anexo 8 aplica solamente para aquellos proponentes que acreditan Requisitos Habilitantes relativos a Capacidad Financiera  y/o Experiencia en Inversión con la experiencia de (i) sus sociedades controladas  (directa o indirectamente), (ii) de sus Matrices, o (iii) de sociedades controladas por sus Matrices, debiendo entregar un diagrama de la estructura  organizacional que explique detalladamente la situación de control con los respectivos porcentajes de participación, que permitan entender de manera esquemática la relación entre el Oferente o sus Integrantes y la información  presentada para acreditar los Requisitos Habilitantes señalados. </t>
  </si>
  <si>
    <t xml:space="preserve">Pliego de Condiciones, Sección 1.4.1. </t>
  </si>
  <si>
    <t>1025.            </t>
  </si>
  <si>
    <t xml:space="preserve">La Sección 4.1.3(c) le permite a los proponentes extranjeros aportar una declaración juramentada que contenga la información exigida para acreditar su existencia y representación legal, la cual debe contener, entre otras cosas, el objeto social y los representantes legales de la sociedad con sus facultades.  Entendemos que, si este documento se entrega, no es necesario entregar también los certificados del representante legal mencionados en los literales (d) y (e) de la misma Sección 4.1.3., que contengan el objeto social y las facultades de los representantes legales. Favor confirmar si nuestro entendimiento es correcto y en caso de que así sea, favor hacer la aclaración en el pliego. </t>
  </si>
  <si>
    <t xml:space="preserve">Se informa al interesado que de  acuerdo con lo establecido en el Pliego, con el fin de acreditar lo requerido en los literales (d) y (e), los Oferentes extranjeros podrán presentar un extracto de sus estatutos sociales o un certificado del representante legal o funcionario autorizado. En esta medida, el interesado está en libertad presentar una o varias certificaciones con el fin de acreditar todos los requisitos de la Sección 4.1.3 del Proyecto de Pliego. En esta medida, no se considera necesario hacer la aclaración propuesta. </t>
  </si>
  <si>
    <t xml:space="preserve">Pliego de Condiciones, Secciones 4.1.3.(d) y (e ) </t>
  </si>
  <si>
    <t>1026.            </t>
  </si>
  <si>
    <t xml:space="preserve">Se informa al interesado que se acepta su observación y se realizarán las modificaciones correspondientes. Se informa al interesado que se acepta su observación y se realizarán las modificaciones correspondientes. </t>
  </si>
  <si>
    <t>Pliego de Condiciones, Sección 4.1.10(a)(i).</t>
  </si>
  <si>
    <t>1027.            </t>
  </si>
  <si>
    <t>Se solicita aclarar si el numeral 5 del romanillo (ii) del literal (a) de la Sección 4.1.14 - Garantía de Seriedad de la Oferta está incompleto o si continúa con lo que se establece en el numeral 6.</t>
  </si>
  <si>
    <t xml:space="preserve">Se informa al interesado que el romanito (ii) del literal (a) de la Sección 4.1.14  del Proyecto de Pliego de Condiciones se encuentra completo. Se harán los ajustes correspondientes para mayor claridad. </t>
  </si>
  <si>
    <t>Pliego de Condiciones, Sección 5 del romanillo (ii) del literal (a) del Sección 4.1.14</t>
  </si>
  <si>
    <t>1028.            </t>
  </si>
  <si>
    <t xml:space="preserve">En distintas secciones del pliego aparece el término "figuras asociativas". Este es un concepto relevante, pues es una de las posibilidades a través de las cuales los proponentes pueden acreditar la experiencia en inversión. Nuestro entendimiento es que las "figuras asociativas" incluyen, entre otras, las sociedades concesionarias o SPV que se hayan constituido con anterioridad para la ejecución de contratos de concesión anteriores, por lo que solicitamos: </t>
  </si>
  <si>
    <t xml:space="preserve">Pliego de Condiciones, Sección 4.2.2 (d) </t>
  </si>
  <si>
    <t xml:space="preserve">(i)            que confirmen que nuestro entendimiento es correcto y </t>
  </si>
  <si>
    <t xml:space="preserve">(ii)           que se establezca una definición de "Figura Asociativa Anterior" en la que se incluyan las sociedades concesionarias o SPV creadas para la ejecución de contratos de concesión anteriores. </t>
  </si>
  <si>
    <t>1029.            </t>
  </si>
  <si>
    <t xml:space="preserve">Entendemos que el cupo de crédito es un documento obligatorio para todos los proponentes, independientemente del cumplimiento del Índice de Endeudamiento. Solicitamos que se confirme nuestro entendimiento. </t>
  </si>
  <si>
    <t xml:space="preserve">Pliego de Condiciones, Sección 4.3.6.  </t>
  </si>
  <si>
    <t>1030.            </t>
  </si>
  <si>
    <t xml:space="preserve">La sección 4.4. del Pliego de Condiciones le permite a los oferentes acreditar los requisitos habilitantes a través de sociedades controladas, matrices o sociedades controladas por las matrices. De conformidad con esta Sección, entendemos que el Cupo de Crédito requerido en la Sección 4.3.6 del Pliego, puede ser otorgado a cualquier empresa controlada, matriz o controlada por la matriz del Oferente o del miembro de la Estructura Plural que acredita el Cupo de Crédito. Solicitamos confirmar nuestro entendimiento.  </t>
  </si>
  <si>
    <t>Pliego de Condiciones. Secciones 4.3.6 y 4.4.</t>
  </si>
  <si>
    <t>1031.            </t>
  </si>
  <si>
    <t>Para la acreditación de Capacidad Financiera o Experiencia de Inversión por parte de Fondos de Capital Privado, cuando la oferta sea presentada por Estructuras Plurales, el respaldo podrá recaer sobre quien tenga calidad de Líder. Sin embargo, también se indica que podrá recaer sobre miembros no Líder para acreditar Capacidad Financiera. Amablemente solicitamos se aclare si el respaldo únicamente puede recaer sobre el Líder o sobre todo miembro que no sea Líder.</t>
  </si>
  <si>
    <t xml:space="preserve">Se informa al interesado que los requisitos de Capacidad Financiera pueden ser acreditados por uno o varios integrantes, incluyendo Líderes y no líderes que pretenden acreditar la Capacidad Financiera (indicando esta circunstancia en la Carta de Presentación de la Oferta). </t>
  </si>
  <si>
    <t>Pliego de Condiciones, Sección 4.6.6.</t>
  </si>
  <si>
    <t>1032.            </t>
  </si>
  <si>
    <t xml:space="preserve">Solicitamos que las traducciones de los documentos que no se encuentran en castellano puedan realizarse también por traductores oficiales en el extranjero, y que la traducción que se haga en el extranjero esté acompañada del reconocimiento de la firma del traductor y la correspondiente apostilla. </t>
  </si>
  <si>
    <t xml:space="preserve">Se informa al interesado que no se acepta su observación. El traductor oficial debe contar con licencia para ejercer como tal en Colombia.
En todo caso, se informa al interesado que en caso de no existir traductor oficial, el Oferente deberá remitir una solicitud al Ministerio de Relaciones Exteriores de Colombia, requiriendo que certifiquen que no hay traductor oficial del idioma en que desea traducir los documentos. Una vez obtenida esta certificación, podrá solicitar la traducción de su documento ante el traductor de su conveniencia y realizar en una notaría el reconocimiento de la firma del traductor. Con la traducción realizada y el reconocimiento de la firma correspondiente, se podrá apostillar o legalizar el documento en línea. </t>
  </si>
  <si>
    <t>Pliego de Condiciones, Sección 6.2.</t>
  </si>
  <si>
    <t>1033.            </t>
  </si>
  <si>
    <t>Solicitamos que los documentos privados otorgados en el exterior tengan la misma validez de los documentos privados otorgados en Colombia y, por lo tanto, no requieran de trámite alguno, sin perjuicio de su traducción en el evento de encontrarse en idioma diferente del castellano. Esta posibilidad ha sido ofrecida a los proponentes en licitaciones recientes, por lo que solicitamos que la ANI lo tenga en cuenta y la brinde en el presente proceso.</t>
  </si>
  <si>
    <t xml:space="preserve">Se informa al interesado que no se acepta su observación. Los documentos provenientes del exterior deberán contar con el procedimiento de legalización indicado por el Pliego. </t>
  </si>
  <si>
    <t>Pliego de Condiciones, Sección 6.4.</t>
  </si>
  <si>
    <t>1034.            </t>
  </si>
  <si>
    <t xml:space="preserve">Los literales (f) y (u) de esta Sección corresponden al mismo documento de constitución de la estructura plural. Solicitamos la eliminación de uno de los dos. </t>
  </si>
  <si>
    <t xml:space="preserve">Se informa al interesado que se acepta su observación y se realizarán los ajustes correspondientes. </t>
  </si>
  <si>
    <t xml:space="preserve">Pliego de Condiciones, Sección 7.1.1. </t>
  </si>
  <si>
    <t>1035.            </t>
  </si>
  <si>
    <t>Pliego de Condiciones, Sección 9.4.2.</t>
  </si>
  <si>
    <t>1036.            </t>
  </si>
  <si>
    <t xml:space="preserve">Se informa al interesado que de acuerdo con lo señalado en el Anexo No. 3, el Acuerdo de Garantía debe ser firmado por el Garante y por la ANI. </t>
  </si>
  <si>
    <t>Anexo 3 (Acuerdo de Garantía) encabezado, Sección (iii)</t>
  </si>
  <si>
    <t xml:space="preserve">Considerando que el SPV no va a estar constituido al momento de presentar la oferta con el Anexo 3, solicitamos que se aclare quién debe firmar este Acuerdo de Garantía en calidad de garantizado.    </t>
  </si>
  <si>
    <t>1037.            </t>
  </si>
  <si>
    <t>Se solicita eliminar esta sección, pues parece que se trata de un error de digitación</t>
  </si>
  <si>
    <t>Anexo 4 - Acuerdo de Permanencia Sección 9.3.</t>
  </si>
  <si>
    <t>1038.            </t>
  </si>
  <si>
    <t>Minuta del Contrato, Parte General, Sección 1.71.</t>
  </si>
  <si>
    <t xml:space="preserve">(i)  Entendemos que las fajas de retiro establecidas en la ley 1228 de 2008 deben ser adquiridas por el concesionario únicamente en aquellos tramos en los que se realizarán actividades de construcción y no en aquellos tramos en que solamente se realizarán actividades de rehabilitación y mantenimiento. Solicitamos que se confirme nuestro entendimiento. </t>
  </si>
  <si>
    <t xml:space="preserve">(ii) Adicionalmente, entendemos que para la Unidad Funcional 0 no se deberá realizar la adquisición de Fajas de Retiro. Solicitamos confirmar nuestro entendimiento. </t>
  </si>
  <si>
    <t>1039.            </t>
  </si>
  <si>
    <t xml:space="preserve">Se informa al interesado que el aparte observado hace relación a todos los trámites que sean adelantados por el Concesionario para el cumplimiento del objeto del Contrato y de sus obligaciones. </t>
  </si>
  <si>
    <t xml:space="preserve">Minuta del Contrato, Parte General, Sección 1.79. </t>
  </si>
  <si>
    <t>1040.            </t>
  </si>
  <si>
    <t xml:space="preserve">La definición de "Obras Menores" incluye las "nuevas consultas previas", las cuales no se encuentran definidas. Sugerimos indicar expresamente cuáles son éstas, si se trata de las que se inicien con posterioridad a la apertura del Proceso de Selección (ver Sección 19.1(e)) o si son aquellas que se inicien durante la ejecución del Contrato siempre que el reconocimiento de la comunidad se haya dado después de la apertura del Proceso de Selección (ver Sección 8.1(d)) o aquellas protocolizadas durante la ejecución del Proyecto (ver Sección 13.2(a)(iii)). </t>
  </si>
  <si>
    <t>Minuta del Contrato, Parte General, Sección 1.119</t>
  </si>
  <si>
    <t>1041.            </t>
  </si>
  <si>
    <t xml:space="preserve">Minuta del Contrato, Parte General, Sección 1.120. </t>
  </si>
  <si>
    <t xml:space="preserve">Solicitamos a la ANI que aclare qué se entiende por (i) “grupos de interés”, (ii) “comunidades en general”, y (iii) representantes legítimos de las comunidades. </t>
  </si>
  <si>
    <t>1042.            </t>
  </si>
  <si>
    <t>Las definiciones de “Oferta Formal de Compra de Predios” y “Oferta Formal de Compra u Oferta” de la Parte General y del Apéndice Técnico 7 respectivamente, no coinciden. La definición que se incluyó en la Sección 1.123 de la Parte General establece que mediante dicha Oferta se da a conocer (i) al titular de los derechos reales, (ii) el poseedor regular o (iii) los herederos el valor comercial del inmueble.</t>
  </si>
  <si>
    <t>Minuta del Contrato, Parte General, Sección 1.123 y Apéndice Técnico 7, Sección 2.19.</t>
  </si>
  <si>
    <t xml:space="preserve">Solicitamos aclarar y unificar las definiciones. </t>
  </si>
  <si>
    <t>1043.            </t>
  </si>
  <si>
    <t xml:space="preserve">Solicitamos que, si el Contrato de Interventoría no se ha suscrito por la ANI dentro de los treinta (30) Días establecidos para iniciar la ejecución del Contrato de Concesión, las labores correspondientes las realice el supervisor o la persona designada para tal fin por la ANI. Es decir, que la falta de Contrato de Interventoría no afecte el inicio de la ejecución contractual, pues no es una obligación atribuible al Concesionario.  </t>
  </si>
  <si>
    <t>Minuta del Contrato, Parte General, Sección 2.3(b)(v)</t>
  </si>
  <si>
    <t>1044.            </t>
  </si>
  <si>
    <t xml:space="preserve">Entendemos que la "compra de plazo adicional sin sanciones" mencionada en esta sección, se refiere al Plazo Adicional sin Sanciones para el Concesionario, previsto en la sección 4.10. Favor confirmar nuestro entendimiento. </t>
  </si>
  <si>
    <t xml:space="preserve">Se le informa al interesado que su entendiemonto es correcto </t>
  </si>
  <si>
    <t>Minuta del Contrato, Parte General, Sección 2.6(a)(vi)</t>
  </si>
  <si>
    <t>1045.            </t>
  </si>
  <si>
    <t>Se informa al interesado que no se acepta su observación. La Sección 3.3.(i)(ii) tiene en cuenta que el fondo de Contingencias no es la única fuente al hacer referencia a la cascada de pagos para la cobertura de riesgos a cargo de la ANI desarrollada en la Sección 13.4 del Contrato Parte General.</t>
  </si>
  <si>
    <t>Minuta del Contrato, Parte General, Sección 3.3(i)(ii)</t>
  </si>
  <si>
    <t>1046.            </t>
  </si>
  <si>
    <t xml:space="preserve">Solicitamos se nos explique ¿por qué todos los costos de GMF deben ser asumidos por el concesionario? Entendemos que deberían ser asumidos por los recursos de la cuenta respectiva. </t>
  </si>
  <si>
    <t>Minuta del Contrato, Parte General, Sección 3.14(g)(ii)(2) y (h)(ii)</t>
  </si>
  <si>
    <t>1047.            </t>
  </si>
  <si>
    <t>Favor explicar cuál es el motivo por el cual los rendimientos de estas subcuentas no acrecientan la respectiva subcuenta, y por el contrario son transferidos a la Subcuenta Excedentes ANI.</t>
  </si>
  <si>
    <t>Minuta del Contrato, Parte General, Sección 3.14(g)(v), (vi), (vii)</t>
  </si>
  <si>
    <t>1048.            </t>
  </si>
  <si>
    <t xml:space="preserve">Favor explicar por qué los rendimientos de la Subcuenta Interventoría y Coordinación acrecientan dicha cuenta. Esta cuenta debe ser fondeada de forma anual anticipada con los recursos que se requieren bajo el contrato, por lo que no debería necesitar recursos adicionales. </t>
  </si>
  <si>
    <t>Minuta del Contrato, Parte General, Sección 3.14(h)(v)</t>
  </si>
  <si>
    <t>1049.            </t>
  </si>
  <si>
    <t>Minuta del Contrato, Parte General, Sección 3.14(h)(ix)(6)</t>
  </si>
  <si>
    <t>1050.            </t>
  </si>
  <si>
    <t>Minuta del Contrato, Parte General, Sección 3.14(h)(xii)(8)</t>
  </si>
  <si>
    <t>1051.            </t>
  </si>
  <si>
    <t>Minuta del Contrato, Parte General, Sección 3.14 (viii)(2) y Parte Especial. Sección 4.5(g)</t>
  </si>
  <si>
    <t xml:space="preserve">En el Apéndice Técnico no encontramos un listado de los bienes e insumos que deben ser adquiridos y entregados a la Policía de Carreteras, por lo que atentamente solicitamos que se indique de cuáles bienes se trata y con qué periodicidad se debe realizar su reposición. </t>
  </si>
  <si>
    <t>1052.            </t>
  </si>
  <si>
    <t xml:space="preserve">Solicitamos revisar el plazo de 91 Días establecido, para no reducir por ese medio el plazo que tendría el Concesionario para el cumplimiento de sus obligaciones fiscales según el calendario tributario aplicable. Por ejemplo, el plazo para presentar declaración de renta es más amplio de 91 días. Adicionalmente se debe aclarar que son los impuestos pagados correspondientes al año fiscal anterior. </t>
  </si>
  <si>
    <t>Minuta del Contrato, Parte General, Sección 3.16(b)</t>
  </si>
  <si>
    <t>1053.            </t>
  </si>
  <si>
    <t>Minuta del Contrato, Parte General, Sección 4.2 (s)</t>
  </si>
  <si>
    <t>1054.            </t>
  </si>
  <si>
    <t>Minuta del Contrato, Parte General, Sección 4.17 (c)</t>
  </si>
  <si>
    <t xml:space="preserve">Consideramos que el silencio por parte del Interventor o de la ANI no pueden ir en detrimento del Concesionario cumplido, por lo que solicitamos que el silencio en la verificación por parte de la ANI y el Interventor se entienda como una respuesta positiva. </t>
  </si>
  <si>
    <t>Agradecemos que la ANI considere que tener certeza de la entrega de las Unidades Funcionales es el pilar fundamental del Proyecto y en particular para los prestamistas del mismo.</t>
  </si>
  <si>
    <t>1055.            </t>
  </si>
  <si>
    <t xml:space="preserve">Esta sección establece que "Una vez las obras correspondientes a una Unidad Funcional sean concluidas por el Concesionario y aceptadas por el Interventor y por la ANI, se suscribirá la correspondiente Acta de Terminación de Unidad Funcional serán puestas en servicio durante la Fase de Construcción." Solicitamos que se aclare la redacción. </t>
  </si>
  <si>
    <t>Minuta del Contrato, Parte General, Sección 4.18 (a)</t>
  </si>
  <si>
    <t>1056.            </t>
  </si>
  <si>
    <t>Minuta del Contrato, Parte General, Sección 5.2 (e)</t>
  </si>
  <si>
    <t xml:space="preserve">Entendemos que el Concesionario es el único responsable frente a la ANI por el cumplimiento del Contrato, por lo que solicitamos que esta obligación, que implica solamente una carga administrativa adicional para el Concesionario, sea eliminada. </t>
  </si>
  <si>
    <t>1057.            </t>
  </si>
  <si>
    <t>En virtud de esta sección, la Interventoría debe confirmar que los montos realizados por el Concesionario corresponden a los fines previstos por el Contrato. Solicitamos que se establezca que la interventoría debe cumplir esta obligación en un término de máximo de cinco (5) Días, pues es una tarea de confirmación de la que depende que se le realice el pago oportuno al Concesionario.</t>
  </si>
  <si>
    <t xml:space="preserve">Minuta del Contrato, Parte General, Sección 7.2(f)(ii). </t>
  </si>
  <si>
    <t>1058.            </t>
  </si>
  <si>
    <t xml:space="preserve"> Solicitamos que la aprobación de la cuenta de cobro por parte de la ANI se realice dentro de los diez (10) Días siguientes a la aprobación de la interventoría. No se entiende por qué la modificación a treinta (30) días, especialmente por cuanto, como se manifestó con anterioridad, se trata del pago oportuno al Concesionario.  </t>
  </si>
  <si>
    <t xml:space="preserve">Minuta del Contrato, Parte General, Sección 7.3(f)(iii). </t>
  </si>
  <si>
    <t>1059.            </t>
  </si>
  <si>
    <t xml:space="preserve">Según esta sección, el Manual de Operación y mantenimiento debe entregarse dentro de los 30 días siguientes a la Fecha de Inicio y luego sigue un procedimiento de verificación por parte del Interventor. Solicitamos que se indique que dicho Manual no será obligatorio para la Unidad Funcional 0, o que se aclare para esa UF los tiempos aplicables son los mismos.  </t>
  </si>
  <si>
    <t xml:space="preserve">Minuta del Contrato, Parte General, Sección 9.5 (a). </t>
  </si>
  <si>
    <t>1060.            </t>
  </si>
  <si>
    <t xml:space="preserve">Solicitamos que se modifique esta sección en el sentido de indicar que, si vence el Plazo de Cura sin que el Concesionario haya saneado el incumplimiento, la consecuencia no es la imposición de la Multa sino el inicio del procedimiento establecido en el artículo 86 de la Ley 1474 de 2011. </t>
  </si>
  <si>
    <t xml:space="preserve">Minuta del Contrato, Parte General, Sección 10.2 (c). </t>
  </si>
  <si>
    <t>1061.            </t>
  </si>
  <si>
    <t xml:space="preserve">Esta sección establece que se causarán intereses moratorios desde la exigibilidad de la Multa hasta el momento efectivo del pago. Se solicita que los intereses moratorios se cobren únicamente desde el momento en el que queda en firme el acto administrativo de imposición de la multa. </t>
  </si>
  <si>
    <t xml:space="preserve">Minuta del Contrato, Parte General, Sección 10.5. </t>
  </si>
  <si>
    <t>1062.            </t>
  </si>
  <si>
    <t>Solicitamos que quede claro que este riesgo no es del Concesionario cuando la demora en la entrega de la infraestructura sea imputable a la ANI u ocurra como consecuencia de un Evento Eximente de Responsabilidad.</t>
  </si>
  <si>
    <t xml:space="preserve">Minuta del Contrato, Parte General, Sección 13.2 (a)(xiii). </t>
  </si>
  <si>
    <t>1063.            </t>
  </si>
  <si>
    <t xml:space="preserve">Respecto del recibo de la infraestructura en el estado en que se encuentre, solicitamos se nos aclare a partir de qué momento empiezan a ser exigibles los indicadores de los apéndices 2 y 4 al Concesionario, para la Unidad Funcional 0. </t>
  </si>
  <si>
    <t xml:space="preserve">Minuta del Contrato, Parte General, Sección 13.2 (a)(xiv). </t>
  </si>
  <si>
    <t>1064.            </t>
  </si>
  <si>
    <t>Solicitamos se ajuste la matriz de riesgos del proyecto con lo establecido en el la Parte General del Contrato, en tanto encontramos que el literal (c) de la Sección 13.3 del Contrato asigna el riesgo de costo de las obras menores solicitadas por la ANI o la autoridad ambiental como un riesgo asignado al Público, mientras que en el riesgo 5 de la Matriz de Riesgos figura como un riesgo de asignación compartida.</t>
  </si>
  <si>
    <t xml:space="preserve">Minuta del Contrato, Parte General, Sección 13.3 (c). </t>
  </si>
  <si>
    <t>1065.            </t>
  </si>
  <si>
    <t>Minuta del Contrato, Parte General, Secciones 15.1(a) y 15.2 (a)</t>
  </si>
  <si>
    <t>1066.            </t>
  </si>
  <si>
    <t xml:space="preserve">Solicitamos que el Tercer Amigable Componedor (tercer miembro del panel) sea escogido de común acuerdo por las Partes y solamente en el evento en que dicho acuerdo no se logre, sea elegido por el Centro de Arbitraje y Conciliación mediante sorteo. </t>
  </si>
  <si>
    <t>Minuta del Contrato, Parte General, Secciones 15.1(c)(v)</t>
  </si>
  <si>
    <t>1067.            </t>
  </si>
  <si>
    <t xml:space="preserve">Esta sección dispone que “El Panel de Amigables Componedores no tendrá competencia para conocer las controversias que se deriven del ejercicio de las potestades sancionatorias ni de las facultades ajenas al derecho común, ni de facultades excepcionales, de que goza la ANI.” </t>
  </si>
  <si>
    <t>Minuta del Contrato, Parte General, Secciones 15.1(c)(iv)</t>
  </si>
  <si>
    <t xml:space="preserve">Se ruega aclarar si la imposición de multas, una vez el acto administrativo esté en firme, puede ser sometida al Amigable Componedor.  </t>
  </si>
  <si>
    <t>1068.            </t>
  </si>
  <si>
    <t>Solicitamos que se disponga que los efectos de la cláusula compromisoria sean extensivos no solamente a quienes presentaron la oferta, sino también a aquellos que adquieran acciones en el SPV con posterioridad. Sugerimos esta redacción:</t>
  </si>
  <si>
    <t>Minuta del Contrato, Parte General, Secciones 15.2(j) y 15.3 (f)</t>
  </si>
  <si>
    <t>1069.            </t>
  </si>
  <si>
    <t>Minuta del Contrato, Parte Especial, Sección 6.1.</t>
  </si>
  <si>
    <t>1070.            </t>
  </si>
  <si>
    <t>Solicitamos que se haga la corrección de la multa establecida en el literal (t) de la Sección 6.1., en tanto señala que se configura la multa por el no cumplimiento del compromiso establecido en la Oferta Técnica. Este proceso no cuenta con Oferta Técnica.</t>
  </si>
  <si>
    <t>Minuta del Contrato, Parte Especial, Sección 6.1. literal (t)</t>
  </si>
  <si>
    <t>1071.            </t>
  </si>
  <si>
    <t xml:space="preserve">En la página 49 del Apéndice Técnico 1, se establece que se debe desarrollar e implementar un programa de arqueología preventiva. Entendemos que esta obligación debe cumplirse únicamente en el área de influencia de la comunidad consultada. Solicitamos confirmar nuestro entendimiento y realizar los ajustes correspondientes.  </t>
  </si>
  <si>
    <t xml:space="preserve">Apéndice Técnico 1. Capítulo IX. </t>
  </si>
  <si>
    <t>1072.            </t>
  </si>
  <si>
    <t xml:space="preserve">Entendemos que esta obligación debe cumplirse únicamente en el área de influencia de la comunidad consultada. Solicitamos confirmar nuestro entendimiento y realizar los ajustes correspondientes.  </t>
  </si>
  <si>
    <t>1073.            </t>
  </si>
  <si>
    <t xml:space="preserve">Similar situación se presenta con la obligación contenida en la página 54, que consiste en que "El concesionario o ejecutor del proyecto realizará monitoreos de ruido conforme a los parámetros y frecuencias establecidos en la normatividad ambiental vigente. Así mismo, se compromete a realizar el manejo adecuado de sirenas, pitos y otras fuentes similares asociadas al control de tráfico vehicular". Entendemos que esta obligación debe cumplirse únicamente en el área de influencia de la comunidad consultada. </t>
  </si>
  <si>
    <t xml:space="preserve">Solicitamos confirmar nuestro entendimiento y realizar los ajustes correspondientes.  </t>
  </si>
  <si>
    <t>1074.            </t>
  </si>
  <si>
    <t>Solicitamos que se aclare el texto subrayado.</t>
  </si>
  <si>
    <t>1075.            </t>
  </si>
  <si>
    <t xml:space="preserve">Solicitamos que se publiquen en el SECOP todas las certificaciones que haya emitido el Ministerio del Interior en relación con presencia de comunidades en el proyecto. </t>
  </si>
  <si>
    <t>Apéndice Técnico 1. Capítulo IX sobre obligaciones de las Consultas Previas, página 70</t>
  </si>
  <si>
    <t>1076.            </t>
  </si>
  <si>
    <t>Minuta del Contrato</t>
  </si>
  <si>
    <t xml:space="preserve">A raíz de lo que está sucediendo con el COVID-19, se debe tomar conciencia de la posibilidad de que eventos de esa naturaleza vuelvan a suceder, con las nefastas consecuencias sobre los contratos de concesión. También pueden ocurrir eventos de otra naturaleza, que tengan como efecto la parálisis total del recaudo de peajes o una disminución sustancial del mismo y/o una parálisis prolongada de las obras o disminución sustancial de su ritmo. En esa medida, solicitamos que sea la ANI quien asuma los riesgos de eventos de esa naturaleza. Por lo tanto, de manera atenta solicitamos que el contrato de concesión incluya disposiciones en el siguiente sentido, para hacer frente a la ocurrencia de ese tipo de eventos: </t>
  </si>
  <si>
    <t xml:space="preserve">13.3 Riesgos de la ANI </t>
  </si>
  <si>
    <t xml:space="preserve">(i) En caso de imposibilidad de recaudar peajes y/o en caso de disminución significativa de los mismos, el concesionario debe tener derecho a una compensación plena (100%) por menor recaudo, que deberá ser reconocida desde la ocurrencia del evento. </t>
  </si>
  <si>
    <t xml:space="preserve">(ii) El contrato podrá adicionarse en plazo, con la consecuente adición del ingreso esperado, VPIP, con el propósito de compensar el efecto de la reducción en ingresos y el aumento de costos que se generen con ocasión del evento. </t>
  </si>
  <si>
    <t>Eventos Eximentes de Responsabilidad</t>
  </si>
  <si>
    <t xml:space="preserve">(iii)  En caso de parálisis, suspensión o disminución significativa en el ritmo de las obras, el concesionario tendrá derecho a ser compensado plenamente por los costos ociosos por la mayor permanencia en obra y además se le deben reconocer los costos financieros. </t>
  </si>
  <si>
    <t>1077.            </t>
  </si>
  <si>
    <t xml:space="preserve">De manera respetuosa solicitamos que los cambios en la ley aplicable sean un riesgo a cargo de la ANI, y que ese riesgo no se limite al Cambio Tributario y Cambio en Especificaciones Técnicas.    </t>
  </si>
  <si>
    <t>13.3 Riesgos de la ANI</t>
  </si>
  <si>
    <t xml:space="preserve">Cambio en la ley aplicable </t>
  </si>
  <si>
    <t>PAVIMENTOS COLOMBIA S.A.S., 15/05/2020</t>
  </si>
  <si>
    <t>Solicitamos se precise el uso de la Subcuenta de Cambio Climático, qué recursos se depositarán en la misma, para qué se utilizará y de quien son los rendimientos.</t>
  </si>
  <si>
    <t xml:space="preserve">MINUTA DE CONTRATO PARTE GENERAL </t>
  </si>
  <si>
    <t xml:space="preserve">Solicitamos se incluya la definición de Compensación por Menor Recaudo de Peaje que se regula en la cláusula 3.3. h). </t>
  </si>
  <si>
    <t>3.3 h)</t>
  </si>
  <si>
    <t>Adicionalmente se entiende que si con ocasión de futuros estados de excepción declarados por el Gobierno nacional, fuera imposible el cobro de peajes, ya fuera por restricciones de movilidad como son el aislamiento obligatorio o las exenciones de pago consagradas en decretos legislativos, se entendería que opera esta compensación? Favor confirmar.</t>
  </si>
  <si>
    <t>De no ser así, como se compensa al Concesionario el menor recaudo de peaje?</t>
  </si>
  <si>
    <t>PAVIMENTOS COLOMBIA S.A.S.,15/05/2020</t>
  </si>
  <si>
    <t>Considerando que la cláusula 6.3 señala que cuando los estudios y diseños “excedan y/o se extiendan más allá del área de la franja de terreno del corredor vial del Proyecto que ha sido declarada de utilidad pública e interés social en los términos de la Sección 6.2(b) de esta Parte General, será obligación del Concesionario asumir los efectos favorables y/o desfavorables de dichas modificaciones, en cuanto al valor base de la modificación y a la totalidad de los riesgos, entiéndase la totalidad, como la sumatoria de los riesgos y/o la porción del riesgos a cargo del Concesionario más los riesgos y/o porción de riesgos a cargo de la ANI descritos en las Secciones 13.3(a), 13.3(b), 13.3(c) y 13.3(e) de esta Parte General, en cuanto a dicha modificación”.</t>
  </si>
  <si>
    <t>Técnica, Jurídica y Financiera</t>
  </si>
  <si>
    <t>6.3</t>
  </si>
  <si>
    <t>Solicitamos se publique la Resolución de Declaratoria de Utilidad pública del proyecto.</t>
  </si>
  <si>
    <t>Señala la Cláusula 13.3 como riesgos no asegurables a cargo de la ANI:</t>
  </si>
  <si>
    <t>Financiera y Jurídica</t>
  </si>
  <si>
    <t>Solicitamos sea expresamente incluido el COVID19 o cualquier otra pandemia que a futuro pudiera afectar la ejecución del proyecto y en particular la obtención de los ingresos por recaudo de peaje o inclusive las compensaciones a ser otorgadas por el Concedente con cargo a recursos públicos y/o el fondo de contingencia, sea derivada del COVID19 o no.</t>
  </si>
  <si>
    <t>Amigable composición, cláusula 15.1. Indica la Cláusula:</t>
  </si>
  <si>
    <t>15.1</t>
  </si>
  <si>
    <t>“Las decisiones del Panel de Amigables Componedores deberán adoptarse por unanimidad. A falta de unanimidad las Partes convienen que la decisión no será vinculante, ni de obligatorio cumplimiento y cualquiera de ellas podrá plantear la disputa ante un tribunal de arbitramento como se dispone en las Secciones 15.2 y 15.3 siguientes.”</t>
  </si>
  <si>
    <t>Solicitamos que las decisiones del amigable componedor sean vinculantes al adoptarse por mayoría simple, pues someterlas todas a unanimidad, lo único que genera es que se empleen recursos además del tiempo empleado en la misma, en una amigable composición que emitirá una decisión que no tendrá ningún efecto en el contrato, y que al final, derivará en una controversia que tendrá que ser resuelta por el tribunal de arbitramento.</t>
  </si>
  <si>
    <t>Adicionalmente, indica la cláusula:</t>
  </si>
  <si>
    <t>“Para estos efectos, las partes convienen que el valor de los honorarios por cada controversia que conozcan será de cincuenta (50) salarios mínimos mensuales legales vigentes incluido IVA por cada integrante del Panel de Amigables Componedores”.</t>
  </si>
  <si>
    <t>Entendemos que a diferencia de los contratos de APP actuales, la remuneración del amigable componedor se realizará por controversia y no habrá remuneración mensual fija. Favor confirmar.</t>
  </si>
  <si>
    <t>MINUTA DE CONTRATO PARTE ESPECIAL CLÁUSULA 3.6</t>
  </si>
  <si>
    <t>PAVIMENTOS COLOMBIA SAS, 15/05/2020</t>
  </si>
  <si>
    <t>Solicitamos se haga entrega de la información contractual de ambos proyectos a fin de conocer con certeza fechas de inicio, terminación, recibo de las obras.</t>
  </si>
  <si>
    <t>Cintra Infraestructuras Colombia, S.A.S.</t>
  </si>
  <si>
    <t xml:space="preserve">Agradecemos sea dispuesta la siguiente información en el cuarto de datos  la cual a  la fecha no se encuentra dentro de las carpetas y documentos revisados:
a.	La terminación de la Variante el Bolo (Vía) 
b.	Acceso Estadio Monumental (diseños, planta y alcance de las intervenciones en esta zona)
c.	La Rectificación del alineamiento vial de la curva frente al vivero "Don Otto" y la relacionada con la Construcción del ramal 4D de la intersección La Herradura, las cuales se mencionan en el Numeral f de la sección 3.6. la Minuta de Contrato Parte Especial.
</t>
  </si>
  <si>
    <t>Numeral 1.7. CUARTO DE INFORMACIÓN DE REFERENCIA</t>
  </si>
  <si>
    <t>Agradecemos disponer en el cuarto de datos, la respectiva evaluación que se realizó para la estabilización de taludes en la UF1 especialmente en el sector comprendido entre Mediacanoa- Yumbo.</t>
  </si>
  <si>
    <t xml:space="preserve">Agradecemos disponer en el cuarto de datos, los diseños de los muros para acceso a puentes vehiculares a construir, particularmente  para la Unidad Funcional No. 3 intersecciones trompeta e intersección con la vía Cali- Candelaria. </t>
  </si>
  <si>
    <t>Agradecemos sea dispuesto en el cuarto de datos del proyecto los detalles del puente ubicado en el Unidad Funcional No. 5, específicamente el ubicado en el (Tramo Cencar- Américas), el cual se encuentra relacionado en el Inventario de Puentes del Apéndice Técnico.</t>
  </si>
  <si>
    <t>Revisada las siguientes carpetas del cuarto de datos, vemos que algunas de sus sub carpetas o las mismas se encuentran vacias, tal como se detalla a continuación,agradecemos de la manera más respetuosa que las mismas sean completadas.                                                                                
G5 - Está vacia la sub carpeta G5(7), 
H2 - No hay Carpeta, 
H3 - Carpeta Vacia, 
H4 - No hay Carpeta, 
H5 - Carpeta Vacia, 
H6- SUBCARPETAS VACIAS H611, H612, H613, H615, H616, 
H7 - SUBCARPETAS VACIAS H711, H713, H714, 
H8 - SUBCARPETAS VACIAS H811, H812, H814, H815, H816, 
Carpetas H10, H11, H12, H13, H14,H15,H16 Vacias.</t>
  </si>
  <si>
    <t xml:space="preserve">Dadas las circunstancias actuales y las restricciones de movilidad a nivel nacional e internacional como consecuencia del COVID-19, se solicita que se habilite una forma de poder presentar la oferta de manera digital (online) en vez de en papel. </t>
  </si>
  <si>
    <t>Se informa al interesado que la Entidad tendrá en cuenta la situación originada por el COVID-19 y las órdenes decretadas por el Gobierno en este sentido y, si llegare a considerarlo necesario, tomará las medidas correspondientes para garantizar el acceso de todos los interesados al Proceso de Selección.</t>
  </si>
  <si>
    <t>Pliego de Condiciones- Sección 2.2</t>
  </si>
  <si>
    <t>Proceso -  Presentación de la documentacion de oferta</t>
  </si>
  <si>
    <t xml:space="preserve">En relación al Representante Común, tanto en su definición incluida en el Pliego de Condiciones como en las especificaciones de la Cl. 4.1.5, que se establece que esta sea una única persona. 
Dadas las circunstancias actuales en relación con el COVID-19, se ruega por favor considerar la posibilidad de que se pueda nominar como Representante Común a varias personas, ya que existe el riesgo de que a dicho Representante Común, previamente nominado durante la fase de preparación de la oferta, se le impusiera una cuarentena en el último momento, y no diera tiempo a modificar los poderes de dicho representante (cuya tramitación lleva un tiempo considerable). </t>
  </si>
  <si>
    <t xml:space="preserve">Se informa al interesado que la Estructura Plural podrá designar a uno o varios Representantes Comunes. En todo caso, esto deberá quedar debidamente expresado en los documentos de la Oferta, esto es, en el documento de constitución de la Estructura Plural o en documento independiente  a través del cual se designe al representante común de acuerdo con el Pliego de Condiciones. De conformidad con lo anterior, se realizará la aclaración correspondiente. </t>
  </si>
  <si>
    <t xml:space="preserve">Pliego de condiciones, Seccion 4.1.5. Representante Común </t>
  </si>
  <si>
    <t>Jurídica - Representante Común</t>
  </si>
  <si>
    <t>De la manera más atenta, les rogamos confirmar nuestro entendimiento en el sentido de que (i) aquellos Oferentes de nacionalidad británica (personas naturales o jurídicas) podrán, si al momento del cierre de la Licitación Pública se encuentra vigente para el Reino Unido el tratado que suscribió Colombia con la Unión Europea, acreditar el mismo como mecanismo de reciprocidad para efectos del requisito de Incentivo a la Industria Nacional previsto en el numeral 5.4.2 del Proyecto de Pliego de Condiciones y (ii) en el evento en que el referido tratado pierda vigencia después de la fecha de cierre de la Licitación, estos Oferentes de nacionalidad británica NO se verán afectados por este hecho y se les mantendrá la calificación de Trato Nacional.</t>
  </si>
  <si>
    <t>Se le informa al interesado que la evaluación se realizará con base en la información acreditada al momento del cierre del proceso de selección, lo anterior en consonancia con lo dispusto en el numeral 2 del artículo 187, Titulo VI "Contratación Pública" del Acuerdo Comercial  con la Unión Europea que dispone: "a fin de que pueda ser tomada en consideración a efectos de la adjudicación de un contrato, una oferta deberá presentarse por escrito y cumplir, en el momento de la apertura, los requisitos esenciales establecidos en los avisos y en el pliego de condiciones, y deberá proceder de un proveedor que reúna las condiciones para la participación.”
De igual manera, se aclara que el artículo 126 del "Acuerdo sobre la retirada del reino unido de gran bretaña e irlanda del norte de la unión europea y de la comunidad europea de la energía atómica",  estableció un periodo de transición inicial hasta el 31 de diciembre de 2020, fecha hasta la cual seran aplicables a los proponentes del Reino Unido el Acuerdo Comercial suscrito por Colombia con la Unión Europea.</t>
  </si>
  <si>
    <t>Proyecto de Pliego de Condiciones - Sección 5.4.2</t>
  </si>
  <si>
    <t>Jurídica - Incentivo a la Industria Nacional y Reciprocidad</t>
  </si>
  <si>
    <t>Como continuación a nuestro comentario No. 20 enviado el 22 de abril de 2020 en relación al criterio de evaluación de la oferta económica establecido en el Proyecto de Pliego de Condiciones, reiteramos la importancia de que el Pliego defina (i) una única metodología para determinar el puntaje de la oferta económica, (ii) que la metodología a utilizar sea conocida de antemano por los Oferentes, y (iii) que el criterio de puntaje incentive la competitividad de oferta por parte de los Oferentes.
Creemos que el método actual no incentiva a los oferentes a presentar su mejor oferta, genera incertidumbre y, por encima de todo, no garantiza la oferta más ventajosa para la ANI desde el punto de vista económico.
En este sentido, además de la metodología sugerida en nuestro comentario anterior (i.e. utilizar el criterio del Menor Valor según la sección 8.5.6.b.(iv) del Prepliego de Condiciones según el cual el proponente que oferte el VPIP más bajo que cumpla con el criterio de límite inferior (90% de la media con mediana de las ofertas hábiles) es quien obtendría la máxima puntuación posible), querríamos proponer un criterio alternativo basado en el porcentaje de compartición de recaudo de peaje con el Concedente. Bajo este esquema los Oferentes indicarían en su oferta el % de ingresos de peaje que compartirán con el Concedente de manera que la oferta con el porcentaje de compartición más alto obtendría el mayor puntaje de la oferta económica.</t>
  </si>
  <si>
    <t>El pliego de condiciones establece un Valor Máximo de la Oferta Económica de $2.784.605.796.449. De manera preliminar y asumiendo que el VPIP se calcular con el Recaudo de Proyecto, y no el Recaudo de Peaje, parecería un valor excesivamente bajo para obtener ofertas económicas que sean viables. De la manera más atenta se sugiere elevar este valor máximo de manera sustancial.</t>
  </si>
  <si>
    <t xml:space="preserve">Se informa al interesado que la observación no se considera procedente, ya que la estimación de los recursos netos resultan suficientes para la ejecución adecuada del proyecto. </t>
  </si>
  <si>
    <t>Contrato Parte Especial, Capítulo II -  Tabla de Referencias a la Parte General, sección 1.194</t>
  </si>
  <si>
    <t>En la Tabla de Referencias a la Parte General de la Parte Especial se establece que: 
"(...) Se excluyen del concepto de Elusión los proyectos que se encuentran incorporados en el/los Plan/es de Ordenamiento Territorial o Departamental pertinentes, así como los que se encuentran registrados en el RUAPP y su prefactibilidad ha sido aprobada o se hayan contratado la estructuración pública por parte de entidades estales al momento de la recepción de Ofertas dentro del Proceso de Selección del Proyecto".
Al respecto, solicitamos que la fecha de corte para considerar proyectos excluidos del concepto de Elusión no sea la fecha de recepción de Ofertas, pues no sería posible considerar dicha situación en las proyecciones de tráfico e ingresos de los Oferentes por el poco tiempo que se tendría. En consecuencia, se necesita que la ANI establezca una fecha de corte anterior a la fecha de recepción de Ofertas, con el fin de que los oferentes puedan factorizar el efecto de esos proyectos en sus proyecciones de tráfico. Para tal efecto, proponemos que se incluya que la fecha de corte para exlcuir proyectos del concepto de Elusión sea la fecha de publicacion del Pliego Definitivo por parte de la ANI, o subsidiariamente 60 días antes de la fecha de recepción de Ofertas.</t>
  </si>
  <si>
    <t>Contrato Parte Especial, Capítulo II -  Tabla de Referencias a la Parte General, sección 3.3.(g).(iv)</t>
  </si>
  <si>
    <t>El apartado 3.6. g iii) cita en relación a la Entrega de la Infrastrucutra Existente cita que: "Si una vez vencido el plazo máximo para recibir la Infraestructura, las “Intervenciones Previstas” en la tabla anterior (exceptuando la puesta a punto del tramo Cali – Candelaria), se encuentran finalizadas, el monto de CAPEX de la infraestructura asociado a dichas intervenciones será trasladado por el Concesionario de conformidad con la Sección 3.6(g)(i) .......". Es nuestra interpretación que la mención entre paréntesis a la excepción de la puesta a punto del tramo Cali-Candelaria debe entenderse como que, cuando se entregue el citado tramo,  deberá el concesionario realizar unos trabajos de puesta a punto en cualquiera de las dos calzadas del tramo- la nueva recien construida o la existente- cuyo monto es el reflejado en la columna CAPEX de la tabla 3.6.(f). Por favor confirmar si este entendimiento es correcto, o en caso contrario aclarar este punto.</t>
  </si>
  <si>
    <t>Contrato Parte Especial, sección 3.6.g.(iii)</t>
  </si>
  <si>
    <t>Por favor confirmar que la estructura tarifaria que regirá el Proyecto en 2020 será igual a la publicada en la Circular Externa No.001 del Institito Nacional de Vias el 15 de enero de 2020. En caso contrario, de la manera mas atenta posible se solicita faciliten lo antes posible y con suficiente antelación a la fecha de cierre de la licitación, la Resolución No.[XX] del [YY] en la que se informa la estructura tarifaria aplicable al proyecto.</t>
  </si>
  <si>
    <t>Contrato Parte Especial, sección 4.2(a)</t>
  </si>
  <si>
    <t>Técnica - Estructura Tarifaria, Resolución</t>
  </si>
  <si>
    <t>El Anexo 3 establece para los Garantes que se deberá: "[Insertar el nombre de cada persona natural o jurídica que, sin ser Integrante del Oferente, su Experiencia en Inversión y Capacidad Financiera haya sido acreditada durante la Licitación Pública en virtud de su vinculación como matriz, sociedad controlada o sociedad controlada por la matriz del Oferente o Integrante del Oferente, de acuerdo con el Pliego de Condiciones]". 
Les solicitamos confirmar si cada Garante puede firmar el Acuerdo de Garantía en documento separado o si deben hacerlo en un mismo Acuerdo de Garantía.</t>
  </si>
  <si>
    <t>Proyecto de Pliego de Condiciones, Anexo 3 - Acuerdo de Garantía</t>
  </si>
  <si>
    <t xml:space="preserve">La entidad considera procedente la observación y realizará la aclaración pertinente. </t>
  </si>
  <si>
    <t>Proyecto de Pliego de Condiciones, Anexo 13 - Oferta Económica</t>
  </si>
  <si>
    <t>Los tramos objeto de Factor de Calidad Via la Herradura-Matapalo y Vía la Villa Rica – Caloto no figuran en la relación de tramos de Infrastrucutra existente. Se pregunta si los mencionados tramos son objeto de Operación y Mantenimiento durante la Etapa Preoperativa; o si por el contrario las actividades a realizar se limian exclusivamente a la ejecución de las obras descritas.</t>
  </si>
  <si>
    <t>Apéndice Técnico, Seccion 7.2-Factor de Calidad</t>
  </si>
  <si>
    <t>Técnica - Operación y Mantenimiento</t>
  </si>
  <si>
    <t>En la tabla-4 tramo Cali - Candelaria se indica como intervención prevista  la Puesta a punto y mantenimiento periódico de las dos calzadas. Por otra parte en el cuadro de datos de la Documentación técnica Fichero A2211, en la descripción de la via existente Cali - Candelaria se indica " En todo el sector se presenta una sección de calzada única con dos carriles por sentido de 3.65 m, separador central con zona verde, y bermas laterales de 2 m, como mínimo, por ambos lados. Actualmente la Gobernación del Valle del Cauca está construyendo la segunda calzada desde el PR10+000 a PR 17+545, y se encuentra en licitación el tramo PR0+000 a PR 10+000."  Se solicita que se aclaren los trabajos a realizar en la etapa preoperativa en dicho tramo Cali -Candelaria, dado que la información facilitada crea dudas sobre los trabajos a ofertar.</t>
  </si>
  <si>
    <t>Apéndice Técnico 1 Numeral 4.1 y numeral 4.3</t>
  </si>
  <si>
    <t>En la tabla 7 - Intersecciones que como mínimo debe intervenir el concesionario UF1 en el tramo Paso nacional por Palmira se indica la intersección Versalles. En la Nota 3 se indica " Deprimido bidireccional con glorieta a nivel. La via a deprimir será la calle 42...". Por otra parte en el cuadro de datos de la Documentación técnica dentro de la carpeta G se incluye una alternativa con un paso superior por encima de la glorieta. Se solicita confirmen que la solución a ofertar es la deprimida.</t>
  </si>
  <si>
    <t>Apéndice Técnico 1 Numeral 4.2 Unidad funcional 1</t>
  </si>
  <si>
    <t>En la tabla 14- Obras especiales que como mínimo debe ejecutar el concesionario UF2 se indica "Retorno Estambul previo al Peaje" No se ha encontrado información relativa a dicho tipo de obra.¿Podrían indicar la ubicación y características de dicho retorno?</t>
  </si>
  <si>
    <t>Apéndice Técnico 1 Numeral 4.3 Unidad funcional 2. Tabla 14</t>
  </si>
  <si>
    <t>En la tabla 14- Obras especiales que como mínimo debe ejecutar el concesionario UF2 se indica "Retorno exclusivo para motocicletas ( para ambos sentidos ) Guanabanal " No se ha encontrado información relativa a dicho tipo de obra.¿Podrían indicar la ubicación y características de dicho retorno?</t>
  </si>
  <si>
    <t>En la tabla 14 - Obras especiales que como mínimo debe ejecutar el Concesionario UF2 se indica el "acceso al Estadio monumental de Palmaseca" .No se ha encontrado ninguna documentación en la información técnica aportada relatica a dicho acceso. ¿Podrían facilar dichos estudios y el diseño que se solicita con características geométricas y conexión con la autovía Cali -Palmira?</t>
  </si>
  <si>
    <t>Apéndice Técnico 1 Numeral 4.3 Unidad funcional 2 Tabla 14</t>
  </si>
  <si>
    <t>En la intersección de Sameco de nueva construcción se incluyen los ramales existentes hasta los límites indicados. ¿ Podrían aclarar si los ramales del acceso al area de autobuses y dicha area están incluidos o no dentro de los trabajos de la oferta?</t>
  </si>
  <si>
    <t>Apéndice Técnico 1 Numeral 4.7  Tabla 27</t>
  </si>
  <si>
    <t>En las Intervenciones de Mejoramiento, para las Obras de Drenaje que NO fuera necesario modificar por que no se ven afctadas  y que estén en BUEN estado...
Se pide aclarar qué hacer con esas Obras de Drenaje.
Aclarar si se pueden dejar como están actualmente.</t>
  </si>
  <si>
    <t>Apéndice Técnico 1. Ap 6.2</t>
  </si>
  <si>
    <t>En las Intervenciones de Mejoramiento, para las Obras de Drenaje que NO fuera necesario modificar por que no se ven afctadas  y que estén en MAL estado...
Se pide aclarar qué hacer con esas Obras de Drenaje.
Si proceder únicamente a su reconstrucción o también adaptarlas a la Normativa vigente (por ejemplo: diámetro mínimo de 0,90m, comprobación de capacidad hidráulica y aumento de tamaño si procede, etc...).</t>
  </si>
  <si>
    <t>En las Intervenciones de Mejoramiento, para las Obras de Drenaje que SI fuera necesario modificar por que se ven afctadas y que estén en BUEN estado...
Se pide aclarar qué hacer con esas Obras de Drenaje.
Si proceder al alargamiento de las mismas arpovechando la existente o también adaptarlas a la Normativa vigente (por ejemplo: diámetro mínimo de 0,90m, comprobación de capacidad hidráulica y aumento de tamaño si procede, etc...).</t>
  </si>
  <si>
    <t>En las Intervenciones de Mejoramiento, para las Obras de Drenaje que SI fuera necesario modificar por que se ven afctadas y que estén en MAL estado...
Se pide aclarar qué hacer con esas Obras de Drenaje.
Si proceder la construcción de una nueva Obra de Drenaje adaptada a la Normativa Vigente.</t>
  </si>
  <si>
    <t>Se solicita aclarar los criterios de evaluación del estado de las Obras de Drenaje, para considerar si una Obra de Drenaje está en BUEN o MAL estado.</t>
  </si>
  <si>
    <t>Apéndice técnico 1</t>
  </si>
  <si>
    <t>En las Intervenciones de Rehabilitación o Puesta a Punto, para las Obras de Drenaje que estén en BUEN estado...
Entendemos que estas Obras de Drenaje se pueden dejar tal y como están actualmente... ¿es correcto nuestro entendimiento?</t>
  </si>
  <si>
    <t>En las Intervenciones de Rehabilitación o Puesta a Punto, para las Obras de Drenaje que estén en MAL estado...
Entendemos que estas Obras de Drenaje se reconstruirían conservando sus características originales, sin ninguna actualización a Normativa vigente (por ejemplo: diámetro mínimo de 0,90m, comprobación de capacidad hidráulica, etc...), ¿es correcto nuestro entendimiento?</t>
  </si>
  <si>
    <t>En la Documentación Técnica de Hidráulica, Hidrología y Socavación, no aparecen en planos las cuencas aportadoras de muchas de las Obras de Drenaje (por ejemplo las cuencas de las Obras de Drenaje 60+620 y 61+180 de la Variante Norte de Palmira, que se estima que no tienen capacidad suficiente)...
Se solicita que se faciliten los planos con la delimitación de todas las cuencas en que se ha estimado un Caudal de Diseño.</t>
  </si>
  <si>
    <t>Informes de Hidráulica, Hidrología y Socavación (B112041,  B212041…)</t>
  </si>
  <si>
    <t>En la Documentación Técnica de Hidráulica, Hidrología y Socavación, aparece un apartado denominado "Recomendaciones Generales y Constructivas", en relación al futuro mantenimiento de la vía.
¿Son simples Recomendaciones o más bien Obligaciones por parte del adjudicatario?
Se piede aclaración respecto de la Recomendación de "Se ejecutarán enrocados de protección en los descoles, hasta el caño o el río, para evitar erosiones en las entregas de las obras".</t>
  </si>
  <si>
    <t>Informes de Hidráulica, Hidrología y Socavación (B1111,  B1211, B2111…)</t>
  </si>
  <si>
    <t>En la Documentación Técnica de Hidráulica, Hidrología y Socavación, para los tramos de Puesta a Punto y Rehabilitación, se rediseñan y reconstruyen las Obras de Drenaje que se estima que no tienen capacidad hidráulica suficiente, con los caudales calculados con la Normativa Actual...
Se pide aclarar cual sería el criterio para rediseñar y reconstruir Obras de Drenaje en las actuaciones de Puesta a Punto y Rehabilitación.</t>
  </si>
  <si>
    <t>En la Documentación Técnica de Hidráulica, Hidrología y Socavación, se expone que el gálibo resultante en el Puente de Guillermo Valencia es de 1,11 m y se dice que cumple con el requerimiento de 2,50 m…
Se pide aclarar si es un error o realmente no cumple con el resguardo requerido por la Normativa.</t>
  </si>
  <si>
    <t>Estudio de Hidráulica, Hidrología y Socavación del Corredor 1 Sur. Página 35 de 56</t>
  </si>
  <si>
    <t>En la Documentación Técnica de Hidráulica, Hidrología y Socavación, no se han facilitado los modelos hidráulicos HEC-RAS de los puentes (solo aparece algo de información incompleta del puente Guillermo Valencia sobre el río Cauca), para realizar la comprobación del gálibo y de la sobreelevación de la lámina aguas arriba, así como para la estimación de la socavación...
¿Sería posible facilitar los modelos de HEC-RAS de los puentes?</t>
  </si>
  <si>
    <t>Documentación Técnica de Hidráulica, Hidrología y Socavación</t>
  </si>
  <si>
    <t>En el apéndice técnico-1 no se menciona las estructuras vehiculares existentes  sobre las que hay que actuar. Se solicita confirmación de que las estructuras existentes sobre las que hay que actuar son aquellas exclusivamente contenidas dentro de los Volúmenes VII – Estudio de Puentes, Pontones y Viaductos, se disponga o no de fichas técnicas, mediciones o informe SIPUCOL de ellas. Se solicita igualmente excluir explícitamente de las actuaciones del proyecto a aquellas estructuras que, estando en la traza, no se incluyan dentro de los listados incluidos en los anteriormente citados Volumen VII</t>
  </si>
  <si>
    <t>Apéndice Técnico-1 Documentación Técnica de estructuras</t>
  </si>
  <si>
    <t>Se solicita aclarar si deben ser o no incluidas aquellas estructuras de cruce que, dando servicio a otros viales ajenos al presente proyecto, cruzan sobre los ejes dentro de contrato</t>
  </si>
  <si>
    <t>Apéndice técnico-1 Documentación Técnica de estructuras</t>
  </si>
  <si>
    <t xml:space="preserve">Favor confirmar el alcance de intervención en el tramo Sameco Cencar, toda vez, que en la en la pág. 15 del  Informe A5111 indica que se debe construir un Tercer carril adicional, no obstante en el Alcance del Proyecto no se encuentra descrita dicha la obligación. </t>
  </si>
  <si>
    <t>ALCANCE DEL PROYECTO TablaNo. 5 Unidades Funcionales del Proyecto</t>
  </si>
  <si>
    <t>Hacemos referencia a lo establecido en el numeral en mención: “…El Concesionario deberá habilitar, reformar (si aplica), mantener y operar como mínimo un (1) Centro de Control de Operación –CCO- en los términos del Apéndice Técnico 2…”,de acuerdo a lo anterior, agradecemos disponer en el cuarto de datos los planos del Centro de Control de operaciones existente, lo anterior, para que el proponente pueda estimar las respectivas modificaciones a realizar, dados los requerimientos funcionales expuestos en dicho numeral.</t>
  </si>
  <si>
    <t>ALCANCE DEL PROYECTO Numeral 5.1. Centro de Control de Operaciones.</t>
  </si>
  <si>
    <t>Hacemos referencia a las vias de factor de calidad que tendrá que ofertar el proponente, puntualmente al tramo comprendido entre Caloto y Villarrica. Revisada la información dispuesta en el cuarto de datos (Carpeta G5(8)), se observa un documento que contiene la memoria de calculo para 1 puente de 18m y 4 formatos de puentes existentes, agradecemos confirmar si en este tramo se requiere la Construcción del Nuevo Puente, dado que la obligación no está descrita en el Apéndice Técnico.</t>
  </si>
  <si>
    <t>ALCANCE DEL PROYECTO. Numeral 7.2.1 Factor de Calidad </t>
  </si>
  <si>
    <t>ACCIONA, 15/05/2020</t>
  </si>
  <si>
    <t>Debido a las restricciones impuestas en diversos paises en las últimas semanas por motivo de la Covid-19 (entre otras la imposibilidad de viajar o de reunirse) y puesto que el cronograma definido en la Capítulo 2.3 "CRONOGRAMA DE LA LICITACIÓN PÚBLICA" del Pliego se definió en una situación previa a la Pandemia rogamos revisen y amplien las fechas del mismo desde la primera actividad "Observaciones al Proyecto de Pliego de Condiciones" al menos con una extensión de 60 días hasta que se normalicen de nuevo las condiciones.
Entendemos que una revisión más completa con todos los actores y agentes potencialmente implicados (asesores, industriales, fondos, financiadores) de los documentos redundará en una mayor concurrencia, eficiencia y eficacia en el proceso.</t>
  </si>
  <si>
    <t xml:space="preserve">
Solicitamos a la entidad de acuerdo con el Borrador de Pliegos, modifique el numeral 2.3, cronograma de la licitación pública, con el propósito de ampliar el cierre del proceso de licitación por un plazo no menor de 90 días respecto de la fecha actualmente establecida, esto basado en la situación actual de emergencia sanitaria del país y del resto del mundo. Haciendo énfasis especialmente en el decreto 531 de 2020 de la Presidencia de la República, y la ampliación de las medidas preventivas obligatorias adoptadas, dentro de las cuales se encuentra la restricción de vuelos internacionales y nacionales hasta el final de la emergencia sanitaria. 
Es importante señalar que para nuestra compañía, es necesario contar con el acompañamiento de nuestros especialistas en el estudio de la presente oferta, muchos de ellos extranjeros. Además indicar que es imprescindible conocer la zona de influencia del proyecto y lo que compone estrictamente las actividades de construcción alcance del presente proceso y dada la situación sanitaria del país y del resto del mundo, esto no es posible.
</t>
  </si>
  <si>
    <t>Inclusión de Efectos del Covid en el Contrato - Parte General:
“Coronavirus”: cepa del virus conocida como Coronavirus 2 del Síndrome Respiratorio Agudo Severo (SARS-CoV-2) y la enfermedad conocida como enfermedad del Coronavirus 2019 (COVID-19) que incluye, en ambos casos, cualquier mutación del mismo.
Nueva Clausula Coronavirus: El Concesionario podrá suspender los trabajos objeto del proyecto, sin necesidad de consentimiento previo expreso del Cliente, siempre que se dé alguna de las siguientes circunstancias:
1. Disposición de cualquier Administración Pública que restrinja el tráfico de personas/mercancías en la República de Colombia y/o en los países desde donde se realizará el suministro de materiales o de mano de obra cualificada.
2. Disposición de cualquier Administración Pública que ordene el cierre de centros de trabajo o centros escolares en la República de Colombia.
3. Cierre de puertos y aeropuertos en la República de Colombia y/o en los países desde donde se realizará el suministro de materiales o de mano de obra cualificada.
4. Infección de algún trabajador del Concesionario y/o de sus contratas en el proyecto que sea contrastado por servicios médicos independientes con impacto efectivo en la continuidad de los trabajos, de acuerdo a las normas de seguridad y salud del mismo Concesionario. 
5. Que se den perturbaciones en los mercados financieros (crédito, divisas, aseguradores, etc.).
6. Evento Covid-19: Considerando el mismo como cualquier cambio de ley, regulación y/o políticas, bloqueo o embargo impuesto por cualquier entidad gubernamental o autoridad sanitaria que afecte a los trabajos y que esté relacionada, directa o indirectamente, con el evento sobrevenido – Covid 19 – ya sea en el ámbito nacional y/o internacional y que tendrá el tratamiento de “Evento Eximente de Responsabilidad” dentro del contrato.
Como consecuencia de dicha paralización de los trabajos, el Concesionario tendrá derecho a un día de extensión por cada día de suspensión, más [X] días de movilización, así como al pago de cualquier coste y/o extracoste que dicha paralización genere al Concesionario.
En particular, en relación con el romanillo (5) anterior, los efectos derivados de dichas perturbaciones en los mercados financieros darán derecho al Concesionario a, sin carácter limitativo, lo siguiente;
• Ajustes de precio debido a inflación adicional generada durante el periodo de suspensión (en comparación con la prevista en los momentos previos a que se conociese el evento causante de la suspensión);
• Ajustes de precio debido a variaciones de tipo de cambio que afecten a los costes del proyecto (en comparación con los previstos en los momentos previos a que se conociese el evento causante de la suspensión);
• Variación de las condiciones de los seguros aportados (o pendientes de aportar) de acuerdo con lo que sea aceptado por el mercado asegurador, así como posibles variaciones de costes impuestas por las compañías aseguradoras como consecuencia del evento;
• Variación de las condiciones de las garantías aportadas (o pendientes de aportar) de acuerdo con lo que sea aceptado por los mercados financieros, así como posibles variaciones de costes impuestas por las entidades financieras como consecuencia del evento;
• Los costes que puedan surgir como consecuencia de restricciones en la circulación de capitales;
• Las posibles variaciones de impuestos, tasas de cualquier tipo y de cotizaciones sociales generadas por el evento en cuestión;
• Renegociación con el cliente de la composición del consorcio constructor en caso de que un componente del consorcio entre en procedimientos de recuperación judicial como consecuencia del evento;
Si la suspensión por el Coronavirus durase más de 12 meses continuos, se considerará suspensión prolongada, dando derecho al Concesionario a terminar el contrato. Las consecuencias de dicha terminación se equipararán a las consecuencias de una terminación por causas no imputables al Concesionario, debiendo por tanto éste ser compensada por cualquier costo en que pueda incurrir como consecuencia de dicha terminación, así como por los daños y perjuicios a los que tenga que hacer frente.”</t>
  </si>
  <si>
    <t xml:space="preserve">Aun siendo conscientes de las nuevas provisiones incluidas en la Capítulo 7.4 Fuerza Mayor Predial (numerales "iv" a "x"), algunos de los plazos propuestos para que aplique el Evento Eximente de Responsabilidad entendemos son excesivamente prolongados y pueden complicar sobremanera la bancabilidad del Proyecto. 
Se solicita que los plazos definidos en los numerales "iv", "vi", "viii" y "x" sean revisados y reemplazados por la mitad de los actuales. </t>
  </si>
  <si>
    <t xml:space="preserve">Se informa al interesado que no se acepta su observación. El artículo 41 de la Ley 80 de 1993 establece que los contratos estatales son intuitu personae y, en consecuencia, una vez celebrados no podrán cederse sin previa autorización escrita de la entidad contratante. En esta medida, la cesión del Contrato siempre requerirá autorización previa y escrita por parte de la ANI. </t>
  </si>
  <si>
    <t xml:space="preserve">Se ha hecho una revisión del cuarto de datos del proyecto, y echamos en falta la siguiente documentación: 
A. Informe MV-C04-DG-IF-001-R0 (Diseño Geométrico Corredor 04) Pág 20: “Se añaden en el Anexo 3, Planos, los diseños correspondientes a las obras que se ejecutarán por parte de la Gobernación del Valle descritos anteriormente (tramo Cali – Cavasa – Candelaria) y, a mayores, los diseños de mejoramiento realizados por el Consorcio Iceacsa – Bonus.” No se ubica el Anexo 3 en la documentación aportada. Ademas:
B. Las carpetas:
D1222 ANEXO 2. FICHAS DE CAMPO ICEACSA  
D1223 ANEXO 3. PLANO DE LOCALIZACIÓN DE OBRAS  
D1224 ANEXO 4. INFORMACIÓN EXISTENTE  
D3123 ANEXO 2. FICHAS DE CAMPO ICEACSA 
D3124 ANEXO 4. INFORMACIÓN EXISTENTE 
D4123 ANEXO 2. FICHAS DE CAMPO ICEACSA 
D4124 ANEXO 4. INFORMACIÓN EXISTENTE 
Agradecemos publiquen dicha información a la brevedad para proceder con el análisis de la misma. 
</t>
  </si>
  <si>
    <t>Jkurídica Contratación</t>
  </si>
  <si>
    <t xml:space="preserve">Solicitamos comedidamente nos indiquen preferiblemente georeferenciado en un plano en la zona de influencia del proyecto lo siguiente:
1. Nombre, dirección y telefonos de personas, empresas que operen canteras de material del área de influencia del proyecto que CUMPLAN principalmente con los requisitos de calidad (Dureza, Durabilidad, CBR%) que además dentro de su concesión ambiental tengan los permisos al dia y dispongan de un volumen considerable para atender el proyecto durante su etapa de construcción y mantenimiento.
2. Nombre, dirección y telefonos de personas, empresas que dispongan de ZODME autorizados por la Alcaldia y/o autoridad ambiental competente en la zona, para la disposición de material de Excavación en toda la longitud del proyecto, adicional zonas de disposición de escombros igualmente con permisos al día y con una capacidad en volumen de disposición que cumpla con las necesidades del proyecto durante su construcción y posterior mantenimiento rutinario en la concesión.
</t>
  </si>
  <si>
    <t>Se solicita que la liquidación a percibir por terminación anticipada del Contrato cubra en cualquier caso el servicio de la deuda pendiente para facilitar la bancabilidad de los proyectos.</t>
  </si>
  <si>
    <t xml:space="preserve">Se aclara al interesado que una de las condiciones básicas al definir las fórmulas de terminación es que pueda cubrirse el servicio de la deuda, lo cual efectivamente se asegura dentro de las fórmulas definidas en el Proyecto y cada una de las variables asociadas a las mismas. </t>
  </si>
  <si>
    <t>Capítulo 18.3 Fórmulas de Liquidación del Contrato</t>
  </si>
  <si>
    <t>Igualmente se solicita que la liquidación por terminación incluya los costes de los derivados financieros (swaps) en el cálculo de "F" en cuanto que es un coste material asociado a las fuentes de recursos necesarias.</t>
  </si>
  <si>
    <t>Se solicita que los costos de las Obras Menores procedentes de las nuevas consultas con las comunidades sean repartidos con el mismo esquema de bandas que los sobrecostes Prediales, Medioambientales y de Redes:
- Hasta 120% a cargo del Concesionario;
- Entre 120% y 200%: repartido entre Concesionario y la ANI en 30%/70% respectivamente
- A partir 200% a cargo de la ANI
O al menos que se establezca un límite del riesgo para el Concesionario. Mantener este abierto como ha ocurrido con los proyectos anteriores será dificilmente aceptable por los mercados financieros</t>
  </si>
  <si>
    <t>Capítulo 13.3.c y 8.1.d:
 Costos de las Obras Menores procedentes de nuevas consultas con las comunidades étnicas y afrodescendientes</t>
  </si>
  <si>
    <t>Se solicita que el plazo de la concesión se mantenga con un valor mínimo de 25 años, similar a lo definido en los contratos de las 4G. De otra manera se está trasladando al Concesionario el riesgo pero no la ventura del negocio.</t>
  </si>
  <si>
    <t>Capítulo 2.4. Plazo del Contrato</t>
  </si>
  <si>
    <t>Se solicita que los sistemas de bandas (Predios, Medioambiental y Redes) se sigan manteniendo aun cuando provengan de diseños modificados por el Concesionario. En caso de mantenerse esta no aplicación se estaría desincentivando la revisión y mejora de los diseños existentes al quedarse expuestos esos riesgos.</t>
  </si>
  <si>
    <t>Capítulo 6.3; 
Capítulo 7.2.d; 
Capítulo 8.1.c; 
Capítulo 8.2.e. 
Efectos de las Modificaciones y Adecuaciones a los Estudios de Factibilidad de Trazado y Diseño Geométrico por el Concesionario</t>
  </si>
  <si>
    <t>Con carácter general se solicita la consideración de instrumentos usados en experiencias recientes (por ejemplo los Titulos de Pago por Ejecución) para facilitar la estructuracion y financiación de algunos proyectos del programa 5G. Se ha demostrado que estos esquemas aumentan la capacidad atractora de los proyectos con una clara reducción de los costes finales a pagar por la Administración.</t>
  </si>
  <si>
    <t>Capítulo 3 Aspectos Económicos del Contrato</t>
  </si>
  <si>
    <t>De acuerdo con la información encontrada en el cuarto de datos ONE DRIVE 5G hemos evidenciado recurrentemente que no existen algunos archivos dentro de las carpetas allí mencionadas, pedimos a la entidad complemente toda la información necesaria, además de la siguiente información, la cual para nosotros es muy importante y se encuentra localizada en las siguientes carpetas:
CII3122411 - PPTO CALI -JAMUNDI
CII3122412 - VOLUMEN IX CANTIDADES DE OBRA-PRESUPUESTO 2
E131252 - PRESUPUESTO PREDIAL CORREDOR 2 
E211272 - PRESUPUESTO SOCIO AMBIENTAL UF1
E212272 - PRESUPUESTO SOCIO AMBIENTAL C13
E222272 - PRESUPUESTO SOCIO AMBIENTAL C4
E231281 - 8.1 PRESUPUESTO AJUSTADO_C2 AJUSTADO
E231283, E2411262, E2412272, E251272.
CII31224 - VOLUMEN IX CANTIDADES DE OBRA - PRESUPUESTO
CII3122412 - VOLUMEN IX CANTIDADES DE OBRA - PRESUPUESTO2</t>
  </si>
  <si>
    <t>En el Tramo: Variante El Bolo de la Unidad Funcional 5, el Anexo 1 del pliego dice que se construirá el tramo faltante y en la documentación técnica no hay ninguna referencia a este tramo en el diseño geométrico, geología, etc. Solo se ha encontrado algo de este tramo en señalización. 
Se solicita el resto de información técnica para este Tramo: Variante El Bolo.</t>
  </si>
  <si>
    <t>Apendice Técnico 1</t>
  </si>
  <si>
    <t xml:space="preserve">En el Tramo: Cali-Gencar de la Unidad Funcional 5:
o El pliego y el diseño geométrico sólo consideran la Puesta a Punto
o El Estudio Hidráulico, Hidrologico y de Socavación, habla de ampliar a 3 carriles por sentido parte del tramo.
Por lo antes mencionado, se solicita aclaración respecto del Alcance realmente requerido para este Tramo: Cali-Gencar
</t>
  </si>
  <si>
    <t>Inaki Ibarreche Harfush, 15/05/2020</t>
  </si>
  <si>
    <t>Favor de considerar  validas las  certificaciones que serán presentadas para acreditar la Experiencia en Inversión, si estas fueron emitidas en el año en curso.</t>
  </si>
  <si>
    <t xml:space="preserve">Proyecto de Pliego de Condiciones, numeral 4.2.10, (c), (iv) </t>
  </si>
  <si>
    <t xml:space="preserve">Derivado de la gran cantidad de información proporcionada, solicitamos amablemente se amplié el plazo para el envió de observaciones al Proyecto de Pliego de Condiciones </t>
  </si>
  <si>
    <t>Proyecto de Pliego de Condiciones, numeral 2.3</t>
  </si>
  <si>
    <t>Jurídica contratación</t>
  </si>
  <si>
    <t>Entendemos que el Oferente debe presentar certificaciones emitidas por la entidad acreedora, entidad deudora y entidad contratante para el/los contratos de construcción que vaya a utilizar para acreditar Experiencia en Inversión con el fin de validar que cumple los requisitos mínimos para participar en la licitación. Con este fin, ¿es posible adjuntar certificados expedidos en el 2020?</t>
  </si>
  <si>
    <t>Proyecto de Pliego de Condiciones, Cláusula 4.2.10</t>
  </si>
  <si>
    <t>Entendemos que las cifras que utilice cada Oferente para acreditar su capacidad financiera deberán ser tomadas de los estados financieros de la compañía al último cierre ordinario. ¿Es posible usar estados financieros debidamente auditados al 31 de diciembre del 2018?</t>
  </si>
  <si>
    <t xml:space="preserve">Se informa al interesado que la información deberá ser tomada de los Estados Financieros que reflejen los resultados correspondientes a 31 de diciembre de 2019 o el último cierre ordinario si fuese distinto. </t>
  </si>
  <si>
    <t>Proyecto de Pliego de Condiciones, Cláusula 1.3.25</t>
  </si>
  <si>
    <t>Entendemos que cada Oferente debe suscribir el Anexo 10A para acreditar su Capacidad Financiera y qué este formato lo deben firmar el representante legal, contador/vicepresidente financiero y  Revisor Fiscal de la entidad. En el caso que, dentro de una entidad, un funcionario cumpliera con las funciones de Contador y  Revisor Fiscal, ¿es posible que esta persona firme el documento como ambas figuras?</t>
  </si>
  <si>
    <t>Proyecto de Pliego de Condiciones, Cláusula 4.3.1</t>
  </si>
  <si>
    <t xml:space="preserve">¿Es posible entregar un cupo de crédito en una moneda distinta al peso colombiano? Esto, asumiendo que si se convierte esta moneda a pesos colombianos conforme a los criterios de conversión contenidos en estas bases, el monto sería mayor o equivalente a los $258,300,000,000 Pesos del Mes de Referencia requeridos. </t>
  </si>
  <si>
    <t>Proyecto de Pliego de Condiciones, Cláusula 4.3.6</t>
  </si>
  <si>
    <t>En el caso de que un Oferente entregue un Cupo de Crédito en una moneda distinta al peso colombiano, ¿tendrá que adjuntar algún documento convirtiendo el monto del cupo de crédito a pesos colombianos? De ser el caso, ¿con que criterios debe cumplir este Anexo con la conversión?</t>
  </si>
  <si>
    <t>¿Es posible hacer modificaciones al Anexo 11? Esto en el entendido de que el banco emisor haga constar que el Cupo de Crédito estará disponible al Oferente conforme a los lineamientos de los Pliegos de Condiciones.</t>
  </si>
  <si>
    <t>Proyecto de Pliego de Condiciones, Cláusula 4.3.6(ii)</t>
  </si>
  <si>
    <t xml:space="preserve">Entendemos qué, si el Oferente es un Consorcio, cada integrante únicamente podrá aportar 1 cupo de crédito para cumplir con los requisitos contenidos en los Pliegos de Licitación. Sin embargo, entendemos que, si dentro de un consorcio participan distintas entidades del mismo grupo matriz, cada entidad puede aportar un cupo de crédito, sin importar que compartan casa matriz. ¿Es correcto nuestro entendimiento? </t>
  </si>
  <si>
    <t>Proyecto de Pliego de Condiciones, Cláusula 4.3.6(vi)</t>
  </si>
  <si>
    <t>¿Es necesario que cada Oferente adjunte un modelo financiero para complementar la Oferta Económica en el Anexo 13?</t>
  </si>
  <si>
    <t>Proyecto de Pliego de Condiciones, Cláusula 5.2</t>
  </si>
  <si>
    <t xml:space="preserve">Entendemos que el Oferente puede incluir Obras Adicionales en su propuesta. ¿Bajo que modalidad se remunera la ejecución de estas Obras Adicionales? </t>
  </si>
  <si>
    <t xml:space="preserve">Proyecto de Pliego de Condiciones, Cláusula 5.5.4(a) </t>
  </si>
  <si>
    <t>En el caso de que un Oferente, opte por ejecutar las Obras Adicionales, ¿el monto de su oferta podrá superar el Valor Máximo de la Oferta Económica?</t>
  </si>
  <si>
    <t>Entendemos que los documentos que acrediten Requisitos Habilitantes y que estén en una moneda distinta al Dólar se deben convertir de la moneda original al Dólar para posteriormente ser expresados en pesos colombianos conforme a la metodología de conversión contenida en los Pliegos de Condiciones. ¿Es posible ejecutar esta conversión tomando en cuenta la tasa de cambio  certificada por el banco central competente según la moneda que corresponda?</t>
  </si>
  <si>
    <t xml:space="preserve">Proyecto de Pliego de Condiciones, Cláusula 6.5 </t>
  </si>
  <si>
    <t>En el caso que un Oferente deba convertir documentos para acreditar Requisitos Habilitantes de una moneda diferente al Dólar al Dólar (y posteriormente a Pesos Colombianos actualizados), ¿con que requisitos debe cumplir esta conversión para ser valida? ¿Quién necesita firmar el anexo con la conversión para validar que el método de conversión utilizado sea el correcto?</t>
  </si>
  <si>
    <t>Favor de adjuntar el Apéndice Financiero III al Contrato de Condiciones Generales.</t>
  </si>
  <si>
    <t>Parte General, Contrato de Concesión, Cláusula 12.2( c)</t>
  </si>
  <si>
    <t>¿Existe algún plazo máximo para la ejecución de la Etapa de Reversión?</t>
  </si>
  <si>
    <t xml:space="preserve">Parte General, Contrato de Concesión, Cláusula 2.5(i) </t>
  </si>
  <si>
    <t>Entendemos que el Concesionario no podrá cobrar una tarifa de peaje superior a la autorizada en el Contrato. Sin embargo, ¿existe un rango tarifario dentro del cual se puede elegir la tarifa el Concesionario? O, ¿debe existir una sola tarifa fija?</t>
  </si>
  <si>
    <t xml:space="preserve">Parte General, Contrato de Concesión, Cláusula 3.3(d) </t>
  </si>
  <si>
    <t>¿Los Ingresos por Explotación Comercial se deben tomar en cuenta en el Cálculo de VPIP?</t>
  </si>
  <si>
    <t xml:space="preserve">Teniendo en cuanta que el VPIP será calculado conforme lo estipulado en la sección 3.4 (a) del Contrato Parte General. Se aclara al interesado que los Ingresos por Explotación Comercial no harán parte de la obtención del VPIP. </t>
  </si>
  <si>
    <t xml:space="preserve">Parte General, Contrato de Concesión, Cláusula 3.3(j) </t>
  </si>
  <si>
    <t>¿Bajo que modalidades se podrá cumplir con la obligación de aportar los Giros de Equity (prestamos bancarios subordinados, aportaciones de capital, etc.)?</t>
  </si>
  <si>
    <t xml:space="preserve">Parte General, Contrato de Concesión, Cláusula 3.7 </t>
  </si>
  <si>
    <t>¿Existen penalidades si no se aportan los Giros de Equity mínimos dentro de los plazos previstos en la Parte Especial? De ser el caso, ¿cuáles serían las penalidades?</t>
  </si>
  <si>
    <t xml:space="preserve">Se informa al interesado que efectivamente existen penalidades y las mismas se encuentran estipuladas en la sección 10 del Contrato Parte General. </t>
  </si>
  <si>
    <t xml:space="preserve">Parte General, Contrato de Concesión, Cláusula 3.8(a) </t>
  </si>
  <si>
    <t>Entendemos que el valor del VPIP de $2,784,605,796,449 pesos colombianos del Mes de Referencia representa el monto máximo del proyecto. Es decir, un Oferente no podrá presentar un monto mayor a este en su Anexo 13 "Oferta Económica", pero si un monto menor. ¿Es correcto nuestro entendimiento?</t>
  </si>
  <si>
    <t>Contrato Parte Especial, Cláusula 1.194</t>
  </si>
  <si>
    <t>Entendemos que el Valor del Contrato es de $3,000,697,126,249 pesos del Mes de Referencia. Tomando en cuenta que el valor del VPIP ($2,784,605,796,449 pesos del Mes de Referencia) es menor, ¿Qué conceptos componen el Valor del Contrato?</t>
  </si>
  <si>
    <t>Contrato Parte Especial, Cláusula 3.4</t>
  </si>
  <si>
    <t>Favor de compartir detalles adicionales en cuanto a la "Resolución de Peajes" a la cual ser refiere la Cláusula 4.2 "Estructura Tarifaria".</t>
  </si>
  <si>
    <t xml:space="preserve">Contrato Parte Especial, Cláusula 4.2 </t>
  </si>
  <si>
    <t>Entendemos que la Unidad Funcional 0 comprende la prestación de servicios de operación y mantenimiento a lo largo de la autopista. ¿De donde se derivan los fondos para remunerar estos servicios a partir del primer mes desde la Fecha de Inicio?</t>
  </si>
  <si>
    <t xml:space="preserve">Se aclara al interesado que teniendo en cuenta que las estaciones de peaje son existentes, el recaudo de dichas estaciones de peaje serán la fuente para fondear la Unidad Funcional 0. </t>
  </si>
  <si>
    <t>Contrato Parte Especial, Cláusula 3.1(a)</t>
  </si>
  <si>
    <t>Entendemos que el Concesionario recibe una contraprestación por prestar servicios de operación y mantenimiento a lo largo de la autopista (UF0). ¿Esta contraprestación es fija? O, ¿crece conforme se ejecutan las obras de construcción (tomando en cuenta que conforme se avancen los obras se tendrán que operar y mantener un mayor número de kilómetros carreteros)?</t>
  </si>
  <si>
    <t>Entendemos que la tabla incluida en la Cláusula 4.1, relativa al porcentaje de participación de cada Unidad Funcional es indicativa. Esto tomando en cuenta que los ingresos por recaudo de peaje que obtenga el Concesionario podrán variar si hay cambios en el flujo de tráfico para cada UF o si se modifica el programa de obra y se ejecuta la puesta a punto de distintos segmentos de forma anticipada. ¿Es correcto nuestro entendimiento?</t>
  </si>
  <si>
    <t>Contrato Parte Especial, Cláusula 4.1</t>
  </si>
  <si>
    <t>Entendemos que los documentos que acrediten Requisitos Habilitantes y que estén en una moneda distinta al Dólar se deben convertir de la moneda original al Dólar para posteriormente ser expresados en pesos colombianos conforme a la metodología de conversión contenida en los Pliegos de Condiciones. Solicitamos se permita presentar estos documentos con los cuales ya se cuentan, con una tasa distinta, siempre y cuadro la variación sea mínima</t>
  </si>
  <si>
    <t xml:space="preserve">¿Cómo debemos entender cuáles serían otras situaciones que pongan en conflicto al oferente, además de las señaladas en el pliego de posiciones?
¿Quién o qué autoridad dentro del concurso licitatorio determina los supuestos?
Favor de aclarar el punto en el pliego.
</t>
  </si>
  <si>
    <t xml:space="preserve">3.3.4. En todo caso los Oferentes no darán lugar a situaciones que los pongan en conflicto con sus obligaciones previas o vigentes con respecto a otros  contratantes, con su futura o actual participación en procesos de selección, o en la ejecución de otros contratos. Lo anterior también aplica a la celebración de contratos entre la Fecha de Cierre de la Licitación hasta la Adjudicación. </t>
  </si>
  <si>
    <t>En caso de que el ingeniero civil o de transporte y vías requerido para avalar la oferta, sea un profesional no colombiano y no certificado en Colombia, ¿es admisible su cédula profesional debidamente legalizada y apostillada?</t>
  </si>
  <si>
    <t xml:space="preserve">Se informa al interesado que la Oferta deberá ser avalada por un ingeniero civil o de transporte y vías con la correspondiente certificación de vigencia de la matrícula profesional que expide la  autoridad competente en nuestro país de acuerdo con lo señalado la Ley 842 de 2003. En esta medida, no se aceptará copia de una cédula profesional legalizada y apostillada. </t>
  </si>
  <si>
    <t xml:space="preserve">4.1.6. 
2do párrafo
En el evento en que la persona natural, el representante legal de la persona jurídica (individual o como integrante de la Estructura Plural) no sea ingeniero civil o un ingeniero de transporte y vías, la Oferta deberá ser avalada por un ingeniero civil o un ingeniero de transporte y vías, para lo cual deberá adjuntar 1 fotocopia de la tarjeta profesional y certificación de vigencia de la matricula profesional.
</t>
  </si>
  <si>
    <t>¿Al beneficiario que se refiere el inciso, se refiere a la contratación de un ex presidiario?
Los datos de los posibles beneficiarios ¿serán proporcionados por esa convocante?
Favor de aclarar</t>
  </si>
  <si>
    <t xml:space="preserve">Se informa al interesado que los beneficiarios del Programa de Reincorporación a la Vida Civil son aquellas personas que por decisión individual abandonen voluntariamente sus actividades como miembros de organizaciones armadas al margen de la ley, se entreguen a las autoridades colombianas competentes y cuenten con certificación del Comité Operativo para la Dejación de las Armas que se encuentren en proceso de reincorporación a la vida civil. 
La política del Programa de Reincorporación a la Vida Civil es fijado por la Agencia Colombiana para la Reintegración de Personas y Grupos Alzados en Armas en coordinación con el Ministerio de Defensa Nacional. </t>
  </si>
  <si>
    <t xml:space="preserve">4.1.13 Vinculación De Personal Del Programa De Reincorporación A La Vida Civil
El Oferente, se compromete a que, en caso de salir favorecido con la Adjudicación, vinculará laboralmente al desarrollo del Contrato a mínimo una persona beneficiaria del Programa de Reincorporación a la Vida Civil, para lo cual realizará esta manifestación en la Carta de Presentación de la Oferta (Anexo 2).
24 
Lo anterior dando aplicación a lo dispuesto en el Decreto 1081 de 2015 “Por el 25 cual se expide el Decreto Único Reglamentario del Sector Administrativo de 26 Planeación Nacional”.
</t>
  </si>
  <si>
    <t>Favor de precisar a qué Ley se refiere este inciso.</t>
  </si>
  <si>
    <t xml:space="preserve">
Este numeral hace referencia a los documentos expedidos por autoridades publicas o particulares que cumplan funciones administrativas en sus distintas actuaciones en la República de Colombia y que reposen en sus archivos, los cuales pueden ser aportados al proceso de contratación en original o copia simple, siempre y cuando, no se trate de poderes especiales o cualquier otro documento que requiera de alguna formalidad. En estos casos, el documento deberá aportarse cumpliendo con tal requisito. </t>
  </si>
  <si>
    <t xml:space="preserve">6.3 DOCUMENTOS OTORGADOS EN COLOMBIA
Podrán presentarse en original o copia simple los documentos privados y los documentos producidos por las autoridades públicas de Colombia o los particulares que cumplan funciones administrativas en sus distintas actuaciones siempre que reposen en sus archivos. Se exceptuarán de la regla anterior los poderes especiales y demás documentos cuyos efectos se encuentran sometidos de acuerdo con la Ley al cumplimiento de ciertas solemnidades.
</t>
  </si>
  <si>
    <t>Se solicita: modificar el inciso (b) el cual indica eu el Concesionario asume los efectos favorables o desfavorables de sobrepasar la franja de terreno declarada como interés público, siendo que no se tiene certeza de que esta franja sea suficiente para el desarrollo del proyecto requerido por la ANI, (2) se solicita a la ANI aclare cual es el área de la franja de terreno del corredor vial del proyecto que ha sido declarada de utilidas publica e interés social, (3) se solicita a la ANI aclarar si esta franja esta definida para las vías del Factor de Calidad.</t>
  </si>
  <si>
    <t>Parte General. 6.3 Modificaciones y adecuaciones a los Estudios de Factibilidad de Trazado y Diseño Geométrico</t>
  </si>
  <si>
    <t>El Inciso c) otorga al Interventor 20 días para pronunciarse sobre las modificaciones propuestas por el Concesionario, se sugiere que: (1) al plazo para el Interventor sea de 5 días con el fin de buscar con mayor rapidez la intervención del amigable componedor en caso de que no exista acuerdo entre las partes, (2) que los días que impacte al programa la No Objeción del Interventor sean tomadas en cuenta para la reprogramación de las actividades impactadas en el Plan de Obras, (3) que se permita la intervención de figuras distintas al amigable compnedor como tercerías, juicio de expertos, etc.</t>
  </si>
  <si>
    <t>Parte General. 6.4 Modificaciones y adecuaciones a los Estudios de Trazado y Diseño Geométrico y/o Estudios de Detalle. Inciso c)</t>
  </si>
  <si>
    <t>Se solicita que: (1) las Deducciones sean retenciones que puedan ser recuperadas por el Concesionario, (2) no se aplique una doble retención como la indicada en el inciso (f) literal (iii) Tabla con porcentajes de retenciones por UF, (3) se suprima la causación de multas de la Parte Especial indicada en el mismo literal (iii) toda vez que ya se estarían aplicando dos retenciones y/o deducciones. Se estaría castigando 3 veces al Concesionario por el mismo incumplimiento.</t>
  </si>
  <si>
    <t>Parte General. 7.1 Gestión Predial. (f) Deducciones por Índice de Cumplimiento Predial.</t>
  </si>
  <si>
    <t>En caso de que existan recursos remanentes al concluirse la gestión predial, se solicita se aclare si estos pasan a libre disposición de la ANI. Se solicita que estos se dispongan para disposición del proyecto y sea beneficiario el concesionario.</t>
  </si>
  <si>
    <t>Parte General. 7.2 Recursos para adquisición de predios. (b) Recursos remanentes</t>
  </si>
  <si>
    <t>El procedimiento implica que el Concesionario deba financiar las obligaciones de la ANI a largo plazo , por lo que se solicita que: (1)  las cuentas de cobro sean quincenales en lugar de bimestrales, (2) La aprobación del Interventor y la ANI sea en un plazo máximo de 15 días y no de 40 días, (3) que los intereses corran a partir de la erogación realizada por el Concesionario.</t>
  </si>
  <si>
    <t>Parte General. 7.2 Recursos para adquisición de predios. (f) Recursos a cargo de la ANI</t>
  </si>
  <si>
    <t>Confirmar si el inciso ( e ) relativo a nuevas consultas previas hace parte de la sección 19.1 de obras menores.</t>
  </si>
  <si>
    <t>Parte General. 19.1 Obras Menores</t>
  </si>
  <si>
    <t>Se solicita que: (1) el plazo máximo para lograr un acuerdo sea de 5 días, (2) que se permita la utilización de paneles de expertos o especialistas antes del amigable componedor.</t>
  </si>
  <si>
    <t xml:space="preserve">Parte General. 19.14 Ajustes por solicitud del Interventor. </t>
  </si>
  <si>
    <t>La definición de puesta a punto indica que consiste en los conceptos de rehabilitación, junto con la actualización de la señalización a la normatividad vigente y la instalación y/o actualización de los sistemas ITS. Se solicita que esta definición se acote al alcance del mantenimiento funcional del pavimento y la actualización de la señalización, de otra forma el Concesionario estará sujeto a la subjetividad respecto a que parte de los conceptos de rehabilitación deberá realizar para la puesta a punto. El Manual de Mantenimiento de Carreteras del INVIAS no define el concepto de Puesta a Punto, por lo tanto para ser congruente con la normatividad debe considerarse una definición que no incluya los conceptos de rehabilitación y evitar confusiones técnicas para las partes.</t>
  </si>
  <si>
    <t>Apéndice Técnico 1. Numeral 6.2 Alcance de las Intervenciones. Literal (iv) Puesta a Punto</t>
  </si>
  <si>
    <t>La ANI establece un plazo de 3 meses para atender las Intervenciones Prioritarias, sin embargo se requiere del orden de al menos 9 meses para desarrollar las actividades de bacheo, parcheo, señalización, limpieza, etc., descritas en el literal (vi), resultando inadecuada la pretensión de organizar, fondear e intervenir en 310 kilómetros las intervenciones prioritarias. Se solicita establecer un plazo de 9 meses y evitar sanciones tempranas al Concesionarios ante una pretensión poco realista de los tiempos de intervención de solo 3  meses a partir de la fecha de inicio.</t>
  </si>
  <si>
    <t>Apéndice Técnico 1. Numeral 6.2 Alcance de las Intervenciones. Literal (v) Rehabilitación. Numeral (2) Intervenciones prioritarias. Literal (vi) Intervenciones Prioritarias</t>
  </si>
  <si>
    <t>No existe inciso (a) en el numeral 6.2, favor de aclarar cual es el inciso (a)</t>
  </si>
  <si>
    <t>Apéndice Técnico 1. Numeral 6.2 Alcance de las Intervenciones. Inciso (b)</t>
  </si>
  <si>
    <t>Se solicita modificar el plazo para la presentación del Plan de Desvíos Programados a una semana en vez de un mes, debido a la rapidez de las actuaciones y ejecuciones con las que debe atenderse el proyecto.</t>
  </si>
  <si>
    <t>Apéndice Técnico 1. Numeral 6.2 Alcance de las Intervenciones. Inciso (b) Intervenciones de mejoramiento…</t>
  </si>
  <si>
    <t>FIDUCIARIA DE OCCIDENTE S.A., 13/05/2020</t>
  </si>
  <si>
    <t>Con el fin de precisar el alcance  que tienen las instrucciones especiales que profiera el fideicomitente y/o beneficiario, para desarrollar el desarrollar el contrato fiduciario, conforme lo previsto la Circular Básica Jurídica de la Superintendencia Financiera de Colombia, Parte II, Título II, Capítulo I, Subnumeral 2.2.1.4, se solicita respetuosamente evaluar la necesidad de incorporar expresamente a la redacción de la Sección, que para efectuar el traslado mensual de la Retribución a la Cuenta Proyecto y/o Patrimonio Autónomo-Deuda o Cesionario Especial, será necesario que se imparta una instrucción a la Fiduciaria mediante Notificación por parte de la ANI, en donde se autorice o se informe que no existe objeción para el traslado correspondiente de Recursos. Lo anterior, toda vez que al administrador fiduciario requiere, en desarrollo de su rol instrumental como administrador de los bienes del Fideicomiso, que los traslados entre Cuentas y/o Subcuentas se ejecuten con autorización expresa del titular del derecho (Fideicomitente y/o Beneficiario), en este caso, de la Entidad Estatal (ANI), de modo que se encuentre verificado que el traslado se ajusta al objeto y finalidad contratados, conforme lo previsto en el artículo 1226 del Código de Comercio y los deberes indelegables del Fiduciario previstos en el artículo 1234 del mismo Código.</t>
  </si>
  <si>
    <t>Anexo 1, Minuta Contrato de Concesión, Parte General, Sección 3.1(g)(ii)</t>
  </si>
  <si>
    <t>Se solicita respetuosamente considerar que el primer Giro de Equity a cargo del Concesionario sea realizado en una fecha posterior alrededor de la fecha de constitución del patrimonio autónomo, de preferencia, fijando un plazo adicional en Días Hábiles. Lo anterior, toda vez que la Entidad Estatal debe considerar que, de resultar seleccionado un proveedor de servicios extranjero, es posible que los Giros de Equity deban efectuarse desde cuentas en el exterior, que requieren previamente conocer información de cuentas bancarias y el patrimonio autónomo titular para efectuar los desembolsos, lo cual en la práctica haría virtualmente imposible hacer coincidir la situación de fondos en las subcuentas del Fideicomiso y su constitución. Agradecemos considerar la conveniencia de otorgar un plazo adicional con posterioridad a la constitución del Fideicomiso para la realización de Giros de Equity, de tal forma que tanto la Fiduciaria como el Concesionario puedan garantizar todos los procedimientos relacionados con la creación del Patrimonio Autónomo, registro, creación y autorización de cuentas, y demás formalidades exigidas a nivel cambiario para la creación de las cuentas requeridas y el fondeo oportuno, a fin de mitigar el riesgo de imposición de Multas conforme la Sección 6.1 de la Parte Especial del Contrato de Concesión.
Como consecuencia de lo anterior, agradecemos que pudiese replicarse el mismo plazo otorgado para el fondeo de las demás subcuentas que deben fondearse a la constitución del Patrimonio Autónomo, conforme la Sección 4.5 de Parte Especial de la Minuta del Contrato de Concesión.</t>
  </si>
  <si>
    <t xml:space="preserve">Se informa al interesado que no se acepta su observación, la entidad considera que los plazos establecidos para realizar el primer Giro de Equity son razonables y tienen en cuenta los plazos requeridos para la constitución del Fideicomiso y la correspondiente creación y autorización de subcuentas. </t>
  </si>
  <si>
    <t>Anexo 1, Minuta Contrato de Concesión, Parte General, Sección 3.9(d) y Parte Especial, Sección 4.4 y Sección 4.5</t>
  </si>
  <si>
    <t>Agradecemos incorporar en el texto de las Secciones indicadas, si el Concesionario estará autorizado para abrir cuentas bancarias en el exterior a nombre del Patrimonio Autónomo para el manejo de los Recursos asociados a los Giros de Equity en la Cuenta Proyecto. En caso afirmativo, confirmar, si de acuerdo con nuestro entendimiento, los Giros de Equity, cuando provengan de giros del exterior, podrán estar expresados en Pesos Colombianos por el valor mínimo de Giros de Equity del Mes de Referencia, sin necesidad de realizar operación de monetización adicional de las divisas cuando se encuentren depositadas en cuentas en el exterior. Lo anterior, para efectos de la certificación que debe ser emitida por la Fiduciaria conforme la Sección 3.9(d) de la Parte General</t>
  </si>
  <si>
    <t>Anexo 1, Minuta Contrato de Concesión, Parte General, Sección 3.9 y Parte Especial, Sección 4.4</t>
  </si>
  <si>
    <t>Se solicita precisar, si de acuerdo con nuestro entendimiento, el Beneficiario de las Subcuentas de Predios, Redes y Compensaciones Socioambientales de la Cuenta Proyecto será la ANI. En caso afirmativo, solicitamos respetuosamente valorar la incorporación expresa de dicha condición de Beneficiario en el texto de la Sección anotada.</t>
  </si>
  <si>
    <t>Anexo 1, Minuta Contrato de Concesión, Parte General, Sección 3.14(b).</t>
  </si>
  <si>
    <t>Con relación a las obligaciones de la Fiduciaria dispuestas en el numeral 5.3.4.4 de la minuta del Contrato, solicitamos precisar el alcance al límite de responsabilidad del administrador fiduciario con ocasión de la incorporación del Contrato de Concesión al de Fiducia Mercantil, a fin de establecer que la Fiduciaria con su gestión o el Patrimonio Autónomo que administra, no comprometen obligación de resultado alguna, y que por el hecho de la incorporación, no se entenderá que se subrogan en modo alguno en el cumplimiento de las obligaciones que corresponden al Concesionario de Provisión, ni asumirán indemnidad alguna en su nombre, por ese solo hecho. 
Así mismo, se solicita evaluar y precisar que la incorporación no comprende la extensión ni el ejercicio de las facultades exorbitantes y/o de apremio por parte de la ANI con respecto al Contrato de Fiducia Mercantil, salvo aquellas que den lugar a su terminación anticipada como consecuencia de su ejercicio en contra del Concesionario, si a ello hubiere lugar, toda vez que tales facultades son predicables del cumplimiento tardío o defectuoso, o incumplimiento total o parcial de las obligaciones a cargo del Concesionario, y de la naturaleza propia del Contrato de Concesión; y por lo tanto, no se entenderán incorporadas dentro del ámbito de responsabilidad que incumbe a la Fiduciaria.</t>
  </si>
  <si>
    <t>Anexo 1, Minuta Contrato de Concesión, Parte General, Sección 3.15(a).</t>
  </si>
  <si>
    <t>Con relación a lo previsto en la Sección sobre ‘Reemplazo de la Fiduciaria’, se solicita incorporar en el texto de la cláusula, que el reemplazo del administrador fiduciario podrá ser llevado a cabo por el Concesionario, cuando medie un incumplimiento grave de las obligaciones de la Fiduciaria debidamente verificado, y no de manera unilateral e injustificada por este, para lo cual se sugiere adoptar un procedimiento siquiera sumario para autorizar la remoción.
Lo anterior, toda vez que de acuerdo con la Sección 3.15(e)(i) de la minuta del Contrato de Concesión, Parte General, se prevé la irrevocabilidad del contrato de fiducia mercantil por el Concesionario o la Fiduciaria, sin la autorización previa de la ANI.</t>
  </si>
  <si>
    <t>Anexo 1, Minuta Contrato de Concesión, Parte General, Sección 3.15(m).</t>
  </si>
  <si>
    <t>Solicitamos precisar las condiciones básicas que deberá contener el informe de liquidación descrito en esta Sección, en el marco de los requisitos mínimos exigidos a la rendición de cuentas que incumbe a la Fiduciaria, y que se encuentran estipulados en la Circular Básica Jurídica de la Superintendencia Financiera (Circular Externa 029 de 2014, Parte II, Título II, Capítulo I). 
Agradecemos precisar igualmente, si de acuerdo con nuestro entendimiento, el cumplimiento de este deber a cargo de la Fiduciaria se asimila a la rendición final de cuentas que le corresponde emitir a la Fiduciaria con arreglo a la Circular Básica Jurídica de la Superintendencia Financiera (Circular Externa 029 de 2014, Parte II, Título II, Capítulo I).</t>
  </si>
  <si>
    <t>Anexo 1, Minuta Contrato de Concesión, Parte General, Sección 3.18(e).</t>
  </si>
  <si>
    <t>SENDA, 15/05/2020</t>
  </si>
  <si>
    <t>En atención a los recorridos de campo que deberan realizar los interesados a efectos de  realizar trabajos de auscultación de pavimentos, inventarios de estructuras de puentes existentes, trabajos de topografia de verificacion de redes de servicios publicos en Intersecciones viales existentes, sondeos y/o perforaciones y/o ensayos, conteos vehiculares, entre otros, se solicia a la Entidad informar el procedimiento a seguir para poder obtener los permisos correspondientes para el desarrollo de estas actividades, a efectos de que el personal tecnico y profesional requerido para ejecutarlas pueda acreditarse y obtener los permisos de circulación correspondiente entre Municipios del Departamento del Valle del Cauca y/o entre Departamentos en caso de ser requerido.</t>
  </si>
  <si>
    <t>Revisadas las carpetas publicadas en el cuarto de datos los días 5, 8 y 13 de mayo, se observa que el contenido de las carpetas C ,E, F, G, H, I  no coincide con la documentación que debería estar disponible en las mismas, conforme el indice actualizado publicado ya que muchas de las citadas carpetas se encuentran vacias. Al respecto se solicita a la Entidad:
- Revisar las carpetas publicadas el 5, 8 y 13 de mayo y publicar la información faltante. (Ej. Carpeta H713, Carpeta H7111, Carpeta H2 - Subcarpeta H23, Carpeta H6)
- Notificar a los interesados todos los cambios que a lo largo de la licitación tenga el cuarto de datos, mediante aviso en el Secop II, con la correspondiente actualización del indice.</t>
  </si>
  <si>
    <t>CEC, 15/05/2020</t>
  </si>
  <si>
    <t xml:space="preserve">CEC, 15/05/2020 </t>
  </si>
  <si>
    <t xml:space="preserve">Se informa al interesado que no se acepta su observación, la Garantía de seriedad tiene carácter sancionatorio, sin perjuicio del derecho que le asiste a la ANI de exigir la indemnización de perjuicios adicionales que con dicho incumplimiento le hayan causado se llegaren a causar. Se ajustará el Pliego de Condiciones. </t>
  </si>
  <si>
    <t xml:space="preserve">Se informa al interesado que el parágrafo 1 de la Sección 5.6.5. del Proyecto de Pliego de Condiciones hace referencia la Sección 5.6.4 en donde se establece que "Para Estructuras Plurales, la Entidad tendrá en cuenta la planta de personal del Integrante de la Estructura Plural que aporte como mínimo el cuarenta por ciento (40%) de la experiencia requerida para el Proceso de Contratación". De acuerdo con el parágrafo observado, se entenderá por experiencia requerida, la Experiencia en Inversión. </t>
  </si>
  <si>
    <t>Egis Projects S.A, 15/05/2020</t>
  </si>
  <si>
    <t>Dada la complejidad e importancia del presente proceso, solicitamos a la entidad tres meses de plazo con respecto a la fecha de entrega establecida en el cronograma. Esto con el fin de presentar una propuesta bajo los más altos estándares de calidad y mejores condiciones de financiamiento.
Lo anterior, teniendo también en cuenta las dificultades que pueda haber para la preparación de las ofertas, derivadas de la situación actual y medidas de protección contra el COVID-19.</t>
  </si>
  <si>
    <t>PROYECTO DE PLIEGOS Y CONDICIONES</t>
  </si>
  <si>
    <t>¿En qué apartado podemos encontrar un catálogo referencial acerca del Mantenimiento rutinario y periódico de los pavimentos de la(s) vía(s) objeto de la concesión?</t>
  </si>
  <si>
    <t>APÉNDICE TÉCNICO 2 - CONDICIONES PARA LA OPERACIÓN Y MANTENIMIENTO</t>
  </si>
  <si>
    <t>Para efectuar el monitoreo de la vía y disponer la atención de incidentes, accidentes y emergencias, el Concesionario dispondrá de mínimo dos (2) Bases de Operaciones. ¿Cuál será la ubicación de las 2 bases de operación?</t>
  </si>
  <si>
    <t>Los vehículos de las bases de operación podrán ser sub-contratados?</t>
  </si>
  <si>
    <t>El Concesionario deberá difundir el estado de la vía por medio de uno o varios canales de emisora de radio. ¿Se realizará las 24 horas del día o con que frecuencia se dará a conocer dichos informes?</t>
  </si>
  <si>
    <t>Dentro de los servicios a cargo del Concesionario hay Servicios de Carácter Obligatorio, por lo tanto solictamos un Catálogo base de obra de esos servicios.</t>
  </si>
  <si>
    <t>¿Se tiene algún Catálogo de Conceptos para la presentación de la oferta económica?</t>
  </si>
  <si>
    <t xml:space="preserve">Se informa al interesado que todos los lineamientos y condiciones para la presentación de la Oferta Económica se encuentran definidos en los Pliegos de Condiciones y sus anexos correspondientes. </t>
  </si>
  <si>
    <t>¿Nos podrian proporcionar un listado (check list) de los documentos que deberan conformar la Oferta Legal?</t>
  </si>
  <si>
    <t xml:space="preserve">Se informa al interesado que no se acepta su observación. Corresponde a la debida diligencia de cada Oferente determinar el contenido y alcance de su Oferta. En todo caso, las condiciones establecidas en el Proyecto de Pliego de Condiciones son claras al indicar cada uno de los requisitos de la Oferta.  </t>
  </si>
  <si>
    <t>¿Nos podrian proporcionar un listado (check list) de los documentos que deberan conformar la Oferta Técnica?</t>
  </si>
  <si>
    <t>El inciso (x) indica: "Los demás Anexos y documentos que se requieran para acreditar los requisitos de una Oferta Hábil y los factores de escogencia establecidos en el Pliego de Condiciones, excepto la Oferta Económica que debe incluirse en el Sobre No. 2." ¿Podrian detallar que otro tipo de documentación podria incluirse en este inciso? Favor de confirmar que en caso de no incluir ningun documento en dicho anexo no será causal de desechamiento de la propuesta.</t>
  </si>
  <si>
    <t xml:space="preserve"> La ANI considera que las condiciones establecidas en el Proyecto de Pliego de Condiciones son claras al indicar cada uno de los requisitos de la Oferta. Así mismo, se informa al interesado que corresponde a la debida diligencia de cada Oferente determinar el contenido y alcance de su Oferta. </t>
  </si>
  <si>
    <t>PROYECTO DE PLIEGO DE CONDICIONES            CAPÍTULO VII 
CONDICIONES DE LAS OFERTAS 
7.1 CONTENIDO DE CADA UNO DE LOS SOBRES 
7.1.1 Sobre No. 1</t>
  </si>
  <si>
    <t>Favor de aportar una definición y método de cálculo de los siguientes conceptos: Valor del contrato, valor de la propuesta económica, VPIP.</t>
  </si>
  <si>
    <t>Contrato especial, numeral 3.4 Valor del Contrato. 
                                                                                                                                                                                                                                                                                                                                                                      Proyecto de pliego de condiciones, numeral 1.3.62.</t>
  </si>
  <si>
    <t>Le solicitamos amablemente incluir una checklist de los documentos a proveer por parte de una empresa internacional para acreditar la experiencia en inversión.</t>
  </si>
  <si>
    <t>ANEXO 9 - EXPERIENCIA EN INVERSIÓN</t>
  </si>
  <si>
    <t>El Apéndice Técnico 1, establece que: “No se requieren estaciones de peaje nuevas, sin embargo, debe adaptarse para las existentes un carril en cada sentido con el sistema de recaudo electrónico”.      Entendemos que no deberan construirse 2 carriles adicionales en cada plaza de cobro, sino que solo deberan equiparse 2 de los carriles ya existentes en cada una de las 8 plazas de cobro para aceptar pagos electronicos (16 carriles en total) ¿Es correcta nuestra apreciación?</t>
  </si>
  <si>
    <t xml:space="preserve">APÉNDICE TÉCNICO 1 - ALCANCE DEL PROYECTO, numeral 5.6 </t>
  </si>
  <si>
    <t>¿El equipo de peaje y telepeaje a instalar en las plazas de cobro podrá ser propuesto por el concursante?</t>
  </si>
  <si>
    <t>El Acuerdo de garantía debe permanecer vigente hasta la caducidad de las acciones de la ANI, favor de considerar añadir una fecha precisa de terminación en consideración del compromiso en cuestión.</t>
  </si>
  <si>
    <t>Articulo 5.2 del ANEXO 2</t>
  </si>
  <si>
    <t>Se indica que no se admitirán estructuras plurales bajo la denominación y reglas de los consorcios o uniones temporales por aplicación del artículo 2.2.2.1.1.3 del Decreto 1082 de 2015. Favor de reconsiderar.</t>
  </si>
  <si>
    <t xml:space="preserve">Se informa al interesado que se hará un ajuste en la redacción para mayor claridad. En todo caso, se informa que podrá presentar Oferta una Estructura Plural, entendida tal como un Oferente integrado por un número plural de personas naturales y/o jurídicas nacionales o extranjeras que presentan Oferta conjunta. </t>
  </si>
  <si>
    <t>Articulo 1.3.27 de los PREPLIEGOS</t>
  </si>
  <si>
    <t>Se prevé que el Concesionario asumira los riesgos ligados a los vicios ocultos/defectos latentes después del examen de los sitios, esto es demasiado riesgo asumido por el Contratista. Favor de reconsiderar.</t>
  </si>
  <si>
    <t>Articulo 1.8.3 de los PREPLIEGOS y 2.6, A), xi) del Contrato General</t>
  </si>
  <si>
    <t xml:space="preserve">Se indica que el SPV deberá crear une sociedad comercial por acciones de nacionalidad colombiana, favor de confirmar que el SPV podrá elegir el tipo de sociedad comercial. </t>
  </si>
  <si>
    <t>Articulo 9.3.1 de los PREPLIEGOS</t>
  </si>
  <si>
    <t>Favor de considerar reducir al lapso en cuestión (150% adicional del tiempo máximo establecido por la Ley Aplicable) a un lapso fijo de noventa (90) días, para una adecuada protección del Contratista</t>
  </si>
  <si>
    <t xml:space="preserve">Se informa al interesado que no se acepta su observación. La ANI considera que los plazos establecidos son razonables y responden a las necesidades de este tipo de proyectos. Adicionalmente, se considera más apropiado establecer un porcentaje del tiempo máximo establecido por Ley de forma tal que se tiene en cuenta la diferencia de plazos establecidos por la Ley. </t>
  </si>
  <si>
    <t>Articulo 1.79 del Contrato General</t>
  </si>
  <si>
    <t xml:space="preserve">Opinamos que eventos como contaminación preexistente o vicios ocultos,  cualquier tipo de Fuerza Mayor, no deberían ser sujeto a aceptación por la otra Parte pero deberían considerarse por sí mismo Evento Eximente de Responsabilidad. Contaminación existente debería ser incluida en la definición de Fuerza Mayor Ambiental, siempre cuando dicho evento no resulta del incumplimiento del Concesionario. </t>
  </si>
  <si>
    <t xml:space="preserve">Se informa al interesado que no se acepta su observación. En el evento en que la Parte notificada no acepte la ocurrencia del Evento Eximente de Responsabilidad, el asunto será resuelto por el Amigable Componedor. Esto permite verificar las condiciones bajo las cuales una situación particular puede o no considerarse un Evento Eximente de Responsabilidad. </t>
  </si>
  <si>
    <t>Articulo 14.2 incisos iv) y v) del Contrato General</t>
  </si>
  <si>
    <t>Algunos riesgos son asignados “Publico – Privado”, favor de aclarar como se hace la repartición del riesgo. Nos parece que debería especificar montos claros, o bien, la persona publica se encarga de lo que no está cubierto por los seguros?</t>
  </si>
  <si>
    <t>Anexo 23 - Matriz de riesgos y articulo 13.3 del Contrato General</t>
  </si>
  <si>
    <t>Los efectos de la invasión del derecho de vía deberían ser asignados a la Parte Pública, como parte de evento de Fuerza Mayor.</t>
  </si>
  <si>
    <t>Anexo 23 - Matriz de Riesgos, n°7</t>
  </si>
  <si>
    <t>Favor de agregar una línea para especificar que la parte privada no será responsable en caso de no funcionamiento de los REDES; igualmente, que los efectos desfavorables de los eventos de Fuerza Mayor por interferencia de Redes serán asignados totalmente a la ANI.</t>
  </si>
  <si>
    <t>Anexo 23 - Matriz de Riesgos, n°8 y articulo 13.3 inciso v) del Contrato General</t>
  </si>
  <si>
    <t xml:space="preserve">Los efectos de  variaciones en las condiciones macroeconómicas que tengan impacto en el proyecto deberían ser asignados a la Persona Pública, y ser relacionado con la cláusula 13.1,b) del Contrato General. El Concesionario requiere protección solida respecto a cambio de normativa  para asegurar una protección adecuada al Concesionario durante un período de 30 años. </t>
  </si>
  <si>
    <t>Anexo 23 - Matriz de Riesgos, n°30</t>
  </si>
  <si>
    <t>Nos parece que los efectos de los cambios de normatividad deberán ser suportados por el Concesionario hasta un monto a ser determinado por las Partes, como resultan de eventos fuera de la responsabilidad del Concesionario. El Concesionario requiere protección solida respecto a cambio de normativa  para asegurar una protección adecuada al Concesionario durante un período de 30 años.</t>
  </si>
  <si>
    <t>Anexo 23 - Matriz de Riesgos, n°32-36</t>
  </si>
  <si>
    <t xml:space="preserve">Igualmente, nos parece que los aumentos de impuestos y nuevos impuestos deberían ser asignados a la Persona Pública. </t>
  </si>
  <si>
    <t xml:space="preserve">Los efectos derivados de cualquier tipo de eventos de fuerza mayor deberían ser asignados a la Parte Pública totalmente y no “parcialmente”, creemos que la redacción del artículo 13.2 del Contrato General brinda confusión. </t>
  </si>
  <si>
    <t>Anexo 23 - Matriz de Riesgos, n°37-45</t>
  </si>
  <si>
    <t xml:space="preserve">Los efectos derivados del acaecimiento de eventos Asegurables no deberían de ser asumidos por el Concesionario cuando éstos no sean consecuencia del incumplimiento de obligaciones. </t>
  </si>
  <si>
    <t>Anexo 23 - Matriz de Riesgos, n°44</t>
  </si>
  <si>
    <t>Favor de considerar eximir las responsabilidad de las Partes en caso de daños indirectos o consecuenciales.</t>
  </si>
  <si>
    <t xml:space="preserve">Se informa al interesado que no se acepta su observación. La ANI considera que la regulación prevista por el Contrato en materia de responsabilidad es razonable y coincide con las necesidades propias de este tipo de proyectos. </t>
  </si>
  <si>
    <t>N/A</t>
  </si>
  <si>
    <t xml:space="preserve">En referencia a la Cesión del Derecho de Recaudo, se evidencia una repetición en el numeral 3.3 (a) y 3.3 5(e) "Para  este  Proyecto,  se  cederá  el  Derecho  de  Recaudo  de  las  Estaciones  de  Peaje existentes en la misma fecha de Entrega de la Infraestructura, sin excepciones."
</t>
  </si>
  <si>
    <t>GENERAL (Forma)</t>
  </si>
  <si>
    <t>La sumatoria de la ponderación de los indicadores para la UF0 excede 2.5 % el 100%, podrían clarificar esta diferencia (ya hay una aclaración con respecto al índice de mortalidad, pero es solo del orden de 0.5%)</t>
  </si>
  <si>
    <t>Apéndice Técnico 4, Capitulo 6, Tabla 4</t>
  </si>
  <si>
    <t xml:space="preserve">En el pliego se define que las estaciones de Peaje estan a cargo del INVIAS,  sin embargo no se define el La tecnologia de cobro para el recaudo en las estaciones de Peaje existente. (relevante para evaluar interoperabilidad requerida en el Apendice Tecnico 2) </t>
  </si>
  <si>
    <t>Apéndice Técnico 1, capitulo 3.2, 5.6</t>
  </si>
  <si>
    <t xml:space="preserve">En el pliego no se define el numero de carriles de cobro, ni las modalidades de cobro en cada una de las estaciones de Peaje existentes (relevante para analisis y dimensionamiento de las estaciones de peaje)  </t>
  </si>
  <si>
    <t>Apéndice Técnico 1, capitulo 3.2, 5.7</t>
  </si>
  <si>
    <t>Gomez Pinzon, 15/05/2020</t>
  </si>
  <si>
    <t xml:space="preserve"> Parte General y Especial2.3(c) PG y 3.6(b) PE</t>
  </si>
  <si>
    <t>De conformidad con la minuta de contrato parte general 5G presentada por la ANI, el concesionario podrá suscribir paralelamente uno o varios contratos de construcción, siempre que no exista de manera simultánea más de un contrato de construcción por Unidad Funcional. Solicitamos se incluya dicha redacción en el presente proyecto</t>
  </si>
  <si>
    <t>Parte General 1.37</t>
  </si>
  <si>
    <t>Solicitamos amablemente se incluya una fórmula de compensación para el evento en el cual se agote el plazo sin alcanzar el VPIP. Lo anterior, considerando que la ANI está en mejor posición para gestionar el riesgo de disminución de tráfico, a lo que se suma que el traslado del mismo al concesionario pone en duda la suficiencia de la retribución dificultando la bancabilidad del proyecto y con ello la viabilidad financiera de la concesión. Debe tenerse en cuenta que el país atravieza una disminución del tráfico al 30% que distancia el apetito de proponentes nacionales e internacionales.</t>
  </si>
  <si>
    <t>Parte General 2.4(b)</t>
  </si>
  <si>
    <t>Respetuosamente solicitamos se aclaren y desarrollen los usos y fuentes de la Subcuenta Cambio Climático.</t>
  </si>
  <si>
    <t>Parte General 1.167 y 3.14(g)(ix)</t>
  </si>
  <si>
    <t xml:space="preserve">Respetuosamente consideramos que la obligación del Concesionario de fondear la Subcuenta Interventoría y Coordinación durante toda la Etapa Preoperativa, incluyendo su eventual extensión con motivo de Eventos Eximentes de Responsabilidad, representa un traslado irrazonable de riesgos y la imposición al concesionario de cargas financieras injustificadas e indeterminadas. Se solicita excluir expresamente la obligación de fondear dicha subcuenta en los eventos en que la extensión de la Etapa Preoperativa sea consecuencia de hechos o omisiones de la ANI y, segundo, la obligación de continuar con dicho fondeo deberá ser de quien conforme al Capítulo XIII asumió el respectivo riesgo. Lo contrario resultaría en un traslado de riesgos antitécnico y que dificulta seriamente la bancabilidad del proyecto. </t>
  </si>
  <si>
    <t>Parte General: 3.14(h)(v)(6)
Parte Especial: 4.5(d)</t>
  </si>
  <si>
    <t>Solicitamos sea incluido en este contrato el mecanismo de compensación de Soporte de Ingresos, previsto por la misma ANI como un elemento diferenciador de las concesiones 5G. Lo anterior, considerando que la ANI está en mejor posición para gestionar el riesgo de disminución de tráfico, a lo que se suma que el traslado del mismo al concesionario pone en duda la suficiencia de la retribución dificultando la bancabilidad del proyecto y con ello la viabilidad financiera de la concesión, más aún considerando las actuales circunstancias (pandemia) y medidas adoptadas por el gobierno nacional (exención de peajes).</t>
  </si>
  <si>
    <t>Parte General: 13.3(a)
Parte Especial: Capítulo II - num. 1.165/1.189/3.4(b)/13.2(a)(xviii)</t>
  </si>
  <si>
    <t>Conforme al artículo 39 de la Ley 1682 de 2013, como requisito previo a la apertura de los procesos de selección para la construcción de proyectos de infraestructura de transporte, la entidad contratante deberá haber culminado los Estudios de Factibilidad y haber concluido el proceso de consulta previa con la respectiva comunidad hasta su protocolización. En este sentido y dado que la concedente debe haber ejecutado de manera oportuna, completa y diligente sus obligaciones legales, si surgen nuevas comunidades el costo de las consultas debe ser del Estado. Por tanto, amablemente solicitamos asignar el riesgo asociado a la necesidad de nuevas consultas previas a la ANI como entidad contratante.</t>
  </si>
  <si>
    <t>Parte General 8.1(d) y 13.3(a)</t>
  </si>
  <si>
    <t>Se solicita que, dentro de los eventos de fuerza mayor no asegurables, se incluyan aquellos referidos pandemias y decisiones de autoridad, en atención a que eventos como el COVID-19 han revelado su sustancial impacto en los proyectos de infraestructura y la imposibilidad de los concesionarios para gestionar dicho riesgo. Se trata de un riesgo que el Estado debe asumir expresamente, ya que en caso contrario y dado el nuevo contexto mundial se haría imposible la bancabilidad del proyecto.</t>
  </si>
  <si>
    <t>Parte General 13.3(x)</t>
  </si>
  <si>
    <t xml:space="preserve">Se informa al interesado que no se acepta su observación. La ANI considera que las exclusiones establecidas en el Contrato Parte Especial son razonables y se compadecen con las condiciones del Proyecto. </t>
  </si>
  <si>
    <t>Parte Especial Capítulo II - num. 1.55/1.116/3.3(g)(iv)/13.3(i)</t>
  </si>
  <si>
    <t>Se solicita que, respecto a la reversión anticipada de la Unidad Funcional 3, se incluya un Plazo Máximo de la Etapa Reversión análogo al previsto en la Sección 1.143 de la Parte General.</t>
  </si>
  <si>
    <t>Parte Especial 3.10</t>
  </si>
  <si>
    <t>Se dispone que además de fondearse con una parte sustancial (37.28%) del recaudo de peaje -la principal fuente de retribución del concesionario-, la ANI podrá disponer libremente de los recursos disponibles en la Subcuenta Depósito Especial de Recaudo, incluso para destinar dichos recursos a otros proyectos de infraestructura. Se trata de una disposición que afecta seriamente la suficiencia de la retribución, el flujo de caja del proyecto y priva a este del único mecanismo real de respaldo para los riesgos asumidos por la ANI, razón por la cual se  solicita la eliminación del numeral 4.5(h)(viii).</t>
  </si>
  <si>
    <t>Parte Especial 4.5(h)(viii)</t>
  </si>
  <si>
    <t>Se solicita modificar esta sección a efectos de disponer que el plazo de cura por no entrega de las Unidades Funcionales será del 20%, no de hasta este porcentaje. Lo anterior atendiendo a que se trata de una dispoción que ya ha sido modificada en múltiples contratos de concesión 4G y que facilita la bancabilidad de los proyectos.</t>
  </si>
  <si>
    <t xml:space="preserve">Parte Especial 6.1(c) </t>
  </si>
  <si>
    <t>Se solicita eliminar la causal de multa asociada al incumplimiento de los avances previstos en el Plan de Obra, en la medida en que interfiere con la autonomía técnica del concesionario en el desarrollo del proyecto. Así, dichos avances son indicativos y son un medio para alcanzar un fin, como en la entrega de cada Unidad Funcional en su fecha máxima, evento que a su vez tiene una multa asociada.
Téngase en cuenta, además, que la inclusión de la causal de multa del literal (e) desnaturaliza mecanismos contractuales como es la posibilidad de compra de plazo sin sanción para terminar las Unidades Funcionales, o el plazo de cura aplicable a estos mismos eventos.</t>
  </si>
  <si>
    <t xml:space="preserve">Parte Especial 6.1(e) </t>
  </si>
  <si>
    <t>Se solicita eliminar la causal de multa asociada al incumplimiento de obligaciones ambientales, dado que estas cuentan con una regulación y régimen sancionatorio independiente como es la Ley 1333 de 2009.</t>
  </si>
  <si>
    <t xml:space="preserve">Se informa al interesado que no se acepta su observación. La Multa prevista en la Sección 6.1(f) busca conminar al Concesionario de forma tal que cumpla con las obligaciones correspondientes a la Gestión Social y Ambiental que le son exigibles de acuerdo con el Contrato. Esta Multa se entenderá sin perjuicio de las sanciones establecidas en la ley para el incumplimiento de obligaciones ambientales específicas. </t>
  </si>
  <si>
    <t xml:space="preserve">Parte Especial 6.1(f) </t>
  </si>
  <si>
    <t>Se solicita eliminar la causal de multa asociada a la compra de áreas de predios en exceso, dado que la gestión predial comprende labores de planificación a cargo del concesionario y de verificación y aprobación por parte de la autoridad, de manera que, con motivo de un proceso de multa, no puede la ANI desautorizar aquello que la interventoría ya revisó y aprobó.</t>
  </si>
  <si>
    <t xml:space="preserve">Parte Especial 6.1(g) </t>
  </si>
  <si>
    <t>Se solicita eliminar la causal de multa asociada al incumplimiento en el pago de prestaciones sociales y parafiscales, dado que estas cuentan con una regulación y régimen sancionatorio independiente como es la mora que se genera por pago tardío de la planilla única de liquidación de aportes - PILA, además de las funciones de inspección y sanción con que cuenta la UGPP.</t>
  </si>
  <si>
    <t xml:space="preserve">Parte Especial 6.1(p) </t>
  </si>
  <si>
    <t xml:space="preserve">Definicición de Fondo de Capital Privado. Actualizar de definición de fondo de capital privado a la normatividad vigente Artículo 3.3.2.1.1 del Decreto 2555 de 2010 </t>
  </si>
  <si>
    <t>Parte General 1.77</t>
  </si>
  <si>
    <t>Sugerimos permitir que la deuda subordinada pueda ser otorgada por los Beneficiarios Reales de los accionistas del Concesionario e incluir dicha deuda  en los cálculos para determinar el cumplimiento  de las obligaciones de aportes de equity.  Adicionalmente, que los Prestamistas puedan también otorgar deudas subordinadas.</t>
  </si>
  <si>
    <t xml:space="preserve"> Parte General 1.88</t>
  </si>
  <si>
    <t xml:space="preserve">Definición de  Notificación para Toma. Sugerimos aclarar que el derecho de toma de posesión nace en favor de los prestamista en los eventos que se presente una terminación anticipada de los contratos de financiamiento en los términos establecidos en los mismos, no simplemente con el incumplimiento de las obligaciones financieras con los Prestamistas. </t>
  </si>
  <si>
    <t>Parte General 1114</t>
  </si>
  <si>
    <t>Se solicita ajustar la definición de Prestamistas a efectos de incluir dentro de la misma no sólo a las peronas naturales tenedoras de bonos del proyecto, sino también a las jurídicas. En igual sentido, es necesario que se acepte como Prestamistas aceptables a personas jurídicas que si bien no son entidades financieras ni fondos de capital privado, sí son unos de los principales inversionistas en infraestructura a nivel mundial (caso por ejemplo de los hedge funds o empresas administradoras de activos).</t>
  </si>
  <si>
    <t>Parte General 1149</t>
  </si>
  <si>
    <t xml:space="preserve">Definición de Recursos de Deuda.  Sugerimos eliminar como requisito que los Recursos de Deuda  tengan que ser depositados en la Cuenta Proyecto, ya que con dicha redacción no se consideran Recursos de Deuda los recursos provenientes de refinanciaciones. Adicionalemente para efectos de los cálculos de las fórmulas de terminación se deben tener en cuenta como recursos de deuda los recursos aportados por acreedores distintos de aquellos registrados como Prestamistas, como los son  los proveedores de carta de crédito que hubiesen desembolsado recursos al proyecto, o acreedores que hubiesen proporsionado financiación a los accionistas para efectos de  cumplir con las obligaciones de giros de equity. </t>
  </si>
  <si>
    <t>Parte general 1152</t>
  </si>
  <si>
    <t>Definición de Recursos de Patrimonio. Sugerimos incluir los recursos de la deuda subordinada de los Beneficiarios Reales de los accionistas del Concesionario como Recursos de Patrimonio.</t>
  </si>
  <si>
    <t>Parte General 1153</t>
  </si>
  <si>
    <t xml:space="preserve">Declaración delitos contra la administración pública. Sugerimos eliminar de la declaración las investigaciones dado que éstas son de carácter confidencial y es probable que el Concesionario no tenga conocimiento de las mismas. Así mismo, sugerimos aclarar cuáles serían las consecuencia que se adelante procesos y condenas de corrupción contra los contra los representantes legales de los Concesionarios o los accionsiats  no relacionados con el proyecto que no desencadenen una inhabilidad sobreviniente. </t>
  </si>
  <si>
    <t xml:space="preserve">Se informa al interesado que no se acepta su observación. De acuerdo con lo indicado por la declaración correspondiente, es obligación del Concesionario informar sobre la existencia de investigaciones, medidas de aseguramiento y/o condenas nacionales y/o internacionales en contra de sus representantes legales, socios y/o accionistas, una vez tenga conocimiento de estas por delitos contra la administración pública, la administración de justicia y que afecten el patrimonio del Estado. Mientras las investigaciones sean de carácter confidencial y el Concesionario no tenga conocimiento de las mismas, no se hará exigible el cumplimiento de la referida obligación. </t>
  </si>
  <si>
    <t>Parte General  2.6(xvii)</t>
  </si>
  <si>
    <t xml:space="preserve">Por favor aclarar las reglas sobre imposición de multas en los eventos en los que el Cierre Financiero se acredita con  los Compromisos en Firme y se incumple la obligación posterior de entregar el Contrato de Crédito. </t>
  </si>
  <si>
    <t xml:space="preserve">Parte General 3.8(c) </t>
  </si>
  <si>
    <t xml:space="preserve">Sugerimos en general ampliar  la definición de Prestamistas  a cualquier persona que provea los recursos necesarios para financiar los activos del Concesionario y el cumplimiento de las obligaciones bajo el contrato de concesión, de forma que puedan considerarse con Prestamistas del proyecto quienes refinancien deuda o equity o los proveedores de cartas de crédito que hubiesen desembolsado recursos al proyecto. </t>
  </si>
  <si>
    <t>Parte General  3.8(d)</t>
  </si>
  <si>
    <t xml:space="preserve">Se deberá aclarar que los derechos de los Prestamistas a tomar posesión sobre el proyecto, prevalecen sobre el derecho de la ANI de continuar con la ejecución del del contrato, bien sea a través del garante que otorgue la garantía de cumplimiento o de otro contratista, conforme a lo dispuesto en el artículo 18 de la Ley 80 de 1993. </t>
  </si>
  <si>
    <t>Parte General 3.12(iii)</t>
  </si>
  <si>
    <t xml:space="preserve">Sugerimos mantener el plazo de 180 dias para concretar la Toma de Posesión, lo anterior, teniendo en cuenta los procesos y tiempos de ejecución de  las garantías mobiliarias usualmente otorgadas en los esquemas de financiación de proyectos de infraestructura vial, haciéndose entonces insuficiente el plazo de 90 días previsto en la referida sección. </t>
  </si>
  <si>
    <t xml:space="preserve">Parte General 3.12 </t>
  </si>
  <si>
    <t xml:space="preserve">Por favor  aclarar si en el cálculo de la Retribución se incluyen los montos apropiados por la ANI de la Subcuenta Recaudo Peaje y de la Subjuenta Excedentes ANI para cubrir las deficiencias en la Subcuenta de Interventoria y Coordinación y Subcuenta Soporte Contractual. </t>
  </si>
  <si>
    <t xml:space="preserve">Parte General  3.14 (v) y (vi) </t>
  </si>
  <si>
    <t xml:space="preserve">Por favor aclarar si la auditoría sobre los Patrimonios Autónomos de Deuda se realiza incluso si los mismos se fondean única y exclusivamente con los recursos de la Cesión de la Retribución. </t>
  </si>
  <si>
    <t xml:space="preserve">Parte General 3.15 (i) </t>
  </si>
  <si>
    <t>Presentación personal a documento de constitución del Proponente Plural, a través del cual se designe el apoderado común. Atendiendo a la presunción de buena fe contenida en el artículo 83 de la Constitución Nacional y de autenticidad de los documentos emanados de privados de que trata el art. 244 del Código General del Proceso, reconociendo además las limitaciones a la movilidad y para la ejecución de trámites en diferentes jurisdicciones con motivo de la pandemia de la COVID-19, solicitamos se suprima el requisito de aportar el mencionado documento con presentación personal de los firmantes.</t>
  </si>
  <si>
    <t>Pliego de Condiciones 4.1.4(b) y 4.1.5(a)(iii)</t>
  </si>
  <si>
    <t xml:space="preserve"> Dada la naturaleza del Acuerdo de Permanencia, se solicita que sólo se obligue su suscripción por parte de quienes tengan la calidad de Líderes o, por quiénes sin tenerla, acrediten Experiencia en Inversión y/o Capacidad Financiera. En igual sentido, es necesario precisar en dicho acuerdo la definición de Demás Integrantes Acreditantes.</t>
  </si>
  <si>
    <t>Pliego de Condiciones 4.1.5(a)(v)(2):</t>
  </si>
  <si>
    <t xml:space="preserve">Respecto a la Experiencia en Inversión obtenida a través de SPVs, se solicita eliminar la condición de que dicho SPV tenga dentro de su objeto la obtención de la financiación del proyecto de infraestructura. Esto atendiendo a que se trata de una actividad complementaria a la principal de ejecutar y operar el proyecto de infraestructura, entendiéndose implícita en dicho objeto principal. </t>
  </si>
  <si>
    <t>Pliego de Condiciones 4.2.2(b) y 4.2.9</t>
  </si>
  <si>
    <t xml:space="preserve">Respecto a las certificaciones de la Experiencia en Inversión se solicita confirmar que la respectiva certificación debe ser suscrita por el representante legal del deudor en conjunto con alguna de las siguientes personas: el revisor fiscal, el auditor o el vicepresidente financiero (o su equivalente) del deudor. </t>
  </si>
  <si>
    <t>Pliego de Condiciones  4.2.10(b)</t>
  </si>
  <si>
    <t>Se solicita sustituir este literal a efectos de disponer que, cuando un Fondo de Capital Privado respalde a un miembro del Proponente Plural, la Capacidad Financiera se acredite a través del Compromiso Irrevocable de Inversión, pero la capacidad jurídica de dicho miembro se acredite como persona jurídica. Para estos efectos se sugiere tomar como referencia la redacción utilizada con éxito por Transmilenio S.A. en procesos de selección como el TMSA-SAM-18-2019: “Podrán participar en el presente Proceso Abreviado sociedades comerciales cuyo único accionista sea un Fondo de Capital Privado, caso en el cual acreditara la Capacidad Juridica bajo las reglas del numeral 5.1.1(b), los demás Requisitos Habilitantes y requerimientos de estos Pliegos se acreditaran como personas jurídicas salvo por la Capacidad Financiera que podrán acreditar como los Fondos de Capital Privado.”</t>
  </si>
  <si>
    <t>Pliego de Condiciones  4.6.8(c)</t>
  </si>
  <si>
    <t xml:space="preserve">
Se informa al interesado que no se acepta su observación.En cuanto a la traducción oficial, la Circular Única Externa de la Agencia Nacional de Contratación Pública – Colombia Compra Eficiente, establece en el numeral 10.4 Documentos en idioma extranjero. “Para que los documentos en un idioma distinto al castellano puedan ser apreciados en el Proceso de Contratación deben ser presentados en su lengua original junto con la traducción oficial al castellano”. Este requisito tampoco ha sido exceptuado por los Decretos expedidos por la Emergencia Sanitaria y en consecuencia, los documentos otorgados en un idioma distinto al castellano, deberán aportarse en los términos señalados en el Pliego de Condiciones. </t>
  </si>
  <si>
    <t xml:space="preserve"> Pliego de Condiciones 6.2 y 6.4.3</t>
  </si>
  <si>
    <t>Se solicita precisar que los documentos privados, incluidos aquellos emitidos en el exterior, están amparados por la presunción de autenticidad, y en esa medida no es procedente requerir su apostilla o legalización. En ese sentido se solicita eliminar la disposición referente a su eventual entrega con el cumplimiento de dichos requisitos.</t>
  </si>
  <si>
    <t>Pliego de Condiciones  6.4</t>
  </si>
  <si>
    <t>Se solicita precisar que la entrega de documentos apostillados o legalizados sólo procederá respecto al adjudicatario. Para el efecto, se sugiere tomar como referencia la experiencia exitosa de otras entidades públicas como Transmilenio S.A. en el proceso de selección TMSA-SAM-18-2019.</t>
  </si>
  <si>
    <t>No se acoge la solicitud del interesado. Los documentos públicos otorgados en el extranjero deberán contar con el requisito de apostilla o legalización, según corresponda, teniendo en cuenta que se trata de un requisito establecido en la Ley y que los Decretos expedidos con ocasión de la Emergencia Sanitaria no contemplan excepción alguna para este trámite</t>
  </si>
  <si>
    <t xml:space="preserve"> Pliego de Condiciones 6.4</t>
  </si>
  <si>
    <t>De acuerdo con la definición de Fondo de Capital Privado, estos deben de contar entre sus inversionistas con fondos de pensiones. Sin embargo, se trata de un requisito adicional a la definición legal que afecta la libre concurrencia y competencia del proyecto, excluyendo a potenciales inversores constantemente activos en el sector de la infraestructura. Por tanto, solicitamos eliminar dicha exigencia de tener como inversionistas fondos de pensiones, tanto a los fondos de capital privado nacionales como extranjeros.</t>
  </si>
  <si>
    <t xml:space="preserve">Pliego de Condiciones  1.3.31 </t>
  </si>
  <si>
    <t>Fiduicaria Bancolombia, 15/05/2020</t>
  </si>
  <si>
    <t>¿El recaudo del proyecto sólo comenzará a partir de tener el monto establecido para la subcuenta de contingencias?</t>
  </si>
  <si>
    <t>3.14 Cuentas y Subcuentas del Patrimonio Autónomo</t>
  </si>
  <si>
    <t>¿Cuándo se entregue la UF3 se dejará de recibir remuneración por esta?; ¿Se debe revisar el tratamiento contable de esta reversión? Lo anterior podría afectar la estructura del EEFF, dado que no se entregará al final de proyecto.</t>
  </si>
  <si>
    <t>3.10 Reversión Especial Parte especial</t>
  </si>
  <si>
    <t>¿Cuál es la razón para que las cuentas de cambio climático y policía de carreteras estén dentro de la cuentas proyecto?</t>
  </si>
  <si>
    <t>¿Para la financiación no se contempla la opción de deuda subordinada?</t>
  </si>
  <si>
    <t xml:space="preserve">Se aclara al interesado que el Contrato si contempla la Deuda Subordinada para la financiación, tal y como se estipula en la definición de Giro de Equity y la secciones correspondientes. </t>
  </si>
  <si>
    <t>En el entendido que no permiten los giros equity en especie, ¿el Concesionario puede solicitar el reintegro de los costos incurridos previos a la constitución del Patrimonio Autónomo como un reembolso, o a través de un fondo rotatorio?</t>
  </si>
  <si>
    <t xml:space="preserve">Se aclara al interesado que el concesionario no puede solicitar el reintegro de los costos incurridos previos a la constitución del Patrimonio Autónomo. </t>
  </si>
  <si>
    <t>Atentamente solicitamos aclarar que el Patrimonio Autónomo en ningún caso será deudor de ninguna operación de financiación que adquiera el Concesionario con Entidades de Cooperación Internacional o acuerdos de cooperación requeridos para fondear la Subcuenta de Cambio Climático y que éstos recursos se recibirán en el Fideicomiso en calidad de Aportes del Concesionario (SPV) en su calidad de Fideicomitente.</t>
  </si>
  <si>
    <t>Contrato Concesión Parte General 
3.14. Cuentas y Subcuentas del Patrimonio Autónomo
(g) Cuenta Proyecto
(ix) Subcuenta Cambio Climático</t>
  </si>
  <si>
    <t>Contrato Concesión Parte General 
3.14. Cuentas y Subcuentas del Patrimonio Autónomo
(h) Cuenta ANI
(xii) Subcuenta Tiquetes Prepagados 
Numeral (6)</t>
  </si>
  <si>
    <t xml:space="preserve">Contrato Concesión Parte General 
3.14. Cuentas y Subcuentas del Patrimonio Autónomo
(a) Descripción de las Cuentas y Subcuentas:
(ii) Cuenta ANI
</t>
  </si>
  <si>
    <t xml:space="preserve">Contrato Concesión Parte General 
3.14. Cuentas y Subcuentas del Patrimonio Autónomo
(h) Cuenta ANI
</t>
  </si>
  <si>
    <t xml:space="preserve">Teniendo en cuenta que en el numeral (iv) de la Subcuenta Depósito Especial del Recaudo se indica que los traslados realizados a la ANI, previa instrucción del Concesionario, no deben contener descuentos de ningún tipo de impuesto, tasa o contribución y demás gastos asociados a dicho traslado, agradecemos precisar que todos los impuestos, tasas o contribuciones y demás gastos asociados al giro desde el Patrimonio Autónomo de estos recursos correrán por cuenta del Concesionario.
Adicionalmente, dicha aclaración deberá quedar igualmente incluida en la adición que se solicito en el contrato de Concesión Parte General de incluir las reglas de manejo de esta Subcuenta. </t>
  </si>
  <si>
    <t>Contrato Parte Especial
4.5 Fondeo de Subcuentas del Patrimonio Autónomo.
(h) Subcuenta Depósito Especial del Recaudo. 
(iv)</t>
  </si>
  <si>
    <t>De manera general solicitamos aclarar en todos los apartes del contrato donde se haga alusión a que los traslados se realizarán sin ningún tipo de descuento, señalando que todos los impuestos, tasas o contribuciones y demás gastos asociados al giro desde el Patrimonio Autónomo de estos recursos correrán por cuenta del Concesionario.</t>
  </si>
  <si>
    <t>Agradecemos precisar, cuál será el soporte y concepto bajo el cual se realizará el giro de estos recursos, ¿la ANI generará un Ingreso por dicho concepto?; ¿La ANI incluirá en su presupuesto el valor de los recursos que sean girados?</t>
  </si>
  <si>
    <t>Contrato Concesión Parte Especial 
4.5 Fondeo de Subcuentas del Patrimonio Autónomo.
(h) Subcuenta Depósito Especial del Recaudo.
(iv).</t>
  </si>
  <si>
    <t>Tributaria</t>
  </si>
  <si>
    <t>La subcuenta de depósito especial de recuado indica que será administrada por la ANI quién a su vez tendrá la libre disposición de estos recursos. ¿Cuándo se menciona de libre destinación, implica que estos recursos serán apropiados presupuestalmente por la ANI para usarlos en lo que considere?; es decir,  ¿con los recursos de esta cuenta la ANI va a instruir pagos de cualquier otro proyecto, o la libre destinación es para temas asociados al proyecto?</t>
  </si>
  <si>
    <t>De cara a las instrucciones por parte de la ANI respecto de la Subcuenta Tiquetes Prepago, ¿el mecanismo para instruir a la Fiduciaria será una comunicación formal o se tendrá un mecanismo distinto?</t>
  </si>
  <si>
    <t>Respecto a los giros de equity en especie, esto quiere decir que ¿el concesionario no podrá imputar ningún gasto anterior a la constitución del Patrimonio Autónomo de la SPV en el P.A.?</t>
  </si>
  <si>
    <t>La  reversión especial de la UF3 implica que se desactivan ciertos bienes asociados a la Unidad Funcional 3; sobre el particular: a) ¿estos bienes son activos fijos?; b) ¿estos bienes estarán a nombre del P.A.?</t>
  </si>
  <si>
    <t>¿Para instruir pagos desde la subcuenta de compensaciones socioambientales, el Concesionario deberá anexar aprobación de la ANI y de la interventoría o bastará sólo con la comprobación de que informó a estos?</t>
  </si>
  <si>
    <t>¿En la Subcuenta de Cambio Climático, los ordenadores del gasto son el Concesionario y la entidad cooperante conjuntamente, o será el Concesionario con algún visto bueno de la entidad cooperante?</t>
  </si>
  <si>
    <t>¿En caso que exista el P.A. Deuda, la ANI tendrá acceso a este P.A.?; lo anterior toda vez que se indica que la Fiduciaria deberá, sin perjuicio de lo dispuesto por la Superintendencia Financiera de Colombia, entregar a la ANI los estados financieros auditados del Patrimonio Autónomo (incluyendo los del Patrimonio Autónomo-Deuda, si los hubiere), con cortes a 31 de diciembre y 30 de junio de cada año. La auditoría deberá estar efectuada por un auditor externo que preste sus servicios a nivel internacional es decir que preste sus servicios de auditoria en por lo menos dos (2) países diferentes a Colombia. Esta documentación deberá entregarse dentro de los primeros diez (10) Días de los Meses de septiembre y marzo de cada año.</t>
  </si>
  <si>
    <t xml:space="preserve">Para poder hacer el giro establecido en la subcuenta contingencias, se indica que con los recursos incluidos en esta Subcuenta la ANI efectuará los aportes aprobados por el Ministerio de Hacienda y Crédito Público los cuales deberán ser girados desde el Patrimonio Autónomo al Fondo de Contingencias de las Entidades Estatales creado mediante la Ley 448 de 1998, en el momento en el que lo solicite la ANI y según corresponda con el Plan de Aportes vigente. Al respecto, ¿qué soportes debe solicitar la Fiduciaria? </t>
  </si>
  <si>
    <t>Atentamente solicitamos informar cuáles serían esas “otras fuentes” toda vez que en la Parte Especial no se contemplan otras fuentes para la retribución.</t>
  </si>
  <si>
    <t xml:space="preserve">Numeral 3.1 Retribución; literal (b) las fuentes de la retribución del Concesionario – o de la compensación especial, cuando sea aplicable – serán las siguientes: (i) Aportes ANI; (ii) Recaudo de Peajes; (iii) Los Ingresos por Explotación Comercial; (iv) Otras Fuentes definidas en la Parte Especial. </t>
  </si>
  <si>
    <t>De manera atenta solicitamos indicar si se contempla la posibilidad de constituir con estos recursos un portafolio de inversión.</t>
  </si>
  <si>
    <t>Literal (d), punto 3.14 Cuentas y Subcuentas del Patrimonio Autónomo indica que las inversiones que haga la Fiduciaria de los recursos de la Subcuenta Aportes ANI, se harán con base en las instrucciones del Comité Fiduciario, siempre que dichas inversiones i) sean admisibles, de acuerdo con el Decreto 1525 de 2008.</t>
  </si>
  <si>
    <t>En caso de presentarse la situación del literal (e) del punto 3.14, ¿entenderíamos que la ANI sería la encargada de realizar dicho cálculo?; agradecemos confirmar este entendimiento.</t>
  </si>
  <si>
    <t>Literal (e), punto 3.14 Cuentas y Subcuentas del Patrimonio Autónomo, indica que en el evento en que el Concesionario incumpla la obligación de realizar los fondeos en los plazos y montos previstos, se deberá realizar el cálculo para reajustar el valor del fondeo; sobre el particular, en caso de presentarse esta situación.</t>
  </si>
  <si>
    <t>¿A qué título se entregarán los bienes e insumos a la Policía de Carreteras según lo señalado en el punto 2?</t>
  </si>
  <si>
    <t>Aparte (viii) Subcuenta Policía de Carreteras, literal (g) Cuenta Proyecto punto 2.</t>
  </si>
  <si>
    <t>En el entendido que no existen otras fuentes de retribución, atentamente solicitamos confirmar si esta subcuenta sólo se constituiría cuando exista financiación externa por concepto de cooperación internacional o acuerdos de cooperación.</t>
  </si>
  <si>
    <t>En caso de presentarse la situación del literal (h) de la Cuenta ANI aparte (iv) punto 6, entendemos que la ANI será la encargada de realizar dicho cálculo; agradecemos confirmar este entendimiento.</t>
  </si>
  <si>
    <t>Lliteral (h) Cuenta ANI aparte (iv) Subcuenta Recaudo Peaje, punto 6.</t>
  </si>
  <si>
    <t>1.- Siendo la ANI el único beneficiario de la Subcuenta Tiquetes Prepagados, ¿se deberá contar con su autorización para poder realizar las devoluciones consideradas Fuerza Mayor?. 2.- ¿El GMF generado por las devoluciones será asumido por el Concesionario?</t>
  </si>
  <si>
    <t>Numeral 3.14 Cuentas y Subcuentas del Patrimonio Autónomo, literal (h) Subcuenta ANI, aparte (xii) Subcuenta Tiquetes Prepagados, punto 2.</t>
  </si>
  <si>
    <t>1308.                                                                                                                                   </t>
  </si>
  <si>
    <t>PROINDESA S.A.S., 15/05/2020</t>
  </si>
  <si>
    <t>Solicitamos a la ANI que se publique en el SECOP I una versión del proyecto de pliego de condiciones que incluya numeración en cada una de sus páginas. Esto facilitará a quienes se encuentran interesados en participar en el presente proceso de selección puedan realizar la elaboración de su propuesta de forma mucho más sencilla y comprensiva.</t>
  </si>
  <si>
    <t>Proyecto de Pliego de Condiciones.</t>
  </si>
  <si>
    <t>1309.                                                                                                                                   </t>
  </si>
  <si>
    <t>Proyecto de Pliego de Condiciones, Sección 1.3.</t>
  </si>
  <si>
    <t>Esto último, con el propósito de evitar que se presenten confusiones en las distintas opciones que tienen los posibles Oferentes individuales o Integrantes de una Estructura Plural, para acreditar los Requisitos Habilitantes de: (i) Capacidad Jurídica, (ii) Capacidad Financiera y (iii) Experiencia en Inversión.</t>
  </si>
  <si>
    <t>1310.                                                                                                                                   </t>
  </si>
  <si>
    <t>La Sección 1.3.16 del proyecto de pliego de condiciones define el término “Concesión” de la siguiente manera:</t>
  </si>
  <si>
    <t>Proyecto de Pliego de Condiciones, Sección 1.3.16.</t>
  </si>
  <si>
    <t>1311.                                                                                                                                   </t>
  </si>
  <si>
    <t>Proyecto de Pliego de Condiciones, Sección 1.3.27.</t>
  </si>
  <si>
    <t>1312.                                                                                                                                   </t>
  </si>
  <si>
    <t>Proyecto de Pliego de Condiciones, Sección 1.3.38.</t>
  </si>
  <si>
    <t>Al respecto, solicitamos amablemente a la ANI modificar esta definición de tal forma que la misma se adapte a lo previsto en la ley colombiana, en particular a lo dispuesto en la Ley 153 de 1887.</t>
  </si>
  <si>
    <t>El referido artículo consagra de forma expresa el conocido principio general del derecho, según el cual, a los contratos se les aplica la ley existente y vigente al momento de su celebración.</t>
  </si>
  <si>
    <t>La aplicación de este principio es de suma importancia para la seguridad jurídica en el marco de la celebración de contratos, toda vez que, únicamente haciendo uso del mismo puede un determinado contratista conocer de antemano la regulación que le será aplicable a lo largo de la ejecución contractual. En sentido contrario, en caso de que las Leyes Aplicables al Proyecto sean las que se vayan expidiendo a lo largo de la ejecución contractual, el contratista de la administración no gozará de seguridad jurídica, pues en cualquier momento se pueden ver alteradas sus reglas de juego a través de la aplicación de leyes nuevas. Lo anterior, sin perjuicio de la aplicación inmediata que tienen las normas procedimentales y de orden público.</t>
  </si>
  <si>
    <t>En consonancia con ello, la reiterada jurisprudencia del Consejo de Estado ha puesto de presente la importancia y obligatoriedad del principio según el cual a los contratos se les aplica la ley existente y vigente al momento de su celebración. Verbigracia, en Sentencia 16653 de 2009 la sección tercera del Consejo de Estado sostuvo lo siguiente:</t>
  </si>
  <si>
    <t>“(...) En definitiva, la regla general es que a los contratos en lo relativo a sus elementos de existencia, validez y sus efectos (derechos y obligaciones), se les aplica la ley existente y que rige al momento de su nacimiento o celebración, lo cual implica que, en principio, la ley nueva no puede entrar a suprimirlos o modificarlos, so pena de una ilegítima retroactividad.   (…)   En este orden de ideas, la regla de acuerdo con la cual se entienden incorporadas las normas existentes al tiempo de celebración del contrato, tiene por efecto que ellas se aplican durante toda la vida del contrato, es decir, hasta su terminación por agotamiento del plazo acordado y el de sus prórrogas celebradas (…)”.</t>
  </si>
  <si>
    <t>Por lo anterior, solicitamos a la ANI modificar la Sección 1.3.38 del proyecto de pliego de condiciones para que la definición de “Ley Aplicable” o “Ley”, expresamente señale que la Ley Aplicable es la ley vigente al momento de celebración del contrato de concesión, en consonancia con lo dispuesto en la Ley 153 de 1887.</t>
  </si>
  <si>
    <t>1313.                                                                                                                                   </t>
  </si>
  <si>
    <t>Proyecto de Pliego de Condiciones, Sección 1.3.43</t>
  </si>
  <si>
    <t>Al respecto, surge el interrogante del por qué el Mes de Referencia es el 31 diciembre de 2018 y no el 31 de diciembre de 2019, que corresponde al último periodo fiscal y contable vigente.</t>
  </si>
  <si>
    <t>1314.                                                                                                                                   </t>
  </si>
  <si>
    <t>Proyecto de Pliego de Condiciones, Sección 1.3.56</t>
  </si>
  <si>
    <t>Esto último, al menos para lo que tiene que ver con proyectos de infraestructura carreteros, puertos, y/o aeropuertos, y con el fin de garantizar que quienes presenten propuesta en el marco del presente proceso licitatorio cuenten con experiencia suficiente en el desarrollo de estos proyectos y puedan garantizar en forma cabal su cumplimiento. Lo anterior, en desarrollo del principio de selección objetiva consagrado en la Ley 80 de 1993.</t>
  </si>
  <si>
    <t>1315.                                                                                                                                   </t>
  </si>
  <si>
    <t>En razón a que el proyecto de pliego de condiciones reconoce a la Matriz de Riesgos del Proyecto como un documento que hace parte del proceso de selección, solicitamos a la ANI que incluya en la minuta del Contrato de Concesión Parte General, que dicho documento hace parte del futuro negocio que celebrarán la Agencia y quien resulte adjudicatario del presente proceso de licitación. No hacerlo, podría desconocer lo establecido en la Ley 1508 de 2012, en el sentido de que deberán identificarse, valorarse y asignarse en el Contrato los riesgos que asumirá cada una de las partes contratantes. Por lo que el simple hecho de incluirse en el contrato una referencia a la asignación de los riesgos no cumpliría con los elementos exigidos en la referida Ley, en tanto la Matriz de Riesgos es el instrumento que permite realizar la valoración, cuantificación y delimitación de la asunción de los riesgos.</t>
  </si>
  <si>
    <t>Proyecto de Pliego de Condiciones, Sección 1.4</t>
  </si>
  <si>
    <t>En consecuencia, dado que la Matriz de Riesgos del Proyecto es el instrumento que permite realizar una asignación eficiente de los riesgos que van a asumir cada una de las partes durante toda la ejecución del Contrato, no resulta lógico que no se incluya dentro del mismo un documento que la Agencia elaboró en cumplimiento del deber de planeación que le asiste y en estricta observancia de lo establecido en la Ley 1508 de 2012. Más aún si se tiene en cuenta que de no llegar a incluirse dicho documento como parte del referido negocio jurídico podría llevar al absurdo de considerar que la ANI y el futuro Concesionario asumen de forma absoluta e ilimitada los riesgos del Contrato.</t>
  </si>
  <si>
    <t>1316.                                                                                                                                   </t>
  </si>
  <si>
    <t>La Sección 1.7 del proyecto de pliego de condiciones establece que los estudios y conceptos que incluya la Agencia en el Cuarto de Datos, no servirán de base para reclamación alguna durante la ejecución del Contrato, ni para ningún reconocimiento adicional entre las partes que no estuviere contemplado en el Contrato.</t>
  </si>
  <si>
    <t>Proyecto de Pliego de Condiciones, Sección 1.7</t>
  </si>
  <si>
    <t>Estas disposiciones, que implican la renuncia a usar determinada información en caso de una reclamación, la jurisprudencia del Consejo de Estado y la jurisprudencia arbitral han determinado como ineficaces y que en consecuencia no pueden generar efectos.</t>
  </si>
  <si>
    <t>Lo anterior, en la medida que este tipo de cláusulas de renuncia desconocen los derechos fundamentales al debido proceso, a la defensa técnica y al acceso a la administración de justicia, pues en caso de permanecer incluidas en el proyecto de pliego de condiciones impedirían al futuro Concesionario exponer los hechos y circunstancias que determinaron su conducta a lo largo de la ejecución contractual, y el acceso a la justicia.</t>
  </si>
  <si>
    <t>En consecuencia, solicitamos a la Agencia eliminar la renuncia a emplear la información contenida en el cuarto de datos en los términos de la Sección 1.7 y todas las demás cláusulas, oraciones o expresiones que se hayan incluido en ese sentido en el proyecto de pliego de condiciones.</t>
  </si>
  <si>
    <t>1317.                                                                                                                                   </t>
  </si>
  <si>
    <t>Proyecto de Pliego de Condiciones, Sección 1.8.4</t>
  </si>
  <si>
    <t>Lo anterior, teniendo en cuenta que lo dispuesto por la ANI en esta sección contraviene expresamente lo señalado en el Ley 80 de 1993, la cual es de orden público y de estricto cumplimiento en el marco del presente proceso de selección.</t>
  </si>
  <si>
    <t>1318.                                                                                                                                   </t>
  </si>
  <si>
    <t>Proyecto de Pliego de Condiciones, Sección 1.8.5</t>
  </si>
  <si>
    <t>De lo anterior, se extrae que la Agencia sugiere mediante esta disposición que el Adjudicatario de la Licitación asuma de forma absoluta los efectos de la materialización de los riesgos asignados a éste en el Contrato que llegue a suscribirse. Lo anterior es contrario a la legislación aplicable y a lo sostenido en reiteradas ocasiones por la jurisprudencia del Consejo de Estado y los laudos de Tribunales Arbitrales que han dirimido controversias sobre este asunto, en el sentido que la asunción de los riesgos que acepta el contratista no podría ser absoluta e ilimitada.</t>
  </si>
  <si>
    <t>De hecho, de llegar a sobrevenir eventos y circunstancias extraordinarias e irresistibles que conduzcan a que se supere el alea normal de los riesgos en los términos en que fueron pactados en el contrato, podría dar lugar a la configuración de un desequilibrio económico que obliga a la entidad concedente a reestablecer las condiciones técnicas, económicas y financieras existentes para la fecha en que se presentó la propuesta por parte del Oferente. Ello, en estricta observancia de, entre otros, lo establecido en el numeral 8° del artículo 4 de la Ley 80 de 1993 y en aplicación de elementales principios de la contratación estatal que propenden por garantizar el interés del particular de recibir una remuneración justa y equitativa como colaborador del Estado.</t>
  </si>
  <si>
    <t>En vista de lo expuesto, solicitamos respetuosamente a la ANI que elimine cualquier referencia que tenga como propósito o efecto que el adjudicatario de la Licitación, asuma de forma ilimitada y absoluta los riesgos que le fueron asignados en el Contrato de Concesión, así como también cualquier disposición que tenga por efecto restringir el acceso a la justicia por parte del Concesionario para la reclamación de posibles afectaciones que se originen en un desequilibrio de la ecuación económica del Contrato.</t>
  </si>
  <si>
    <t>1319.                                                                                                                                   </t>
  </si>
  <si>
    <t xml:space="preserve">Se informa al interesado que las Ofertas presentadas serán publicadas de forma tal que se garantice el cumplimiento de los principios de transparencia, igualdad y publicidad del Proceso de Selección. En todo caso, la ANI no modificará la disposición observada toda vez que su redacción no implica afectación a los principios antes mencionados. </t>
  </si>
  <si>
    <t>Proyecto de Pliego de Condiciones, Sección 2.3.</t>
  </si>
  <si>
    <t>Solicitamos amablemente que, en virtud de los principios de transparencia, igualdad y publicidad, que rigen los procesos de selección como el que nos ocupa, se modifique la disposición previamente citada para que en su lugar se señale que las Ofertas serán publicadas el mismo día de la Fecha de Cierre de la Licitación, máxime si se tiene en cuenta que los oferentes deben presentar su propuesta en medio magnético, lo cual facilita la posibilidad de que se puedan dar a conocer a los demás competidores de forma inmediata.</t>
  </si>
  <si>
    <t>1320.                                                                                                                                   </t>
  </si>
  <si>
    <t xml:space="preserve">Se informa al interesado que su entendimiento no es correcto. La sección observada pretende regular que el representante legal de cada uno de los miembros de la estructura plural cuente con facultades suficientes para representarlo.    La ANI precisará la redaccion para darle mayor claridad a la Sección observada en el documento definitivo.
</t>
  </si>
  <si>
    <t>Proyecto de Pliego de Condiciones, Sección 4.1.5 (a) (ii).</t>
  </si>
  <si>
    <t>De conformidad con lo anterior, cordialmente solicitamos a la ANI aclarar que los representantes legales de cada uno de los miembros de la Estructura Plural deberán contar con facultades suficientes para la representación del miembro de la Estructura Plural que representan, y no así para contar con facultades suficientes para representar también a los demás miembros de la Estructura Plural.</t>
  </si>
  <si>
    <t>Ello, en consideración a que exigir a los representantes legales de cada uno de los miembros de la Estructura Plural contar con la capacidad para vincular a todos los miembros de la Estructura Plural, implicaría que la Estructura Plural tuviera cuando menos tantos representantes legales como integrantes, y además dejaría sin utilidad y efectos prácticos el nombramiento del representante común previsto en la Sección 4.1.5.(a)(iii) del proyecto de pliego de condiciones.</t>
  </si>
  <si>
    <t>Conforme a lo anterior, nuevamente instamos a la ANI para modificar la Sección 4.1.5 (a) (ii) del proyecto de pliegos de condiciones para aclarar que los representantes legales de cada uno de los miembros de la Estructura Plural deberán contar con facultades suficientes para la representación del miembro de la Estructura Plural que representan.</t>
  </si>
  <si>
    <t>1321.                                                                                                                                   </t>
  </si>
  <si>
    <t>Proyecto de Pliego de Condiciones, Sección 4.1.9.</t>
  </si>
  <si>
    <t>Solicitamos armonizar el contenido del Pacto de Transparencia con lo exigido en el pliego de condiciones, toda vez que el mencionado documento está redactado para que sea suscrito únicamente por el representante común de la Estructura Plural y no, como lo exige actualmente el contenido del proyecto de pliego de condiciones.</t>
  </si>
  <si>
    <t>1322.                                                                                                                                   </t>
  </si>
  <si>
    <t>La Sección 4.1.11. del proyecto de pliego de condiciones establece que el Oferente individual o cada uno de los integrantes de la Estructura Plural que presenten Oferta, deberán incluir en sus Ofertas una declaración prestada bajo la gravedad de juramento en la cual se identifiquen plenamente a las personas naturales o jurídicas que a título personal o directo sean Beneficiarias Reales en caso de resultar adjudicatarios del futuro Contrato.</t>
  </si>
  <si>
    <t>Proyecto de Pliego de Condiciones, Sección 4.1.11.</t>
  </si>
  <si>
    <t>Al respecto, la Sección 1.3.11 del proyecto de pliego de condiciones, define el concepto de Beneficiario Real haciendo referencia a la definición que sobre el particular trae el Decreto 2555 de 2010 y la Ley 1508 de 2012.</t>
  </si>
  <si>
    <t>Sobre este punto, observamos que existe una aparente contradicción en lo dispuesto en la Sección 4.1.11. y la Sección 1.3.11 del proyecto de pliego de condiciones, pues la remisión que hace esta última Sección al Decreto 2555 de 2010, exige la aplicación de una regulación específica para el sector financiero, que difiere de la definición que trae la Sección 4.1.11. con base en el artículo 23 de la Ley 1508 de 2012.</t>
  </si>
  <si>
    <t>De esta manera, solicitamos amablemente clarificar el concepto de Beneficiario Final para esta Licitación y cómo debe cumplirse para este proceso, la cual necesariamente debe ser congruente con la finalidad de la Ley 1508 de 2012, por ser esta la fuente normativa que exige el mencionado requisito en el presente proceso de selección.</t>
  </si>
  <si>
    <t>1323.                                                                                                                                   </t>
  </si>
  <si>
    <t>Proyecto de Pliego de Condiciones, Sección 4.2.9.</t>
  </si>
  <si>
    <t>De la precitada Sección entendemos que si un Líder o un Oferente individual constituyó un SPV, independientemente de su participación accionaria en dicho vehículo, - con el propósito de, entre otras, obtener la financiación de una concesión de Proyectos de Infraestructura y siempre y cuando los recursos obtenidos hayan sido utilizados exclusivamente para financiar la concesión del Proyecto de Infraestructura para el cual se constituyó el referido SPV -, se tendrá como acreditado el ciento por ciento (100%) de  dicha Experiencia en Inversión obtenida por el Líder de una Estructura Plural, o del Oferente individual, en la presente Licitación, según sea el caso.</t>
  </si>
  <si>
    <t>Por favor confirmar si nuestro entendimiento es correcto.</t>
  </si>
  <si>
    <t>1324.                                                                                                                                   </t>
  </si>
  <si>
    <t>Proyecto de Pliego de Condiciones, Sección 4.2.10 (c) (iv).</t>
  </si>
  <si>
    <t>Solicitamos que el pliego de condiciones establezca -como en otros procesos de selección similares- que, en el evento en que se modifique la Fecha de Cierre de la Licitación en mención, se entienda como referencia para el plazo de ciertos documentos y certificados exigidos para la acreditación de Requisitos Habilitantes, la originalmente establecida en el pliego de condiciones.</t>
  </si>
  <si>
    <t>1325.                                                                                                                                   </t>
  </si>
  <si>
    <t>Solicitamos aclarar la diferencia entre lo regulado en la Sección 4.2.2. (d) y 4.2.10(d).</t>
  </si>
  <si>
    <t>Proyecto de Pliego de Condiciones, Sección 4.2.10(d).</t>
  </si>
  <si>
    <t>1326.                                                                                                                                   </t>
  </si>
  <si>
    <t>Por favor revisar la redacción de la Sección 5.6.4., toda vez que la misma no es clara y no permite entender el requisito previsto en dicha disposición. Lo anterior, pues el pliego del proyecto de condiciones no incluye regulación alguna que permita determinar cómo un Líder de una Estructura Plural puede acreditar el cuarenta por ciento (40%) de la experiencia requerida para el presente proceso de selección.</t>
  </si>
  <si>
    <t>Proyecto de Pliego de Condiciones, Sección 5.6.4.</t>
  </si>
  <si>
    <t>1327.                                                                                                                                  </t>
  </si>
  <si>
    <t>Favor indicar si con posterioridad a la entrega de la antigua concesión del proyecto, el INVIAS realizó algún tipo de intervención a la estructura de pavimento de los corredores que lo conforman y, en caso positivo, favor entregar los informes de las intervenciones realizadas.</t>
  </si>
  <si>
    <t>Cuarto de datos/ Informe de Pavimentos</t>
  </si>
  <si>
    <t>1328.                                                                                                                                  </t>
  </si>
  <si>
    <t>Por favor suministrar la información relativa al tráfico en cada uno de los peajes existentes (en cuanto a número de vehículos por categoría), así como, ingreso de los años 2018 y 2019.</t>
  </si>
  <si>
    <t>Cuarto de datos / Informe de tráfico</t>
  </si>
  <si>
    <t>1329.                                                                                                                                  </t>
  </si>
  <si>
    <t>Por favor suministrar la información relativa a los puentes y/o estructuras existentes (en cuanto a número y estado de las mismas) de los siguientes tramos:</t>
  </si>
  <si>
    <t>Cuarto de datos / Informe de puentes</t>
  </si>
  <si>
    <t>a) Rozo - La Torre,</t>
  </si>
  <si>
    <t>b) Intersección Cencar - Intersección Cantarrana - Intersección Guajira,</t>
  </si>
  <si>
    <t>c) Intersección Cali - Palmira 3 (Palmira-El Cerrito)-Intersección ingenio Providencia y,</t>
  </si>
  <si>
    <t>d) Cali- Candelaria.</t>
  </si>
  <si>
    <t>1330.                                                                                                                                  </t>
  </si>
  <si>
    <t>Sírvase por favor indicar la estructura de pavimento estimada por el consultor para los sectores listados a continuación debido a que no se encuentran en los informes de pavimentos incluidos en el cuarto de datos:</t>
  </si>
  <si>
    <t>- Variante El Bolo (UF2)</t>
  </si>
  <si>
    <t>- Intersección Cali - Palmira 3 (Palmira-El Cerrito) - Intersección Ingenio Providencia (UF2)</t>
  </si>
  <si>
    <t>- La Herradura - Matapalo (factor de calidad)</t>
  </si>
  <si>
    <t>- Villarica - Caloto (factor de calidad)</t>
  </si>
  <si>
    <t>1331.                                                                                                                                  </t>
  </si>
  <si>
    <t>Por favor indicar el eje y los bordes que delimitan la franja de compra predial para el corredor correspondiente a la segunda calzada de la Avenida Bicentenario (UF3).</t>
  </si>
  <si>
    <t>Cuarto de datos/ Informe geométrico y de predios</t>
  </si>
  <si>
    <t>1332.                                                                                                                                  </t>
  </si>
  <si>
    <t>Por favor publicar todas las bases de datos de los aforos realizados.</t>
  </si>
  <si>
    <t>1333.                                                                                                                                  </t>
  </si>
  <si>
    <t>Para entender e interpretar con toda claridad las encuestas O/D y las respectivas matrices, solicitamos amablemente publicar el listado que contenga la identificación de la zonificación utilizada. Dicho listado deberá contener, como mínimo, campos con el Código de Zona, Nombre de Zona (Municipio, departamento).</t>
  </si>
  <si>
    <t>1334.                                                                                                                                  </t>
  </si>
  <si>
    <t>Los documentos técnicos del estructurador denominados "ESTUDIO DE PUENTES, PONTONES Y VIADUCTOS - VOLUMEN VII" evidencian que la estructuración técnica plantea la necesidad de ejecutar la determinación de la capacidad de carga de algunos de los puentes existentes.  En vista de lo anterior, solicitamos responder, dentro de la estructuración, ¿dónde fue tenido en cuenta en el presupuesto el costo que puede derivarse, correspondiente a esta etapa del proyecto?</t>
  </si>
  <si>
    <t>Cuarto de Datos / Informe de puentes</t>
  </si>
  <si>
    <t>1335.                                                                                                                                  </t>
  </si>
  <si>
    <t>Respetuosamente se solicita a la ANI que se publique en el cuarto de datos las memorias de cálculo, planos e informe de los prediseños estructurales de los puentes nuevos.</t>
  </si>
  <si>
    <t>1336.                                                                                                                                  </t>
  </si>
  <si>
    <t>En la carpeta de estructuras no existe información sobre los puentes peatonales nuevos. Se solicita a la ANI publicar en el cuarto de datos los estudios y diseños de los nuevos puentes peatonales.</t>
  </si>
  <si>
    <t>1337.                                                                                                                                  </t>
  </si>
  <si>
    <t>No se presentan en los informes estructurales los niveles máximos de aguas, ni valores de socavación calculados. Por favor incluir esta información en el cuarto de datos.</t>
  </si>
  <si>
    <t>1338.                                                                                                                                  </t>
  </si>
  <si>
    <t>No nos fue posible encontrar en el cuarto de datos la información del inventario predial. Por favor indicar donde se encuentra el inventario predial del proyecto y en caso que el mismo no haya sido publicado por la Agencia solicitamos que se incluya a la mayor brevedad.</t>
  </si>
  <si>
    <t>1339.                                                                                                                                  </t>
  </si>
  <si>
    <t>Cuál es el estado de las consultas previas o relacionamiento con el Consejo Comunitario de Guaval y a qué se refiere la consulta previa de la cárcel de Jamundí que aparece en Acta de socialización efectuada por la ANI y el estructurador con fecha de 8 de marzo de 2019.</t>
  </si>
  <si>
    <t>Cuarto de Datos / Acta de Socialización</t>
  </si>
  <si>
    <t>En dicha acta se menciona que la consulta previa de la cárcel de Jamundí no condiciona la ejecución del proyecto. Al respecto, le solicitamos a la Agencia que por favor aclare a los interesados esta situación.</t>
  </si>
  <si>
    <t>1340.                                                                                                                                  </t>
  </si>
  <si>
    <t xml:space="preserve">La Intersección Sameco tiene una zona deprimida y dos puentes curvos que conforman tramos de la rotonda. En relación con los puentes, está el diseño, pero no se encuentra en la información publicada por la ANI, el diseño de las estructuras para la conformación el deprimido. </t>
  </si>
  <si>
    <t>En vista de ello, se solicita a la entidad la publicación de los diseños completos (informes, planos, memorias).</t>
  </si>
  <si>
    <t>1341.                                                                                                                                   </t>
  </si>
  <si>
    <t>Contrato de Concesión, Parte General, Sección 1.3.</t>
  </si>
  <si>
    <t>Consideramos que, de la definición previamente transcrita, podría considerarse que existen requisitos adicionales a los establecidos en la Sección 4.4. de la Parte General para poder suscribir el Acta de Inicio de la Fase de Construcción, por lo cual solicitamos delimitar expresamente cuáles son aquellos requisitos adicionales, o aclarar que se trata solamente de aquellos referidos taxativamente en la Sección 4.4 de la Parte General.</t>
  </si>
  <si>
    <t>1342.                                                                                                                                   </t>
  </si>
  <si>
    <t>Contrato de Concesión, Parte General, Sección 1.9.</t>
  </si>
  <si>
    <t>1343.                                                                                                                                   </t>
  </si>
  <si>
    <t>La definición que trae este Contrato en relación con la figura de Beneficiario Real corresponde a la prevista en el Decreto 2555 de 2010, una regulación del sector financiero que, como indicamos en precedencia no es congruente con la finalidad perseguida por el artículo 23 de la Ley 1508 de 2012.</t>
  </si>
  <si>
    <t>Contrato de Concesión, Parte General, Sección 1.21.</t>
  </si>
  <si>
    <t>Teniendo en cuenta lo anterior, solicitamos ajustar la definición de Beneficiario Real incluida en este Contrato, a efectos de que corresponda con la establecida en la Ley 1508 de 2012, por ser esta la fuente normativa que exige el mencionado requisito.</t>
  </si>
  <si>
    <t>1344.                                                                                                                                   </t>
  </si>
  <si>
    <t>En relación con la definición de la figura del director del Proyecto, solicitamos aclarar que, en todo caso, las decisiones adoptadas por el director del Proyecto no tendrán el efecto ni la virtualidad de modificar los términos ni las obligaciones del Contrato, las cuales deberán ser ejercidas únicamente por el representante legal de la sociedad.</t>
  </si>
  <si>
    <t>Contrato de Concesión, Parte General, Sección 1.52.</t>
  </si>
  <si>
    <t>1345.                                                                                                                                   </t>
  </si>
  <si>
    <t>Contrato de Concesión, Parte General, Sección 1.55.</t>
  </si>
  <si>
    <t>1346.                                                                                                                                   </t>
  </si>
  <si>
    <t>Contrato de Concesión, Parte General, Sección 1.56.</t>
  </si>
  <si>
    <t>1347.                                                                                                                                   </t>
  </si>
  <si>
    <t>Consideramos que lo anterior no es contrario al alcance de obligación del Concesionario de recibir la infraestructura en el estado en que se encuentre, toda vez que como bien sabe la Agencia, el recibo de la misma no puede llevar a la asunción del Concesionario de obligaciones adicionales, en exceso de lo pactado contractualmente. De igual forma, no es dable, de acuerdo con la Ley y la jurisprudencia, la asunción absoluta e ilimitada de los riesgos derivados del estado de la Infraestructura</t>
  </si>
  <si>
    <t>1348.                                                                                                                                   </t>
  </si>
  <si>
    <t>Solicitamos aclarar esta Sección teniendo en cuenta que, de acuerdo con la Tabla de Referencias de la Parte Especial, la entrega de la Infraestructura (incluyendo la Infraestructura relacionada en la Sección 3.6. (f)) es una condición precedente para la suscripción del Acta de Inicio del Contrato.</t>
  </si>
  <si>
    <t>De mantenerse la actual redacción, se entendería que sólo sería posible suscribir el Acta de Inicio o la Orden de Inicio una vez se entregue la Infraestructura de la Sección 3.6 (f), lo que podrá tomar hasta 12 o 18 meses desde la celebración del Acta de Inicio de la Fase de Construcción.</t>
  </si>
  <si>
    <t>1349.                                                                                                                                   </t>
  </si>
  <si>
    <t>Contrato de Concesión, Parte General, Sección 1.79.</t>
  </si>
  <si>
    <t>De igual forma, solicitamos establecer un término objetivo y cierto para los distintos trámites ante las Autoridades Estatales, pues, como bien sabe la Entidad, la Ley Aplicable no establece un término (menos aún un término máximo) para todos los trámites.</t>
  </si>
  <si>
    <t>Consideramos que en vista de las lecciones aprendidas y las diversas controversias que han dificultado la ejecución de varios proyectos, este es el momento oportuno para zanjar esta imprecisión, a efectos de propender por la correcta ejecución de los proyectos y, adicionalmente evitar futuros litigios y considerables indemnizaciones.</t>
  </si>
  <si>
    <t>1350.                                                                                                                                   </t>
  </si>
  <si>
    <t>Contrato de Concesión, Parte General, Sección 1.92.</t>
  </si>
  <si>
    <t>Lo anterior, teniendo en cuenta que, como bien sabe la Entidad, la Información Financiera es empleada efectivamente por las Partes durante la ejecución del Contrato para la adopción de decisiones y determina su conducta a lo largo de la ejecución contractual.  De manera que este tipo de disposiciones, en el evento en que surja un litigio o controversia, desconocen los derechos fundamentales al debido proceso, a la defensa técnica y al acceso a la administración de justicia, pues en caso de permanecer incluidas en el contrato impedirían al futuro Concesionario exponer los hechos y circunstancias que determinaron su conducta a lo largo de la ejecución contractual, y el acceso a la justicia.</t>
  </si>
  <si>
    <t>1351.                                                                                                                                   </t>
  </si>
  <si>
    <t>En relación con la definición de Inventario de Activos de la Concesión, esta señala:</t>
  </si>
  <si>
    <t>Contrato de Concesión, Parte General, Sección 1.97.</t>
  </si>
  <si>
    <t>Solicitamos aclarar que el Concesionario no asume obligaciones distintas respecto a dicha infraestructura de aquellas indicadas expresamente en el Contrato. Lo anterior no es contrario al alcance de obligación del Concesionario de recibir la infraestructura en el estado en que se encuentre, toda vez que como bien sabe la Agencia, el recibo de la misma no puede llevar a la asunción del Concesionario de obligaciones adicionales, en exceso de lo pactado contractualmente. De igual forma, no es dable, de acuerdo con la Ley y la jurisprudencia, la asunción absoluta e ilimitada de los riesgos derivados del estado de la Infraestructura.</t>
  </si>
  <si>
    <t>Igualmente, no se identifica en el contrato regulación similar (es decir, con el deber de elaborar un Inventario de Activos) para la Infraestructura relacionada en la Sección 3.6. (f).</t>
  </si>
  <si>
    <t>1352.                                                                                                                                   </t>
  </si>
  <si>
    <t>Solicitamos a la ANI evaluar la posibilidad de eliminar esta definición de la Parte General del Contrato; para estos efectos se aplicaría la cláusula penal prevista en el Contrato.</t>
  </si>
  <si>
    <t>Contrato de Concesión, Parte General, Sección 1.112.</t>
  </si>
  <si>
    <t>1353.                                                                                                                                   </t>
  </si>
  <si>
    <t>Solicitamos aclarar que la Ley Aplicable al Contrato de Concesión, es la vigente al momento de la suscripción del referido contrato, de tal forma que la misma se adapte a lo previsto en la ley colombiana, en particular a lo dispuesto en la Ley 153 de 1887.</t>
  </si>
  <si>
    <t>Contrato de Concesión, Parte General, Sección 1.100.</t>
  </si>
  <si>
    <t>Por lo anterior, solicitamos a la ANI modificar la Sección en mención para que la definición de “Ley Aplicable” o “Ley”, expresamente señale que la Ley Aplicable es la ley vigente al momento de celebración del contrato de concesión, en consonancia con lo dispuesto en la Ley 153 de 1887.</t>
  </si>
  <si>
    <t>1354.                                                                                                                                   </t>
  </si>
  <si>
    <t>En relación con las Obras Menores, sugerimos adicionar también aquellas necesarias que han de ser ejecutadas como consecuencia de solicitudes realizadas por las Autoridades Estatales, entre ellas, las solicitadas por parte de cualquier Autoridad Ambiental.</t>
  </si>
  <si>
    <t>Contrato de Concesión, Parte General, Sección 1.119.</t>
  </si>
  <si>
    <t>1355.                                                                                                                                   </t>
  </si>
  <si>
    <t>Aclarar teniendo en cuenta que, de acuerdo con la Tabla de Referencias de la Parte Especial, la entrega de la Infraestructura (incluyendo la Infraestructura relacionada en la Sección 3.6. (f)) es una condición precedente para la suscripción del Acta de Inicio del Contrato.</t>
  </si>
  <si>
    <t>Contrato de Concesión, Parte General, Sección 1.125.</t>
  </si>
  <si>
    <t>De mantenerse la actual redacción, se entendería que sólo sería posible suscribir el Acta de Inicio o la Orden de Inicio una vez se entregue la Infraestructura de la Sección 3.6 (f), lo que podrá tomar hasta 12 o 18 meses desde la celebración del Acta de Inicio de la Fase de Construcción, como bien lo señala la Parte Especial de la minuta de contrato.</t>
  </si>
  <si>
    <t>1356.                                                                                                                                   </t>
  </si>
  <si>
    <t>Solicitamos por favor establecer el plazo de ciento ochenta (180) días también para el caso de terminación anticipada del Contrato.</t>
  </si>
  <si>
    <t>Contrato de Concesión, Parte General, Sección 1.143.</t>
  </si>
  <si>
    <t>1357.                                                                                                                                   </t>
  </si>
  <si>
    <t>Por favor aclarar que este requisito no es procedente para el presente caso.</t>
  </si>
  <si>
    <t>Contrato de Concesión, Parte General, Sección 2.3. (b) (vii).</t>
  </si>
  <si>
    <t>1358.                                                                                                                                   </t>
  </si>
  <si>
    <t>Por favor establecer que para poder realizar las Deducciones, se dará aplicación al procedimiento administrativo sancionatorio de que trata el artículo 86 de la Ley 1474 de 2011.</t>
  </si>
  <si>
    <t>Contrato de Concesión, Parte General, Sección 3.2. (b).</t>
  </si>
  <si>
    <t>1359.                                                                                                                                   </t>
  </si>
  <si>
    <t>Contrato de Concesión, Parte General, Sección 3.3. (a).</t>
  </si>
  <si>
    <t>1360.                                                                                                                                   </t>
  </si>
  <si>
    <t>Por favor aclarar que en tal caso no habrá lugar al cobro de multas al Concesionario, cuando el cobro se deba a causas no imputables a este último.</t>
  </si>
  <si>
    <t>Contrato de Concesión, Parte General, Sección 3.3. (d).</t>
  </si>
  <si>
    <t>1361.                                                                                                                                   </t>
  </si>
  <si>
    <t>Por favor indicar que la instalación de tales equipos y sus costos, tanto de los equipos como de instalación, se encuentran a cargo de la ANI. Igualmente, que los costos en que incurra el Concesionario para acreditar la Elusión deberán ser asumidos por la ANI.</t>
  </si>
  <si>
    <t>Contrato de Concesión, Parte General, Sección 3.3. (h) (v).</t>
  </si>
  <si>
    <t>1362.                                                                                                                                   </t>
  </si>
  <si>
    <t>Solicitamos respetuosamente incluir o regular expresamente la facultad de las Partes para modificar el porcentaje que le será reconocido al Concesionario por la ejecución de actividades de operación y mantenimiento en la Etapa de Reversión, en el evento en que se incluyan obras adicionales al alcance del proyecto.</t>
  </si>
  <si>
    <t>Contrato de Concesión, Parte General, Sección 3.4. (f).</t>
  </si>
  <si>
    <t>1363.                                                                                                                                   </t>
  </si>
  <si>
    <t>Contrato de Concesión, Parte General, Sección 3.9.</t>
  </si>
  <si>
    <t>1364.                                                                                                                                   </t>
  </si>
  <si>
    <t xml:space="preserve">Le solicitamos a la ANI precise si los costos relacionados con el cierre de las tres licencias ambientales existentes (pasivos ambientales) se pagan con cargo a la subcuenta de compensaciones ambientales del proyecto. </t>
  </si>
  <si>
    <t>Contrato de Concesión, Parte General, Sección 3.14 (vi)(5)</t>
  </si>
  <si>
    <t>Financiera/ Ambiental.</t>
  </si>
  <si>
    <t>1365.                                                                                                                                   </t>
  </si>
  <si>
    <t>Por favor modificar la regla, en el sentido de que sí se reconozcan dichos intereses. Esto teniendo en cuenta la finalidad de que se reconozca la conmutatividad que debe prevalecer en el Contrato, considerando que el Concesionario sí asume la obligación de reconocerle intereses a la ANI.</t>
  </si>
  <si>
    <t>Contrato de Concesión, Parte General, Sección 3.14 (f).</t>
  </si>
  <si>
    <t>1366.                                                                                                                                   </t>
  </si>
  <si>
    <t>Contrato de Concesión, Parte General, Sección 3.14 (g) (viii) (2).</t>
  </si>
  <si>
    <t>1367.                                                                                                                                   </t>
  </si>
  <si>
    <t>Contrato de Concesión, Parte General, Sección 3.14 (g) (ix) (3).</t>
  </si>
  <si>
    <t>1368.                                                                                                                                   </t>
  </si>
  <si>
    <t>Por favor modificar en el sentido de que en caso de que ocurran Eventos Eximentes de Responsabilidad el fondeo de la subcuenta corresponderá a la ANI.</t>
  </si>
  <si>
    <t>Contrato de Concesión, Parte General, Sección 3.14. (h)(v)(6) y (8).</t>
  </si>
  <si>
    <t>1369.                                                                                                                                   </t>
  </si>
  <si>
    <t>Por favor indicar en esta Sección cómo se fondea la Subcuenta Obras Menores.</t>
  </si>
  <si>
    <t>Contrato de Concesión, Parte General, Sección 3.14. (h)(X)(1).</t>
  </si>
  <si>
    <t>1370.                                                                                                                                   </t>
  </si>
  <si>
    <t>En el evento en que la Agencia considere que no es aceptable que sea la Entidad Contratante quien asuma el riesgo del Cambio Tributario de forma exclusiva, se solicita que al menos sea revisada la Sección 3.16 de la Parte General del Contrato, ya que, como bien sabe la Agencia dicho apartado del Contrato requiere una urgente modificación debido a que el porcentaje que se ha establecido, esto es: tres por ciento (3%), ha hecho que la referida regulación sea inoperante en todos los contratos de concesión que ha celebrado la Agencia desde que se promulgó por parte del legislador la Ley 1508 de 2012. Bajo ese contexto, solicitamos que el referido porcentaje se disminuya de forma tal que, el Concesionario pueda solicitar el reconocimiento que se derive por materializarse el riesgo de Cambio Tributario.</t>
  </si>
  <si>
    <t>Contrato de Concesión, Parte General, Sección 3.16.</t>
  </si>
  <si>
    <t>1371.                                                                                                                                   </t>
  </si>
  <si>
    <t>Contrato de Concesión, Parte General, Sección 4.2. (a).</t>
  </si>
  <si>
    <t>1372.                                                                                                                                   </t>
  </si>
  <si>
    <t>¿La entrega de infraestructura que realizará la ANI, con la suscripción del Acta de Inicio o la expedición de la Orden de Inicio, incluye predios cuya gestión no ha culminado o que se encuentran en procesos de expropiación judicial o administrativa; o invadidos por terceros? En caso de ser positiva la respuesta, solicitamos a la ANI informar a los interesados cuantos predios se encuentran en esa condición.</t>
  </si>
  <si>
    <t>1373.                                                                                                                                   </t>
  </si>
  <si>
    <t>Incorporar la obligación de realizar los Aportes ANI, que han de ser efectuados durante la Fase de Preconstrucción.</t>
  </si>
  <si>
    <t>Contrato de Concesión, Parte General, Sección 4.3</t>
  </si>
  <si>
    <t>1374.                                                                                                                                   </t>
  </si>
  <si>
    <t>Contrato de Concesión, Parte General, Sección 4.4. (i).</t>
  </si>
  <si>
    <t>1375.                                                                                                                                   </t>
  </si>
  <si>
    <t>Contrato de Concesión, Parte General, Sección 4.5.(e).</t>
  </si>
  <si>
    <t>1376.                                                                                                                                   </t>
  </si>
  <si>
    <t>¿Las Fajas que serán entregadas por la ANI, con la suscripción del Acta de Inicio o la expedición de la Orden de Inicio, incluyen áreas que se encuentren invadidas con o sin gestión de restitución ante las autoridades competentes?</t>
  </si>
  <si>
    <t>Contrato de Concesión, Parte General, Sección 4.5.(t).</t>
  </si>
  <si>
    <t>En caso de que la respuesta sea positiva, agradecemos que la Agencia informe a los interesados cuantos predios se encuentran en dicha condición.</t>
  </si>
  <si>
    <t>1377.                                                                                                                                   </t>
  </si>
  <si>
    <t>Por favor considerar reducir este plazo a treinta (30) Días.</t>
  </si>
  <si>
    <t>Contrato de Concesión, Parte General, Sección 4.9.(c).</t>
  </si>
  <si>
    <t>1378.                                                                                                                                   </t>
  </si>
  <si>
    <t>Por favor indicar que en este caso se entenderá que la ANI aprueba la modificación al Plan de Obras presentado por el Concesionario.</t>
  </si>
  <si>
    <t>Contrato de Concesión, Parte General, Sección 4.9.(f).</t>
  </si>
  <si>
    <t>1379.                                                                                                                                   </t>
  </si>
  <si>
    <t>Por favor considerar ampliar este plazo a diez (10) Días Hábiles. Esto para que el Concesionario pueda contar con un plazo prudencial y suficiente para manifestar si está o no de acuerdo con las correcciones y/o ajustes formulados.</t>
  </si>
  <si>
    <t>Contrato de Concesión, Parte General, Sección 4.17.(a) (4).</t>
  </si>
  <si>
    <t>1380.                                                                                                                                   </t>
  </si>
  <si>
    <t>Por favor considerar reducir este plazo a tres (3) Días Hábiles para la firma del Acta de Terminación de la Unidad Funcional.</t>
  </si>
  <si>
    <t>Contrato de Concesión, Parte General, Sección 4.17(v).</t>
  </si>
  <si>
    <t>1381.                                                                                                                                   </t>
  </si>
  <si>
    <t>En el mismo sentido de la observación anterior, esto es, en considerar reducir este plazo a tres (3) Días Hábiles para la firma del Acta de Terminación de la Unidad Funcional.</t>
  </si>
  <si>
    <t>Contrato de Concesión, Parte General, Sección 4.17(vi).</t>
  </si>
  <si>
    <t>1382.                                                                                                                                   </t>
  </si>
  <si>
    <t>Por favor indicar que en caso de que la ANI y la Interventoría no se pronuncien se entenderá que han aprobado las Intervenciones.</t>
  </si>
  <si>
    <t>Contrato de Concesión, Parte General, Sección 4.17.(c) (i).</t>
  </si>
  <si>
    <t>1383.                                                                                                                                   </t>
  </si>
  <si>
    <t>Por favor considerar modificar esta regla. La suscripción del Acta de Terminación de Unidad Funcional implica, necesariamente, que se han aceptado de forma definitiva las Intervenciones que ejecutó el Concesionario de acuerdo con lo previsto en el Apéndice Técnico 1.</t>
  </si>
  <si>
    <t>Contrato de Concesión, Parte General, Sección 4.17(d)(i).</t>
  </si>
  <si>
    <t>No debería corresponder al Concesionario realizar ninguna otra actividad durante la Etapa de Operación y Mantenimiento, pues estas Intervenciones fueron verificadas y recibidas previamente por el interventor y la Agencia y por tanto no podría exigírsele al particular realizar cualquier actividad distinta a la de Operar y Mantener la infraestructura durante todo el término de duración de la Etapa de Operación y Mantenimiento.</t>
  </si>
  <si>
    <t>1384.                                                                                                                                   </t>
  </si>
  <si>
    <t>La Parte General del Contrato prevé que las consultas previas que surjan en forma posterior a la suscripción del contrato, deben ser asumidas a su costo por el Concesionario. Pero no regula en forma específica un mecanismo que regule este evento de Fuerza Mayor, en la medida en que este trámite puede afectar, desde su notificación, el trámite del licenciamiento ambiental después de presentado el EIA, o las Intervenciones en ejecución, dado que implican la suspensión inmediata de dichas actividades. En consecuencia, se propone incluir en el literal (h) de la Cláusula 8.1., como evento de fuerza mayor ambiental, la aparición de comunidades con posterioridad al inicio del trámite de la licencia ambiental, que exija la necesidad de realizar nueva(s) (s) consulta(s) previas.</t>
  </si>
  <si>
    <t>Contrato de Concesión, Parte General, Sección 4.2. (dd) (vi).</t>
  </si>
  <si>
    <t>1385.                                                                                                                                   </t>
  </si>
  <si>
    <t>Aclarar si la elaboración de los Estudios de Trazado y Diseño Geométrico debe efectuarse a partir de los Estudios de Factibilidad de Trazado y Diseño Geométrico; igual, si el Concesionario debe partir de los lineamientos, parámetros y condiciones empleados en la estructuración para la elaboración de los aludidos de Estudios de Factibilidad de Trazado y Diseño Geométrico.</t>
  </si>
  <si>
    <t>Contrato de Concesión, Parte General, Sección 6.2 (a)</t>
  </si>
  <si>
    <t>jurídica</t>
  </si>
  <si>
    <t>1386.                                                                                                                                   </t>
  </si>
  <si>
    <t>Aclarar que las consideraciones técnicas que se entienden formuladas a manera de recomendación no son exigibles al Concesionario y no pueden impedir la expedición de la no objeción a los Estudios de Trazado y Diseño Geométrico y a los Estudios de Detalle.</t>
  </si>
  <si>
    <t>Contrato de Concesión, Parte General, Sección 6.2 (c)</t>
  </si>
  <si>
    <t>1387.                                                                                                                                   </t>
  </si>
  <si>
    <t>¿A través de qué resolución fue declarado de utilidad pública e interés social el proyecto de la Nueva Malla Vial del Valle del Cauca – Corredor Accesos Cali - Palmira? Solicitamos a la ANI por favor incluir esta información en el cuarto de datos.</t>
  </si>
  <si>
    <t>Contrato de Concesión, Parte General, Sección 6.2 (b)</t>
  </si>
  <si>
    <t>1388.                                                                                                                                   </t>
  </si>
  <si>
    <t>1389.                                                                                                                                   </t>
  </si>
  <si>
    <t>Aclarar que los ajustes solicitados por el Interventor, son solamente aquellos asociados a asuntos necesarios para el cumplimiento de las Especificaciones Técnicas, pero en manera alguna podrán corresponder a las mencionadas consideraciones técnicas que emitiría la Interventoría a manera de recomendación, según lo expuesto en la Sección 6.1.(c)</t>
  </si>
  <si>
    <t>Contrato de Concesión, Parte General, Sección 6.2 (d)</t>
  </si>
  <si>
    <t>1390.                                                                                                                                   </t>
  </si>
  <si>
    <t>Aclarar que esta regla no será aplicable cuando haya lugar a presentar los Estudios de Trazado y Diseño Geométrico en las condiciones aquí establecidas, en caso de que ello sea necesario como consecuencia de un Evento Eximente de Responsabilidad, o por causas imputables a la ANI.</t>
  </si>
  <si>
    <t>Contrato de Concesión, Parte General, Sección 6.3 (a)</t>
  </si>
  <si>
    <t>1391.                                                                                                                                   </t>
  </si>
  <si>
    <t>Solicitamos incluir como un Evento Eximente de Responsabilidad la siguiente regulación:</t>
  </si>
  <si>
    <t>Contrato de Concesión, Parte General, Sección 8.1.</t>
  </si>
  <si>
    <t>1392.                                                                                                                                   </t>
  </si>
  <si>
    <t>Contrato de Concesión, Parte General, Sección 8.1 (c).</t>
  </si>
  <si>
    <t>Al respecto, surge la siguiente solicitud de aclaración, que muy amablemente formulamos a la ANI así:</t>
  </si>
  <si>
    <t>(i)            Entendemos que dentro de la definición de Concepto de Compensaciones Ambientales que trae la Sección 8.1 (c) de la Parte General, se encuentran aquellas obligaciones ambientales pendientes de cumplimiento y obligaciones por ejecutar establecidas en los instrumentos ambientales con los que ya cuenta el proyecto, y que se encuentran descritos en el Apéndice Técnico 6.</t>
  </si>
  <si>
    <t>(ii)          Si nuestro entendimiento es correcto, entendemos que las obligaciones ambientales pendientes de cumplimiento y obligaciones por ejecutar, se asumen con cargo a la Cuenta Compensaciones Ambientales. </t>
  </si>
  <si>
    <t>(iii)        Si nuestro entendimiento es correcto, la prohibición de utilizar la Subcuenta Compensaciones Socioambientales para el pago de pasivos ambientales, no se extiende a aquellos pasivos ambientales relacionados o que tienen su origen en los instrumentos ambientales con los que ya cuenta el Proyecto, los cuales si se pueden asumir con cargo a la referida subcuenta.</t>
  </si>
  <si>
    <t>1393.                                                                                                                                   </t>
  </si>
  <si>
    <t>Contrato de Concesión, Parte General, Sección 8.1 (d)</t>
  </si>
  <si>
    <t>Para este proyecto entendemos que ya se hicieron por parte de la ANI o la autoridad competente, tres (3) procesos de consultas previas con tres (3) comunidades. No obstante, como obligación a cargo del Concesionario está la de gestionar los procesos de consulta previa que surjan a partir de la licitación asumiendo el ciento por ciento (100%) de los costos asociados a esta gestión y, adicionalmente, asumir el cincuenta por ciento (50%) de los costos asociados a los acuerdos producto de estas consultas.</t>
  </si>
  <si>
    <t>Al respecto, solicitamos respetuosamente a la Agencia que por ser este un riesgo a cargo de las entidades por el mismo mandato legal al que hicimos referencia previamente, estos costos sean pagados contra una subcuenta, es decir, sean cargados al proyecto y no al Concesionario.</t>
  </si>
  <si>
    <t>Con este propósito le proponemos a la Agencia las siguientes opciones:</t>
  </si>
  <si>
    <t>(i)                 Que sea la ANI quien asuma la obligación de adelantar la Gestión Social y Ambiental en el evento en que sean reconocidas por parte del Ministerio del Interior nuevas comunidades con quienes haya que adelantar nuevos procesos de consulta previa.</t>
  </si>
  <si>
    <t>(ii)               La Gestión que realizará la ANI se hará con cargo a unos recursos que depositará el Concesionario en una subcuenta especial que se creará y fondeará con las reglas que para el efecto se establezcan en la Parte Especial del Contrato. Esto implica que desde que se firme el Acta de Inicio del Contrato la Agencia podrá contar con los recursos necesarios para realizar la gestión que se le propone que asuma, pues esta completamente acreditado y demostrado que la Agencia como entidad pública se encuentra en mejores condiciones para realizar estas actividades.</t>
  </si>
  <si>
    <t>(iii)             Los costos asociados al reconocimiento de los acuerdos a los que lleguen la ANI y las nuevas comunidades consultadas, se asumirán por parte del Concesionario en un cincuenta por ciento (50%) con cargo a una subcuenta que se creará y regulará en la Parte Especial del Contrato. La obligación del Concesionario consistirá en fondear esa subcuenta con unos recursos que sean previamente definidos por parte de la Agencia y los mismos tendrán un monto máximo, el cual una vez se agoté corresponderá a la Agencia asumir los mayores valores que estos reconocimientos puedan generar.</t>
  </si>
  <si>
    <t>1394.                                                                                                                                   </t>
  </si>
  <si>
    <t>Contrato de Concesión, Parte General, Sección 8.1 (h).</t>
  </si>
  <si>
    <t>De igual forma, solicitamos establecer un término objetivo y cierto para los distintos trámites ante las Autoridades Estatales, pues, como bien sabe la Entidad, la Ley Aplicable no establece un término (menos aún un término máximo) para todos los todos los trámites. Consideramos que en vista de las lecciones aprendidas y las diversas controversias que han dificultado la ejecución de varios proyectos, este es el momento oportuno para zanjar esta imprecisión, a efectos de propender por la correcta ejecución de los proyectos y, adicionalmente, evitar futuros litigios y considerables indemnizaciones.</t>
  </si>
  <si>
    <t>1395.                                                                                                                                   </t>
  </si>
  <si>
    <t>La cláusula relativa a la Fuerza Mayor Ambiental establece que la misma se activa si transcurriere más de un ciento cincuenta por ciento (150%) adicional del tiempo máximo establecido por la Ley Aplicable. Al respecto, se pregunta a la Agencia lo siguiente:</t>
  </si>
  <si>
    <t>Contrato de Concesión, Parte General, Sección 8.1 (h) (i)</t>
  </si>
  <si>
    <t>(i)                 ¿Cuál es la ley aplicable en este caso teniendo en cuenta que los expedientes ambientales que existen para el proyecto son antiguos?</t>
  </si>
  <si>
    <t xml:space="preserve">(ii)               ¿El tiempo para contabilizar la configuración de la FMA corresponde al 100% del tiempo que tomaría la autoridad ambiental más un 50%? </t>
  </si>
  <si>
    <t>(iii)             Si el plazo para contar este tiempo se cuenta a partir de la fecha de radicación de información adicional, ¿qué pasa si la autoridad ambiental realiza múltiples solicitudes de información adicional?</t>
  </si>
  <si>
    <t>1396.                                                                                                                                   </t>
  </si>
  <si>
    <t>Contrato de Concesión, Parte General, Sección 8.2 (c)</t>
  </si>
  <si>
    <t>(iv)             ¿el trazado vial de las diferentes unidades funcionales de la Concesión Nueva Malla Vial del Valle del Cauca hace parte de las fajas de exclusión y reserva a las que hace referencia la Ley 1228 de 2008?</t>
  </si>
  <si>
    <t>(v)               ¿cuál es la declaratoria de utilidad pública de la Concesión Nueva Malla Vial del Valle del Cauca?</t>
  </si>
  <si>
    <t>1397.                                                                                                                                   </t>
  </si>
  <si>
    <t>Contrato de Concesión, Parte General, Sección 8.2 (h) (i)</t>
  </si>
  <si>
    <t>1398.                                                                                                                                   </t>
  </si>
  <si>
    <t>Contrato de Concesión, Parte General, Sección 8.2 (k)</t>
  </si>
  <si>
    <t>1399.                                                                                                                                   </t>
  </si>
  <si>
    <t>Solicitamos que el valor de referencia para determinar el derecho del Concesionario referido en la Sección 11.3 (a) (modificación unilateral) sea el VPIP del proyecto.</t>
  </si>
  <si>
    <t>Contrato de Concesión, Parte General, Sección 11.3 (a).</t>
  </si>
  <si>
    <t>1400.                                                                                                                                   </t>
  </si>
  <si>
    <t>De acuerdo con la Parte General, el riesgo de Invasiones en la vía pública se encuentra asignado al Concesionario. Al respecto, es claro que no es el Concesionario quien se encuentra en mejor condición de asumir y administrar este riesgo, pues evitarlo depende de la definición y adopción de las medidas que adopten las autoridades de policía necesarias para retirar a los moradores o invasores ilegales que ocupen el corredor concesionado; actividad que la ANI, en su condición de entidad estatal, se encuentra en una mejor posición para coordinar junto con las demás autoridades competentes para el cabal cumplimiento de las mismas.</t>
  </si>
  <si>
    <t>Contrato de Concesión, Parte General, Capítulo XII.</t>
  </si>
  <si>
    <t>Este es un tema que ha sido reiterativo en proyectos existentes, siendo el concesionario únicamente responsable de la debida diligencia en los trámites de informar a las autoridades. Sin embargo, no se puede pretender que esta obligación de medio se extienda a una obligación de resultado frente al eficaz ejercicio de la fuerza pública, ni mucho menos pretender que el Concesionario asuma el riesgo de esta actividad.</t>
  </si>
  <si>
    <t>En ese sentido solicitamos se ajuste la redacción para limitar este riesgo a la gestión y no al resultado de la misma.</t>
  </si>
  <si>
    <t>1401.                                                                                                                                   </t>
  </si>
  <si>
    <t>Solicitamos eliminar la regulación de este riesgo toda vez que no corresponde al Concesionario realizar Intervenciones distintas de las previstas en el Apéndice Técnico 1. Cualquier inestabilidad geológica que se presente en el corredor del Proyecto deberá ser atendida por la Entidad Concedente, en la medida en que la atención de estos sitios críticos no hace parte del alcance del Contrato.</t>
  </si>
  <si>
    <t>Contrato de Concesión, Parte General, Sección 13.2 (a) (xi)</t>
  </si>
  <si>
    <t>1402.                                                                                                                                   </t>
  </si>
  <si>
    <t>De acuerdo con lo establecido en la Sección 13.2 (a) (xxviii) de la Parte General, los riesgos derivados del cambio de la Ley Aplicable, así como los riesgos derivados del Cambio Tributario, son asignados ambos al particular, en los siguientes términos:</t>
  </si>
  <si>
    <t>Contrato de Concesión, Parte General, Sección 13.2 (a) (xxviii)</t>
  </si>
  <si>
    <t>A su turno, de acuerdo con el numeral (xxix) de la Sección 13.2 (a) de la Parte General del Contrato de Concesión, el Concesionario asume:</t>
  </si>
  <si>
    <t>“(xxix)       “Salvo por las coberturas a cargo de la ANI expresamente previstas en el presente Contrato, los efectos favorables y/o desfavorables derivados del impacto económico generado por un Cambio Tributario, en los términos previstos de esta Parte General”.</t>
  </si>
  <si>
    <t>1403.                                                                                                                                   </t>
  </si>
  <si>
    <t>Respecto de la declaratoria de las Fuerzas Mayores, Predial, Ambiental y de Redes y de la declaración de Eventos Eximentes de responsabilidad, establece el Contrato que el riesgo es parcial a cargo de la ANI. Sin embargo, no es claro a que se refiere la parcialidad que asume por parte de la Agencia, en razón a que, si el Evento fue declarado y la fuerza mayor acreditada, el ciento por ciento (100%) de los efectos y del alcance de la correspondiente declaratoria debería corresponderle a la ANI totalmente.</t>
  </si>
  <si>
    <t>Contrato de Concesión, Parte General, Sección 13.3 q,r,s,t,w,s</t>
  </si>
  <si>
    <t>1404.                                                                                                                                   </t>
  </si>
  <si>
    <t>Se sugiere revisar la causal de terminación anticipada por la ocurrencia de un Evento Eximente de Responsabilidad cuya duración supere noventa (90) Días, y se haya paralizado la ejecución del Contrato en su totalidad, en la medida en que pudiera ser corto, como lo ha demostrado la presencia del COVID-19 en Colombia, con el potencial de paralizar estos contratos por términos mayores al indicado.</t>
  </si>
  <si>
    <t>Contrato de Concesión, Parte General, Sección 17.2. b).</t>
  </si>
  <si>
    <t>1405.                                                                                                                                   </t>
  </si>
  <si>
    <t>Contrato de Concesión, Parte General, Sección 18.3, literales (c), (d) y (e).</t>
  </si>
  <si>
    <t>Se solicita aclarar cómo le serán reconocidos al concesionario los gastos en que ha incurrido si la retribución por recaudo de peajes es inferior al monto de gastos. Lo anterior, por cuando las fórmulas de terminación no parecieran contemplar dicho escenario.</t>
  </si>
  <si>
    <t>1406.                                                                                                                                   </t>
  </si>
  <si>
    <t>Cabe tener en cuenta que la regulación contractual antes mencionada tiene origen en lo dispuesto en el artículo 20 de la Ley 1882 de 2018, el cual establece los criterios para liquidar este tipo de contratos ante una nulidad absoluta. En este sentido, la aplicación que se pretende hacer de dichos criterios en el marco de las fórmulas de terminación antes referidas, requeriría de mayores precisiones en las regulaciones contractuales, con el fin de evitar interpretaciones subjetivas, y que en consecuencia la liquidación del contrato, aun cuando no tenga origen en una nulidad absoluta que es el propósito de los criterios contenidos en el artículo 20 de la Ley 1882 de 2018, sí reconozca efectivamente los gastos en que incurrió el concesionario durante la vigencia del contrato.</t>
  </si>
  <si>
    <t>Teniendo en cuenta lo anterior, solicitamos amablemente a la ANI:</t>
  </si>
  <si>
    <t>(i)                 Precisar las variables de las fórmulas de terminación previstas en Sección 18.3 -Fórmulas de Liquidación del Contrato-, con el fin de evitar que las mismas se puedan prestar a interpretaciones o apreciaciones subjetivas.</t>
  </si>
  <si>
    <t>(ii)               De no aceptarse la anterior solicitud, solicitamos aclarar cuál será entonces el criterio que empleará la Interventoría para dar aplicación a las variables contenidas en la Sección 18.3.</t>
  </si>
  <si>
    <t>1407.                                                                                                                                   </t>
  </si>
  <si>
    <t>¿Cuál es la motivación para no reconocer el pago de intereses en el que haya incurrido el Concesionario cuando efectivamente tiene la obligación de financiarse y dicha actividad tiene un costo asociado que son los intereses?</t>
  </si>
  <si>
    <t>1408.                                                                                                                                   </t>
  </si>
  <si>
    <t>Se solicita aclarar qué sucede si el Concesionario ha efectuado aportes de Equity para dar liquidez al Proyecto y cubrir montos que deban ser reconocidos por el Concedente pero que a la fecha de la terminación no se hubieren cancelado.</t>
  </si>
  <si>
    <t>1409.                                                                                                                                   </t>
  </si>
  <si>
    <t>Contrato de Concesión, Parte General, Sección 19.1.</t>
  </si>
  <si>
    <t>Teniendo en cuenta que en el evento antes referido el Concesionario no realizar la gestión directa para la contratación y ejecución de las Obras Menores, sino que se ve obligado a acudir a un proceso de selección, para la ejecución de las mismas por parte de un tercero, el Concesionario no debería asumir la obligación de resultado frente a la calidad y estabilidad de estas obras, sin perjuicio de asumir una obligación debe ser de medio, para el cumplimiento de estos fines, a través de actividades de supervisión.</t>
  </si>
  <si>
    <t>1410.                                                                                                                                   </t>
  </si>
  <si>
    <t>Solicitar aclarar redacción porque el literal (iii) está repetido y en todo caso, solicitar que se pueda ceder las acciones de un Líder de acuerdo con lo planteado para Episol.</t>
  </si>
  <si>
    <t>Contrato de Concesión, Parte General, Sección 19.6.</t>
  </si>
  <si>
    <t>1411.                                                                                                                                   </t>
  </si>
  <si>
    <t>Aclarar si faltan hojas del Contrato, Parte Especial, toda vez que la numeración de este documento indica que el mismo tiene una extensión de 65 páginas.</t>
  </si>
  <si>
    <t>Contrato de Concesión, Parte Especial</t>
  </si>
  <si>
    <t>1412.                                                                                                                                   </t>
  </si>
  <si>
    <t>De acuerdo al numeral 1.55 Datos específicos, sírvase incluir en las definiciones de vías los casos de tren de transporte público de pasajeros. Además, sírvase informar qué proyecto sería excluido como tren de cercanías. (p.e Ramal Cali – Palmira)</t>
  </si>
  <si>
    <t>Contrato de Concesión, Parte Especial, Tabla de Referencias</t>
  </si>
  <si>
    <t>1413.                                                                                                                                   </t>
  </si>
  <si>
    <t>Por favor aclarar que pasa en el evento en que un proyecto como el tren de cercanías entrase en operación durante la Concesión. ¿se incluirá este proyecto como Elusión?</t>
  </si>
  <si>
    <t>1414.                                                                                                                                   </t>
  </si>
  <si>
    <t>De acuerdo con la referencia a la Sección 1.125, las Infraestructura previstas en la Sección 3.6 y 3.7. son requisitos para suscribir la Orden de Inicio del Contrato. Lo anterior implica que existe una contradicción entre el plazo previsto en esta sección y el señalado en la tabla del literal (f) de la Sección 3.6., pues de acuerdo con el Contrato, estas Infraestructuras se recibirán 12 o 18 meses después de firmado el Acta de Inicio de la Fase de Construcción.</t>
  </si>
  <si>
    <t>Contrato de Concesión, Parte Especial, Cap. II, Tabla de Referencias. 1.125.</t>
  </si>
  <si>
    <t>1415.                                                                                                                                   </t>
  </si>
  <si>
    <t>Contrato de Concesión, Parte Especial, Sección 3.6. (c).</t>
  </si>
  <si>
    <t>1416.                                                                                                                                   </t>
  </si>
  <si>
    <t>Contrato de Concesión, Parte Especial, Sección 3.6. (e).</t>
  </si>
  <si>
    <t>Solicitamos a la ANI definir de manera objetiva las condiciones en las que hará la entrega de los predios y la infraestructura en general, lo anterior para de esa forma garantizar ciertas condiciones que permitan recibir sin condicionamientos. De igual forma sugerimos que, si tales condiciones no se cumplen, se podrían incluir reservas y condicionamientos para la entrega.</t>
  </si>
  <si>
    <t>1417.                                                                                                                                   </t>
  </si>
  <si>
    <t>En este escenario, el monto del costo de la infraestructura a intervenir asociado a las intervenciones del(los) tramos(s) excluido(s), según se detalla en la anterior tabla, será trasladado por el Concesionario a la Subcuenta Excedentes ANI actualizando los valores a pesos corrientes usando la fórmula de la Sección 3.9 de la Parte General, en los siguientes plazos. Por favor aclarar qué quieren decir con esto.</t>
  </si>
  <si>
    <t>Contrato de Concesión, Parte Especial, Sección 3.6 (g)</t>
  </si>
  <si>
    <t>1418.                                                                                                                                   </t>
  </si>
  <si>
    <t>De acuerdo con la Sección 3.6., el Concesionario recibirá de forma posterior la Infraestructura y Predios correspondientes a la variante “El Bolo" y el tramo Cali - Candelaria, que hacen parte de la UF 2, y la infraestructura y predios para la Rectificación del alineamiento vial de la curva frente al vivero “Don Otto" y la relacionada con la Construcción del ramal 4D de la intersección La Herradura, que hacen parte de la UF 1.</t>
  </si>
  <si>
    <t>Contrato de Concesión, Parte Especial, Sección 3.6 (g) (iii)</t>
  </si>
  <si>
    <t>Lo anterior, según se extrae del ordinal (f), debido a que las referidas Obras se encuentran incorporadas a Contratos de Obra suscritos por la Gobernación del Valle, los cuales están actualmente en ejecución.</t>
  </si>
  <si>
    <t>Respecto de estas Obras, de acuerdo con esta Parte Especial, entendemos que si las Obras no se entregan en los plazos previstos en la tabla del ordinal (f), se excluirán totalmente las obras e intervenciones y no se tendrán que realizar actividades operación y mantenimiento sobre las mismas.</t>
  </si>
  <si>
    <t>Al respecto, solicitamos a la Agencia aclarar lo siguiente:</t>
  </si>
  <si>
    <t>(i)                 Si toda la infraestructura referida en la tabla del literal (f) forman parte de los Contratos de Obra No. 0111-18-10-5007 y No. 1.310.02-59.8- 5447 de la Gobernación del Valle del Cauca.</t>
  </si>
  <si>
    <t>(ii)               En el evento en que no sea éste el caso, indicar a qué contrato están asociadas la Infraestructura de la Variante “El Bolo”, la Intersección “La Herradura” y la Curva “Don Otto”. ¿La ANI está considerando realizar por su cuenta y riesgo estás obras antes de entregárselas al Concesionario?</t>
  </si>
  <si>
    <t>(iii)             Entendemos que, si las Obras antes señaladas son construidas por la ANI y/o el contratista de la Gobernación del Valle del Cauca, las actividades de construcción se excluirán del Contrato y, por tanto, no habría lugar a que el Concesionario realice obras, sino que solo deberá operarlas y mantenerlas. Por favor confirmar o aclarar nuestro entendimiento.</t>
  </si>
  <si>
    <t>(iv)             Por favor aclarar tratamiento que se le dará al Tramo Cali – Candelaria en caso que las mismas sean finalizadas, de acuerdo con lo señalado en el literal (f) de la Sección en mención.</t>
  </si>
  <si>
    <t>1419.                                                                                                                                   </t>
  </si>
  <si>
    <t>Solicitamos que en el evento en que el Concesionario deba operar y mantener esta infraestructura que será entregada de forma posterior, la misma sea medida con unos indicadores especiales previstos en el Apéndice Técnico 4 del Contrato.</t>
  </si>
  <si>
    <t>Contrato de Concesión, Parte Especial, Sección 3.6. (f)</t>
  </si>
  <si>
    <t>1420.                                                                                                                                   </t>
  </si>
  <si>
    <t>¿Cuántos y en qué situación jurídica se encuentran los predios que serán entregados por la ANI, para la ejecución de las obras de puesta a punto y rehabilitación?</t>
  </si>
  <si>
    <t>Contrato de Concesión, Parte Especial, Sección 3.6. (e)</t>
  </si>
  <si>
    <t>1421.                                                                                                                                   </t>
  </si>
  <si>
    <t>1422.                                                                                                                                   </t>
  </si>
  <si>
    <t>Por favor aclarar el alcance y contenido de esta regla. ¿Cuál es el supuesto de hecho y cuál la consecuencia?</t>
  </si>
  <si>
    <t>Contrato de Concesión, Parte Especial, Sección 3.6. (h)</t>
  </si>
  <si>
    <t>1423.                                                                                                                                   </t>
  </si>
  <si>
    <t>En la resolución de tarifas para Estaciones de Peajes que emitiría el Ministerio de Transporte se solicita establecer un número máximo de beneficiarios de tarifas especiales. Adicionalmente solicitamos a la ANI por favor publicar en el Cuarto de Datos el borrador de la Resolución de Peajes del contrato de concesión, así como las resoluciones vigentes.</t>
  </si>
  <si>
    <t>Contrato de Concesión, Parte Especial, Sección 4.2 (a)</t>
  </si>
  <si>
    <t>1424.                                                                                                                                   </t>
  </si>
  <si>
    <t xml:space="preserve">Solicitamos que la Subcuenta Contingencias se fondeé de forma prevalente a la Subcuenta Depósito Especial de Recaudo. </t>
  </si>
  <si>
    <t>Contrato de Concesión, Parte Especial, Sección 4.5 (h)</t>
  </si>
  <si>
    <t>1425.                                                                                                                                   </t>
  </si>
  <si>
    <t>Solicitamos incluir el valor que deberá ser consignado por la Fiduciaria en la Subcuenta Contingencias, toda vez que el mismo no se encuentra definido en la Tabla de Referencias de la Parte Especial.</t>
  </si>
  <si>
    <t>Contrato de Concesión, Parte Especial.</t>
  </si>
  <si>
    <t>1426.                                                                                                                                   </t>
  </si>
  <si>
    <t xml:space="preserve">Solicitamos a la Agencia confirmar si el Ministerio del Interior expidió la totalidad de los certificados de presencia de comunicadas étnicas en el área de influencia del proyecto. Adicionalmente, solicitamos que estas certificaciones sean incluidas en el cuarto de datos lo más pronto posible. </t>
  </si>
  <si>
    <t>1427.                                                                                                                                   </t>
  </si>
  <si>
    <t>Solicitamos a la Agencia confirmar si el Proyecto ya cuenta con Diagnóstico de Alternativas Ambientales.</t>
  </si>
  <si>
    <t>1428.                                                                                                                                   </t>
  </si>
  <si>
    <t>Apéndice Técnico 1, Capítulo IV Infraestructura proyectada:</t>
  </si>
  <si>
    <t>Igualmente, el Numeral 4.3 Unidad Funcional 2, Tabla 11 Características geométricas y técnicas para vías a cielo abierto UF2 establece que el tramo Cali - Candelaria debe mantener el ancho del separador existente. Sin embargo, en la actualidad (mayo de 2020) en el tramo Cali - Candelaria existe solamente una calzada.</t>
  </si>
  <si>
    <t>- Numeral 4.1 División por unidades funcionales, Tabla 5 Unidades funcionales del proyecto</t>
  </si>
  <si>
    <t>Dado que actualmente se ejecuta un contrato para la construcción de la doble calzada entre Cali y Candelaria, sírvase por favor confirmar si el futuro concesionario de la Nueva Malla Vial del Valle del Cauca recibirá terminada para operar y mantener la doble calzada entre Cali y Candelaria e indicar de manera específica el estado en el que el futuro Concesionario recibirá la calzada existente con base en la intervención prevista en el mencionado contrato de construcción.</t>
  </si>
  <si>
    <t>- Numeral 4.3 Unidad Funcional 2, Tabla 11 Características geométricas y técnicas para vías a cielo abierto UF2</t>
  </si>
  <si>
    <t>Adicionalmente, proponemos a la ANI que se incluya como condiciones precedentes para el recibo de esta infraestructura, las siguientes: (i) que la ANI verifique con la Gobernación del Valle el cumplimiento del objeto contratado en los negocios jurídicos que actualmente se encuentran en ejecución; (ii) que se entregue al Concesionario el acta de liquidación de los contratos de obras; (iii) que se entregue el informe de interventoría de estos contratos de obra; (iv) que en caso de no cumplirse cabalmente el cumplimiento del objeto de los contratos, el Concesionario pueda realizar salvedades para el recibo de esta infraestructura; (v) que queden claramente definidas las obligaciones de operación y mantenimiento que el Concesionario deberá realizar sobre esta infraestructura (para esto proponemos que sean definidas unas obligaciones de Operación y Mantenimiento especificas en el Apéndice Técnico 2, y; (vi) que se establezcan en el Apéndice Técnico 4 unos precisos indicadores para este corredor en específico si es que el mismo se termina de construir en las condiciones pactadas. En el evento en que no termine la ejecución de estos contratos en los términos en que fueron pactados, que se excluya esta infraestructura de la medición de los Indicadores previstos en el Apéndice Técnico 4, de forma tal que la retribución del Concesionario no se vea afectada.</t>
  </si>
  <si>
    <t>1429.                                                                                                                                   </t>
  </si>
  <si>
    <t>El Apéndice Técnico 1 en los apartes Capítulo IV Infraestructura proyectada, Numeral 4.1 División por unidades funcionales, Tabla 5 Unidades funcionales del proyecto y Numeral 4.3 Unidad Funcional 2, Tabla 11 Características geométricas y técnicas para vías a cielo abierto UF2 establece que uno de los tramos que conforman la Unidad Funcional 2 del proyecto es Intersección Cali-Palmira 3 (Palmira-El Cerrito) - Intersección Ingenio Providencia cuyo alcance es puesta a punto; sin embargo, al revisar en los planos se observa que el tramo correcto es Intersección Cali-Palmira 5 (Palmira-El Cerrito) - Intersección Ingenio Providencia debido a que la vía a la que hace referencia el tramo comienza en la intersección Cali - Palmira 5 en lugar de la intersección Cali - Palmira 3. Se solicita por favor hacer la corrección pertinente en el apéndice técnico 1, así como en los demás documentos contractuales que resulte necesario, para que allí se indique que el tramo corresponde a la Intersección Cali-Palmira 5 (Palmira-El Cerrito) - Intersección Ingenio Providencia.</t>
  </si>
  <si>
    <t>Apéndice Técnico 1, Capítulo IV Infraestructura proyectada Numeral 4.1 División por unidades funcionales, Tabla 5 Unidades funcionales del proyecto</t>
  </si>
  <si>
    <t>- Numeral 4.3 Unidad Funcional 2, Tabla 11 Características geométricas y técnicas para vías a cielo abierto UF2.</t>
  </si>
  <si>
    <t>1430.                                                                                                                                   </t>
  </si>
  <si>
    <t>De acuerdo con lo establecido en la sección 4.7 Infraestructura de Reversión Especial del Apéndice Técnico 1, la intersección Sameco tiene una intervención prevista de construcción. El mismo apéndice indica que en dicha intersección debe deprimirse la Autopista Simón Bolívar y muestra un esquema en el que no existe el puente que eleva la Avenida Tercera. Dado que la intersección Sameco hoy existe a desnivel con el puente que eleva la avenida tercera, sírvase por favor indicar si dentro del alcance previsto para esta intersección es necesario demoler dicho puente.</t>
  </si>
  <si>
    <t>Apéndice Técnico 1, sección 4.7 Infraestructura de reversión especial</t>
  </si>
  <si>
    <t>1431.                                                                                                                                   </t>
  </si>
  <si>
    <t>Sírvase por favor entregar el diseño correspondiente a la intervención de mejoramiento de las intersecciones indicadas en el apéndice técnico 1</t>
  </si>
  <si>
    <t>Apéndice Técnico 1, Informes de diseño geométrico</t>
  </si>
  <si>
    <t>1432.                                                                                                                                   </t>
  </si>
  <si>
    <t>1433.                                                                                                                                   </t>
  </si>
  <si>
    <t>Por favor aclarar el alcance de los sistemas de ITS e iluminación para las vías Herradura-Matapalo y Villa Rica Caloto.</t>
  </si>
  <si>
    <t>1434.                                                                                                                                   </t>
  </si>
  <si>
    <t>Por favor aclarar qué procedimiento se debe seguir para contar con la aprobación del trazado en tramos urbanos por parte de la autoridad municipal</t>
  </si>
  <si>
    <t>Apéndice Técnico 1, Sección 4.2 tabla 6, Sección 4.3 tabla 11, Sección 4.4 tabla 15, Sección 4.6 tabla 23, Sección 4.7 tabla 26 -</t>
  </si>
  <si>
    <t>1435.                                                                                                                                   </t>
  </si>
  <si>
    <t>En relación con las obras adicionales (factor de calidad): La Herradura - Matapalo y Villa Rica - Caloto, confirmar o no si éstas deben cumplir con las fajas determinadas en la Ley 1228 de 2008.</t>
  </si>
  <si>
    <t>1436.                                                                                                                                   </t>
  </si>
  <si>
    <t xml:space="preserve">Se requiere confirmar si los montos establecidos para el fortalecimiento comunitario y organizativo, de infraestructura comunitaria y fortalecimiento productivo son en pesos constantes de la fecha de acuerdo, para el caso de los tres concejos comunitarios (sólo se indica de esta forma para el acuerdo con el concejo de Cascajal de Dos Aguas). </t>
  </si>
  <si>
    <t>Apéndice Técnico 1, CAPITULO 9</t>
  </si>
  <si>
    <t>De esta forma solicitamos definir el valor de referencia de los acuerdos con las comunidades de San Isidro y del Guabal, así como el consejo comunitario de Bocas del Palo.</t>
  </si>
  <si>
    <t>De igual forma, se requiere saber cuál es la fecha de los acuerdos de las consultas previas.</t>
  </si>
  <si>
    <t>1437.                                                                                                                                   </t>
  </si>
  <si>
    <t>Solicitamos confirmar si durante la fase de estructuración del Proyecto se adelantaron ante el Ministerio de Interior - Dirección de Consulta Previa, las consultas correspondientes respecto a la existencia de comunidades étnicas en las comunidades en que se proyectan las obras de factores de calidad, es decir, la Herradura, Matapalo, Villa Rica y Caloto.</t>
  </si>
  <si>
    <t xml:space="preserve">En caso afirmativo por favor incluir en el cuarto de datos toda la información relacionada con este asunto. </t>
  </si>
  <si>
    <t>1438.                                                                                                                                   </t>
  </si>
  <si>
    <t>En el numeral 2.1. Servicios de Carácter Obligatorio, literal o) Pago de Peaje con tarjeta o telepeaje, sírvase aclarar quién asumiría el costo de la comisión por pago con este medio.</t>
  </si>
  <si>
    <t>1439.                                                                                                                                   </t>
  </si>
  <si>
    <t>¿Cuáles son los Indicadores que se evaluarán en Etapa Preoperativa?</t>
  </si>
  <si>
    <t>1440.                                                                                                                                   </t>
  </si>
  <si>
    <t>En caso de que se requiera una reparación mayor, los costos de traslado al taller estarán a cargo del Concesionario y el pago de peajes de salida del sistema vial correrá por cuenta del damnificado. Favor definir la distancia máxima a la cual debe trasladar el Concesionario el vehículo.</t>
  </si>
  <si>
    <t>1441.                                                                                                                                   </t>
  </si>
  <si>
    <t>Por favor sírvase confirmar si para cumplir con este requisito es suficiente pautar o contratar publicidad con las emisoras de mayor cobertura en la zona del proyecto.</t>
  </si>
  <si>
    <t>1442.                                                                                                                                   </t>
  </si>
  <si>
    <t>1443.                                                                                                                                   </t>
  </si>
  <si>
    <t>Sírvase informar el motivo por el cual se involucran temas de TÚNELES dentro del documento.</t>
  </si>
  <si>
    <t xml:space="preserve">Apéndice Técnico 2 </t>
  </si>
  <si>
    <t>1444.                                                                                                                                   </t>
  </si>
  <si>
    <t>Respecto a las Estaciones meteorológicas, éstas son exigidas para cada Estación de peaje, en este caso particular del proyecto, sabemos que existen estaciones que son unidireccionales y complementarias. Por lo anterior se solicita muy respetuosamente reconsiderar dicho requerimiento.</t>
  </si>
  <si>
    <t>1445.                                                                                                                                   </t>
  </si>
  <si>
    <t>Qué tipo de tarjeta prepago es la citada en el numeral 3.3.4.3. Tecnología de Cobro y Control del Tráfico (cobro semiautomático). ¿Quién asume el costo del lector por cada tipo de tarjeta prepago? ¿Y quién asume la comisión por dicho pago?</t>
  </si>
  <si>
    <t>1446.                                                                                                                                   </t>
  </si>
  <si>
    <t xml:space="preserve">Solicitamos indicar quién asume el pago por consulta al RUNT de lo siguiente: </t>
  </si>
  <si>
    <t>“(…) La imagen deberá permitir identificar, la naturaleza de la infracción en forma inequívoca, así como también los datos del vehículo infractor. Se debe cumplir con la Resolución 0718 del 22 de marzo de 2018 “por el cual se reglamentan los criterios técnicos para la instalación y operación de medios técnicos o tecnológicos para la detección de presuntas infracciones al tránsito y se dictan otras disposiciones (…)”.</t>
  </si>
  <si>
    <t>1447.                                                                                                                                   </t>
  </si>
  <si>
    <t>Favor aclarar si se trata de vehículos adicionales a los exigidos para las bases de operación.</t>
  </si>
  <si>
    <t>1448.                                                                                                                                   </t>
  </si>
  <si>
    <t xml:space="preserve"> ¿A qué normas se refiere este apartado?</t>
  </si>
  <si>
    <t>1449.                                                                                                                                   </t>
  </si>
  <si>
    <t>Apéndice Técnico 3, Capítulo II, Numeral 2.2, literal (a) (i)</t>
  </si>
  <si>
    <t>1450.                                                                                                                                   </t>
  </si>
  <si>
    <t>Al respecto, solicitamos que por favor se aclare la redacción de esta sección del Apéndice y se agregue la exigencia para las demás categorías de vehículos.</t>
  </si>
  <si>
    <t>1451.                                                                                                                                   </t>
  </si>
  <si>
    <t>Para el Indicador - O4 Tiempo de atención de incidentes, en la columna método de medida, favor aclarar el tiempo de despeje en etapa preoperativa para volúmenes superiores a 2000 m3.</t>
  </si>
  <si>
    <t>Se acoje su solicitud. En la tabla 3, del Apéndice Técnico 4, se la obligación referente a tiempos máximos de despeje en volúmenes de Material (&gt; 2000 m3) para la Etapa Preoperativa.</t>
  </si>
  <si>
    <t>1452.                                                                                                                                   </t>
  </si>
  <si>
    <t>La justificación deberá permitir el adecuado establecimiento de costos para control de la Subcuenta Redes, lo dispuesto en el Artículo 49  la Ley 1682 de 2013 y la verificación respecto a costos de mercado de la Sección 8.2 (d) de la Parte General, bajo estas condiciones el Concesionario deberá determinar en cuales actividades se justifican por las respuestas del prestador u operador pertinente según el Artículo 49 de la Ley 1682 de 2013, cuales por su complejidad o condiciones de mercado se justifican los precios unitarios con cotizaciones o estudios de mercado, y cuales por corresponder a actividades comunes de obra se justifican con precios unitarios que provienen de análisis desglosados o bases de datos de precios de mercado. Debe tenerse en cuenta que el seguimiento de actividades de la Sección 3.2.2(c)(ii) del Apéndice Técnico 5 exige los análisis de precios unitarios y su justificación.</t>
  </si>
  <si>
    <t>1453.                                                                                                                                   </t>
  </si>
  <si>
    <t>Apéndice Técnico 5, Sección 3.2.1, literal (e), romanos (ii), numeral (4)</t>
  </si>
  <si>
    <t>1454.                                                                                                                                   </t>
  </si>
  <si>
    <t>Apéndice Técnico 5, Sección 3.2.1, literal (e), romanos (ii), numeral (6)</t>
  </si>
  <si>
    <t>1455.                                                                                                                                   </t>
  </si>
  <si>
    <t>La aprobación de los planos As-Built por parte de las empresas titulares u operadoras de la red no es una condición definida por el Apéndice Técnico 5, sin embargo, se aclara al interesado que es una condición a tener en cuenta dentro de las obligaciones de las Gestiones con las empresas titulares de las Redes que trata la sección 3.2.1(d) del mismo Apéndice Técnico.</t>
  </si>
  <si>
    <t>Apéndice Técnico 5, Sección 3.2.2, literal (c), romanos (i)</t>
  </si>
  <si>
    <t>1456.                                                                                                                                   </t>
  </si>
  <si>
    <t>Según la información entregada por el Estructurador, no se encontraron interferencias con Redes de Hidrocarburos, no obstante, en la eventualidad de que se identifiquen este tipo de interferencias con el trazado de la Concesión durante la etapa de Inventario de Redes y sea necesario realizar traslados o intervenciones sobre dicha red, ¿dispondrá la ANI de profesionales expertos en materia de Redes de transportes de Hidrocarburos para que realicen las verificaciones correspondientes en materia de diseños y presupuestos asociados a dichas intervenciones?</t>
  </si>
  <si>
    <t>La ANI dispondrá de los recursos para cumplir las funciones asignadas a la ANI en las Secciones 3.2.1 y 3.2.2 del Apéndice Técnico 5, entendiéndose el carácter a título informativo del inventario preliminar de la identificación de Redes del Capítulo III del mismo Apéndice.</t>
  </si>
  <si>
    <t>Apéndice Técnico 5, Capítulo IV Redes Hidrocarburos</t>
  </si>
  <si>
    <t>1457.                                                                                                                                   </t>
  </si>
  <si>
    <t>Se aclara al interesado que las soluciones de interferencias sobre las Redes serán definidas en el Plan de Redes por su estrecha dependencia con los Estudios de Trazado y Diseño Geométrico y los Diseños de Detalle, así como con el proceso de gestión con el titular, gestor, administrador, prestador y/u operador de la red. Sin embargo se mantiene que el hecho generador es por causa o en ocasión de la Intervención. Ahora bien, según la definición del Contrato, la Intervención tal como estipula el Capítulo VI del Apéndice Técnico 1  "se entiende como Intervención toda Obra de Construcción, Mejoramiento Rehabilitación y/o Puesta a Punto, necesaria para el cumplimiento de las obligaciones del Concesionario", es decir que mientras la afección a las Redes no sea causada por la Intervención no se considera que se deban actualizar a normativas vigentes por cuanto la desactualización normativa no se considera por sí sola como Afectación o interferencia de las Redes.</t>
  </si>
  <si>
    <t>Apéndice Técnico 5, Sección 3.1, literal (a)</t>
  </si>
  <si>
    <t>En atención a lo anterior, en los tramos que serán objeto de intervención ¿se deben intervenir o "actualizar" aquellas redes existentes que no cumplan con la normatividad sectorial vigente, así éstas no se consideren como una interferencia?</t>
  </si>
  <si>
    <t>1458.                                                                                                                                   </t>
  </si>
  <si>
    <t>¿El proyecto contempla tramite de sustracción de áreas de reserva forestal?</t>
  </si>
  <si>
    <t>Apéndice Técnico 6</t>
  </si>
  <si>
    <t>1459.                                                                                                                                   </t>
  </si>
  <si>
    <t>¿En qué estado se encuentran las compensaciones forestales que fueron ejecutadas por parte del antiguo Concesionario?</t>
  </si>
  <si>
    <t>1460.                                                                                                                                   </t>
  </si>
  <si>
    <t>¿Cuál es el polígono presentado por la ANI y el estructurador al Ministerio del Interior para obtener la certificación de comunidades étnicas?</t>
  </si>
  <si>
    <t>1461.                                                                                                                                   </t>
  </si>
  <si>
    <t>En el Expediente MAVDT No. 3423, aparece pendiente la Construcción del puente sobre el río El Bolo, Construcción de 350 mts. de vía luego del puente El Bolo por falta de liberación de un predio que se encuentra en proceso de expropiación judicial. ¿en qué estado se encuentra la expropiación? ¿no se realizó entrega anticipada?</t>
  </si>
  <si>
    <t>1462.                                                                                                                                   </t>
  </si>
  <si>
    <t xml:space="preserve">De la documentación publicada en el SECOP I, se evidencia la existencia de licencias ambientales. No obstante, no es claro si la totalidad del proyecto se encuentra licenciada o no. Favor confirmar. </t>
  </si>
  <si>
    <t>1463.                                                                                                                                   </t>
  </si>
  <si>
    <t>En el Apéndice Ambiental se establece que los predios para efectuar las compensaciones ambientales deberán surtir los procedimientos del Apéndice Técnico Predial previstos en el contrato de concesión, aclarando que los valores del costo del predio, la escrituración, el registro y los derechos notariales estarán a cargo de la subcuenta de compensaciones ambientales. Lo demás será parte de la gestión predial que está a cargo, costo y riesgo del Concesionario. ¿Qué pasa si no se llega a un acuerdo con el propietario del predio de compensación? ¿la ANI tendrá la facultad de expropiarlos?</t>
  </si>
  <si>
    <t>1464.                                                                                                                                   </t>
  </si>
  <si>
    <t>En el expediente MAVDT No. 1015 aparece pendiente la Construcción de Puente Peatonal Aguazul (Consulta Previa Villarrica) - En Ejecución. ¿En qué estado se encuentra esta obra? ¿La misma es producto de un acuerdo de consulta previa?</t>
  </si>
  <si>
    <t>El puente peatonal Aguazul se encuentra actualmente en construcción, para permitir que  la construcción no interfiera con la Entrega de Infraestructura se incluyeron condiciones específicas en la Parte Especial Sección 3.6. Se confirma el entendimiento acerca que proviene de acuerdos de consulta previa.</t>
  </si>
  <si>
    <t>1465.                                                                                                                                   </t>
  </si>
  <si>
    <t>1466.                                                                                                                                   </t>
  </si>
  <si>
    <t>1467.                                                                                                                                   </t>
  </si>
  <si>
    <t>1468.                                                                                                                                   </t>
  </si>
  <si>
    <t xml:space="preserve">Respecto a la Resolución 0747 del 10 de septiembre de 1999 y Resolución 1025 de 2000, resaltamos que el tramo Buga – Medicanoa, y la doble calzada variante Yumbo, NO hacen parte de la nueva Malla vial del Valle del Cauca. Teniendo en cuenta lo anterior, no es posible ceder al Concesionario esta licencia por lo que solicitamos que esta licencia se cierre con el titular. </t>
  </si>
  <si>
    <t>1469.                                                                                                                                   </t>
  </si>
  <si>
    <t>Con referencia al Alcance definido en el contrato; ¿Cuál es el procedimiento para definir el alcance y las especificaciones de ejecución y entrega, en los sitios donde se superpone con otras concesiones u obras desarrolladas por otras entidades?</t>
  </si>
  <si>
    <t xml:space="preserve">Se aclara al interesado que el alcance no incluye superposiciones con otros proyectos excepto las  condiciones transitorias definidas en la Entrega de la Infraestructura en la Sección 3.6 de la Parte Especial, en la que se fijan plazos máximos y los procedimientos de exclusión de tramos, si llegaren a necesitarse. </t>
  </si>
  <si>
    <t>Condiciones Generales</t>
  </si>
  <si>
    <t>1470.                                                                                                                                   </t>
  </si>
  <si>
    <t>Con referencia a las fases y tiempos de ejecución mencionados en el contrato, durante la Preconstrucción indicada en 12 meses para todas las unidades funcionales, consideramos que particularmente, para la UF3 y UF4 las cuales contienen construcciones de considerable magnitud la Preconstrucción termina siendo corta teniendo en cuenta que el alcance constituye, estudios, diseños, licencias y permisos de carácter técnico y socio-ambiental. ¿Es posible que la Entidad considere ampliar los plazos definidos para la Fase de Preconstrucción teniendo en cuenta la complejidad de cada Unidad Funcional?</t>
  </si>
  <si>
    <t>1471.                                                                                                                                   </t>
  </si>
  <si>
    <t>Se mencionan convenios Intermunicipales entre entidades y el adjudicatario respecto a temas de conveniencia del contrato, ejemplo CVC, Alcaldía de Cali y otras. Sin embargo, el alcance del proyecto muestra obras planificadas más allá del límite departamental (departamento del Cauca), ¿Dentro de la oferta deberá preverse la relación con las entidades de esos departamentos?</t>
  </si>
  <si>
    <t>El proyecto en efecto incluye parte del alcance en el departamento del Cauca tanto en el alcance obligatorio como en el Factor de Calidad, lo cual deberá ser tenido en cuenta por el Concesionario en el cumplimiento de la normativa local.</t>
  </si>
  <si>
    <t>1472.                                                                                                                                   </t>
  </si>
  <si>
    <t>Respecto al recaudo y acumulación, se indica que el recaudo se hará de acuerdo a las Unidades Funcionales; como ejemplo, para el caso particular de la UF3, la cual constituye un sector de vía donde se realizarán obras nuevas que no cuentan con peajes específicos ni con tráfico, el contrato estipula que el recaudo se hará desde el inicio del proyecto. ¿De qué manera se realizará los recaudos de las UF que no tengan peajes ni tránsito de vehículos hasta finalizar las obras?</t>
  </si>
  <si>
    <t xml:space="preserve">Claramente  existen unidades funcionales que no cuentan con estaciones de peaje, por lo que no se podrá realizar el recaudo. Esto no quiere decir que el Concesionario no tenga derecho a la retribución, una vez suscriba el Acta de Terminación Parcial de Unidad Funcional y/o Acta de Terminación de Unidad Funcional </t>
  </si>
  <si>
    <t>Howden Wacolda S.A. Corredores de Seguros, 15/05/2020</t>
  </si>
  <si>
    <t xml:space="preserve">AGENCIA NACIONAL DE INFRAESTRUCTURA (ANI):  PÓLIZA DE SEGURO DE OBRAS CIVILES. </t>
  </si>
  <si>
    <t>39._af_poliza_de_seguros_obras_civiles.pdf</t>
  </si>
  <si>
    <t>Seguros requeridos</t>
  </si>
  <si>
    <t xml:space="preserve">Esta sección del contrato dispone el clausulado de la póliza que deberá presentar el Concesionario para amparar debidamente los bienes existentes y las obras a realizar durante la ejecución del proyecto. </t>
  </si>
  <si>
    <t xml:space="preserve">Teniendo en cuenta que es interés del Concesionario proteger de la mejor forma posible los activos existentes y los que se construyan, se considera necesario contar con la cobertura más amplia posible que pueda ofrecer el mercado asegurador. Por lo anterior, se proponen algunas modificaciones en favor de los ASEGURADOS, a las siguientes cláusulas de esta póliza: </t>
  </si>
  <si>
    <t>Póliza de Seguro de obras civiles</t>
  </si>
  <si>
    <t>1474.            </t>
  </si>
  <si>
    <t>SECCIÓN I – AMPARO DE OBRAS CIVILES Y OTROS BIENES EXISTENTES ASEGURADOS POR ESTA SECCIÓN.</t>
  </si>
  <si>
    <t xml:space="preserve">39._af_poliza_de_seguros_obras_civiles.pdf </t>
  </si>
  <si>
    <t xml:space="preserve">este seguro cubre los daños o pérdidas materiales de los bienes asegurados, descritos en la carátula de la póliza para la presente sección, causados directamente por los eventos que se describen a continuación: </t>
  </si>
  <si>
    <t xml:space="preserve">1.1. Incendio, humo, hollín, gases, líquidos o polvos corrosivos que sean consecuencia de incendio, impacto de rayo, explosión, colisión de vehículos terrestres o embarcaciones acuáticas.  </t>
  </si>
  <si>
    <t>Sección I. Amparo de obras civiles y otros bienes existentes asegurados por esta sección</t>
  </si>
  <si>
    <t xml:space="preserve">1.2. Caída de aviones u otras naves aéreas, caída de objetos de los mismos y en general caída de objetos del aire. </t>
  </si>
  <si>
    <t xml:space="preserve">1.3. Terremoto, temblor, maremoto, tsunami y/o erupción volcánica. </t>
  </si>
  <si>
    <t xml:space="preserve">1.4. Avenida, inundación, desbordamiento, alza en el nivel de las aguas, enfangamiento, tempestad, huracán, ciclón, tifón, vientos con velocidad superior a 25 km/h, heladas, hielo. </t>
  </si>
  <si>
    <t xml:space="preserve">1.5. Acción de las olas o de aguas. </t>
  </si>
  <si>
    <t xml:space="preserve">1.6. Hundimiento o deslizamiento del terreno, aludes, derrumbes y desprendimiento de tierra y rocas. </t>
  </si>
  <si>
    <t xml:space="preserve">1.7. Exclusivamente para los bienes declarados en el valor asegurado de otros bienes existentes de la sección i de la carátula de la póliza, diferentes de las obras civiles existentes, otros accidentes que no estén expresamente excluidos en la sección v, que sufran dichos otros bienes existentes. </t>
  </si>
  <si>
    <t>En cuanto a los eventos previstos en los numerales 1.3 y 1.4, si varios de estos ocurren dentro de cualquier período de 72 horas consecutivas, se tendrán como un solo siniestro y las pérdidas o daños que se causen deberán estar comprendidos en una sola reclamación, sin exceder del total de la suma asegurada.</t>
  </si>
  <si>
    <t xml:space="preserve">HOWDEN WACOLDA S.A CORREDORES DE SEGUROS: </t>
  </si>
  <si>
    <t xml:space="preserve">Teniendo en cuenta que la estructura del amparo de la póliza requerida por la ANI es de “Riesgos Nombrados”, se propone modificar el amparo básico de esta Sección I de la póliza por la siguiente cláusula, convirtiendo la cobertura en TODO RIESGO con exclusiones, lo que representa una gran ventaja en el momento del reconocimiento de un siniestro y su correspondiente indemnización por parte de la Aseguradora. </t>
  </si>
  <si>
    <t xml:space="preserve">AMPARO BÁSICO  </t>
  </si>
  <si>
    <t>La aseguradora indemnizará al tomador o asegurado, con sujeción a los términos, condiciones y límites de valor asegurado los daños materiales que sufran los bienes asegurados, como consecuencia directa de cualquier riesgo no excluido en las condiciones de la póliza ocurridos durante la vigencia de esta.</t>
  </si>
  <si>
    <t>1475.            </t>
  </si>
  <si>
    <t xml:space="preserve">AGENCIA NACIONAL DE INFRAESTRUCTURA (ANI):  PÓLIZA DE SEGURO DE OBRAS CIVILES </t>
  </si>
  <si>
    <t>SECCIÓN II – AMPARO DE CONSTRUCCIÓN, REPARACIÓN, REHABILITACIÓN Y/O MEJORAMIENTO.</t>
  </si>
  <si>
    <t>Este seguro cubre los daños o pérdidas materiales a los bienes asegurados, descritos en la carátula de la póliza para la presente sección, causados directamente por los eventos que se relacionan a continuación y que ocurran durante la construcción, reparación, rehabilitación y/o mejoramiento, según corresponda de acuerdo con los términos del contrato.</t>
  </si>
  <si>
    <t>1.    “AMPARO A” – BÁSICO DAÑOS MATERALES.</t>
  </si>
  <si>
    <t>SECCION II. Amparo de construcción, Reparación, Rehabilitación y/o mejoramiento</t>
  </si>
  <si>
    <t xml:space="preserve">1.1.  Hurto calificado y los daños que se causen a los bienes asegurados como consecuencia directa de su tentativa. </t>
  </si>
  <si>
    <t xml:space="preserve">1.2.  Incendio, impacto de rayo, explosión, colisión de vehículos terrestres o embarcaciones acuáticas.  </t>
  </si>
  <si>
    <t xml:space="preserve">1.3.  Corto circuito, arco voltaico, así como la acción de la electricidad atmosférica. </t>
  </si>
  <si>
    <t xml:space="preserve">1.4.  Caída de aviones u otras naves aéreas, caída de objetos de los mismos y en   general caída de objetos del aire. </t>
  </si>
  <si>
    <t xml:space="preserve">1.5.  Pérdidas o daños debidos a cálculo o diseño erróneo hasta el límite especificado en la carátula de la presente póliza. </t>
  </si>
  <si>
    <t xml:space="preserve">1.6.  Otros daños que sufran los bienes asegurados durante la construcción o reparación, que no estén expresamente excluidos en la sección v. </t>
  </si>
  <si>
    <t xml:space="preserve">HOWDEN WACOLDA S.A. CORREDORES DE SEGUROS: </t>
  </si>
  <si>
    <t>Teniendo en cuenta que la estructura del amparo de la póliza requerida por la ANI hace referencia únicamente a los daños materiales de los Riesgos enumerados o nombrados, se propone modificar la redacción del amparo básico de esta Sección II de la póliza por la siguiente cláusula, convirtiendo la cobertura en TODO RIESGO con exclusiones, lo que representa una gran ventaja en el momento del reconocimiento de un siniestro y su correspondiente indemnización por parte de la Aseguradora. Adicionalmente la cobertura se extiende a amparar los bienes que se encuentren fuera del sitio de manera temporal, lo que complementa la cobertura de una manera muy apropiada</t>
  </si>
  <si>
    <t xml:space="preserve">AMPARO BÁSICO: </t>
  </si>
  <si>
    <t xml:space="preserve">La aseguradora indemnizará al asegurado con respecto a la pérdida física o daño (en adelante el "daño") a cualquier propiedad asegurada descrita en el Listado de Condiciones, que se produzca durante el período del seguro como consecuencia de cualquier causa que no esté excluida mientras que: </t>
  </si>
  <si>
    <t>(a)       Esté en el sitio conforme se define en la carátula de la póliza.</t>
  </si>
  <si>
    <t>(b)       Esté temporalmente fuera del sitio o se haya quitado temporalmente del sitio para cualquier fin (incluyendo cualquier carga, tránsito o descarga inherente).</t>
  </si>
  <si>
    <t>Sin perjuicio de (a) y (b) anteriores, esta sección de la póliza no se aplicará en el caso de que se haya convenido una póliza o certificado de seguro de transportes más específico en relación con el tránsito, carga o descarga de los materiales y equipos para incorporación en el proyecto o cuando la propiedad asegurada se haya adquirido en la modalidad "Entregada con derechos pagados", donde el fabricante y/o proveedor es responsable de dicha propiedad asegurada hasta la entrega en el sitio.</t>
  </si>
  <si>
    <t>La responsabilidad de la aseguradora no superará la suma asegurada establecida en la carátula de la póliza, además de lo que se estipule específicamente en los memorandos que forman parte de esta sección.</t>
  </si>
  <si>
    <t>1476.            </t>
  </si>
  <si>
    <t xml:space="preserve">2.1. REMOCIÓN DE ESCOMBROS </t>
  </si>
  <si>
    <t xml:space="preserve">2.1.2 PARA LA SECCIÓN II: CONDICIONES ESPECIALES RELATIVAS A DERRUMBES Y AZOLVES. </t>
  </si>
  <si>
    <t xml:space="preserve">La aseguradora no indemnizará a el asegurado respecto a: </t>
  </si>
  <si>
    <t xml:space="preserve">Numeral 2.1.2. Sección II: Condiciones Especiales relativas a derrumbes y azolves. </t>
  </si>
  <si>
    <t>A)     Los gastos por concepto de remoción de escombros como consecuencia de corrimiento de tierras, si dichos gastos sobrepasan los gastos originales a desembolsar para los trabajos de movimiento de tierras, dentro del área afectada por tales corrimientos de tierras;</t>
  </si>
  <si>
    <t xml:space="preserve">B)     Gastos por concepto de remoción de derrumbes, cualquiera sea su causa, cuyo origen se encuentre fuera de los límites del área de construcción. dichos límites están dados por la proyección vertical de la intersección de las líneas de proyecto de los taludes con el terreno natural. si un derrumbe tiene su origen parcialmente fuera de los límites antes mencionados, la indemnización se verá restringida a aquella parte del derrumbe cuyo origen se encuentre dentro de dichos límites. </t>
  </si>
  <si>
    <t xml:space="preserve">C)     Gastos por concepto de reparación de taludes erosionados, o cualesquiera otras superficies niveladas, si el asegurado no ha tomado las medidas necesarias o bien no las ha tomado a tiempo. </t>
  </si>
  <si>
    <t xml:space="preserve">D)     Gastos por concepto de remoción de azolves y materiales extraños en trincheras y alcantarillas. </t>
  </si>
  <si>
    <t xml:space="preserve">E)     pérdida o daño, cuya causa sea que el asegurado haya omitido la remoción inmediata de las obstrucciones como arena, azolve y materiales extraños en los cauces. </t>
  </si>
  <si>
    <t xml:space="preserve">F)     gastos por concepto de remoción de acumulaciones de arenas y nieves. </t>
  </si>
  <si>
    <t xml:space="preserve">G)    gastos por concepto de impermeabilización y drenes adicionales para la descarga de aguas de lluvia y/o aguas subterráneas. </t>
  </si>
  <si>
    <t xml:space="preserve">H)     pérdida o daño causados por diseño incorrecto, especialmente el que se cause por diseño inadecuado de taludes y por insuficiencia o ausencia de muros de contención, drenes, alcantarillas y/o de la coherencia entre el relleno y del terreno natural. </t>
  </si>
  <si>
    <t xml:space="preserve">Se propone eliminar estas exclusiones de la Sección II de la póliza relativas al amparo de Remoción de Escombros, teniendo en cuenta que limitan la cobertura para estos eventos que pueden ser frecuentes en la construcción de este tipo de obras. </t>
  </si>
  <si>
    <t>1477.            </t>
  </si>
  <si>
    <t>SECCIÓN V – EXCLUSIONES</t>
  </si>
  <si>
    <t>1.      EXCLUSIONES GENERALES</t>
  </si>
  <si>
    <t xml:space="preserve">L)  Desplazamientos y asentamientos de las obras existentes y/o en construcción o reparación, que no sean consecuencia de los riesgos cubiertos.  </t>
  </si>
  <si>
    <t>SECCIÓN V. Exclusiones.  Numeral 1.</t>
  </si>
  <si>
    <t>N) Las órdenes de autoridad, salvo aquellas dirigidas a evitar la propagación del siniestro.</t>
  </si>
  <si>
    <t>Literales L,N,P</t>
  </si>
  <si>
    <t>P)  Salvo por lo dispuesto en la sección vi, numeral 11.1, los gastos de una reparación provisional y los daños ocasionados a los bienes asegurados o a otros bienes fueren o no objeto de la reparación provisional efectuada. El asegurado tendrá la obligación de notificar a la aseguradora cualquier reparación provisional, indicando todos los detalles.  si según la opinión de la aseguradora la reparación provisional representa una agravación esencial del riesgo, ella estará facultada para suspender el seguro de la unidad afectada en su totalidad.</t>
  </si>
  <si>
    <t>HOWDEN WACOLDA S.A. CORREDORES DE SEGURO:</t>
  </si>
  <si>
    <t xml:space="preserve">Solicitamos eliminar estas exclusiones, teniendo en cuenta lo siguiente: </t>
  </si>
  <si>
    <t>·         Estamos sugiriendo una póliza modalidad Todo Riesgo, y por lo tanto consideramos que la exclusión L, limita la cobertura.</t>
  </si>
  <si>
    <t xml:space="preserve">·         En la exclusión N, encontramos que las órdenes de autoridad podrían ocasionar un sinestro amparado por la póliza, por lo tanto, no es razonable excluirla. </t>
  </si>
  <si>
    <t>·         Las reparaciones provisionales deberían estar amparadas bajo las condiciones de la póliza. (Exclusión P)</t>
  </si>
  <si>
    <t>1478.            </t>
  </si>
  <si>
    <t>2.      EXCLUSIONES ADICIONALES PARA LA SECCIÓN II - COBERTURA DE CONSTRUCCIÓN, REPARACIÓN, REHABILITAMIENTO Y/O MEJORAMIENTO</t>
  </si>
  <si>
    <t>A.    Pérdidas o daños provenientes de o agravados por desviaciones en el cronograma de construcción.</t>
  </si>
  <si>
    <t>B.    Daños sufridos durante el transporte de los bienes al sitio de construcción, o durante las operaciones de cargue, descargue o transbordo de los mismos, aun cuando tales daños sean advertidos posteriormente.</t>
  </si>
  <si>
    <t>SECCIÓN V Numeral 2. Cobertura de construcción, Reparación, Rehabilitación y/o mejoramiento</t>
  </si>
  <si>
    <t>-       Se propone eliminar la exclusión B. de las Exclusiones Adicionales de la Sección II de la póliza, teniendo en cuenta que se propone incluirlos como parte del Amparo Básico de la póliza e incluir la cláusula 50/50. (ver clausulas propuestas, punto 11)</t>
  </si>
  <si>
    <t>1479.            </t>
  </si>
  <si>
    <t>11. INDEMNIZACIÓN</t>
  </si>
  <si>
    <t>….. LA ASEGURADORA, a solicitud de EL ASEGURADO, puede reajustar las sumas aseguradas reducidas, contra el acuerdo de pago a prorrata por parte de EL ASEGURADO de la prima adicional respectiva. Si la póliza comprendiere varios incisos, la reducción o reajuste se aplicará al inciso o incisos afectados.</t>
  </si>
  <si>
    <t>HOWDEN WACOLDA S.A. CORREDORES DE SEGUROS:</t>
  </si>
  <si>
    <t>SECCION VI - CONDICIONES GENERALES Numeral 11. Indemnización</t>
  </si>
  <si>
    <t>Se propone modificar esta parte del texto de la cláusula 11. INDEMIZACIÓN, para contar un límite de restablecimiento de valor asegurado, bajo el cual no sea necesario pagar una prima adicional y evitar así mayor operatividad administrativa en la póliza:</t>
  </si>
  <si>
    <t>Sin perjuicio de cualquier pago que se haga por daños según lo estipulado en este documento, la suma asegurada para esta sección se restituirá automáticamente respecto de las sumas que aparecen en el Listado de Condiciones. Solo en el caso de que algún evento supere los USD X.000.000, el asegurado pagará a la aseguradora una prima prorrateada aplicada al monto de dicho daño a fin de restituir la suma asegurada conforme a las sumas que aparecen en el Listado de Condiciones.</t>
  </si>
  <si>
    <t>1480.            </t>
  </si>
  <si>
    <t>13. SEGURO INSUFICIENTE</t>
  </si>
  <si>
    <t>Si al ocurrir cualquier pérdida o daño amparado y el valor asegurable en dicho momento es superior a la suma asegurada bajo la presente póliza, EL ASEGURADO será considerado como su propio asegurador por la diferencia y, por tanto, soportará la parte proporcional a su cargo de los perjuicios y daños.</t>
  </si>
  <si>
    <t>SECCION VI - CONDICIONES GENERALES</t>
  </si>
  <si>
    <t xml:space="preserve">Se propone eliminar esta condición de la póliza sujeta a que los valores asegurados se estipulen bajo la modalidad de avalúo y ajuste anual con el IPC. De esta forma tanto el Asegurado como la Aseguradora están protegidos contra las variaciones en la Suma Asegurada. </t>
  </si>
  <si>
    <t>Numeral 13. Seguro Insuficiente</t>
  </si>
  <si>
    <t xml:space="preserve">Art 1102 Co.Co. No hallándose asegurado el íntegro del valor del interés, el asegurador solo estará obligado a indemnizar el daño a prorrata entre la cantidad asegurada y la que no lo esté. </t>
  </si>
  <si>
    <t xml:space="preserve">Sin embargo, las partes podrán estipular que el asegurado no soportará parte alguna de la pérdida o deterioro sino en el caso de que el monto de éstos exceda de la suma asegurada. </t>
  </si>
  <si>
    <t>1481.            </t>
  </si>
  <si>
    <t xml:space="preserve">12- Endoso 121.  Condiciones Especiales para Cimentaciones por Pilotaje y Tablestacados para Fosas de Obras </t>
  </si>
  <si>
    <t xml:space="preserve">Queda entendido y convenido que, sujeto a los términos, exclusiones, cláusulas y condiciones contenidos en la póliza o en ella endosados, LA ASEGURADORA no indemnizarán a EL ASEGURADO los costes desembolsados: </t>
  </si>
  <si>
    <t xml:space="preserve">ENDOSOS </t>
  </si>
  <si>
    <t>1.    para reponer o restituir los pilotos o elementos de tablestacados</t>
  </si>
  <si>
    <t>Numeral 12.</t>
  </si>
  <si>
    <t>a.      que se hayan desplazado, desalineado o ladeado durante la construcción,</t>
  </si>
  <si>
    <t xml:space="preserve">b.      que se hayan hecho inservibles, abandonado o dañado durante el proceso de hincado o   extracción, </t>
  </si>
  <si>
    <t xml:space="preserve">c.      que ya no puedan seguir utilizándose a causa de equipos de hincado o entubados encajados; </t>
  </si>
  <si>
    <t xml:space="preserve">2.    para la restitución de uniones de tablestacados desembragadas o no efectuadas; </t>
  </si>
  <si>
    <t xml:space="preserve">3.    para subsanar fugas o la infiltración de toda clase de materiales; </t>
  </si>
  <si>
    <t xml:space="preserve">4.    para el relleno de huecos o la reposición de pérdidas de bentonita; </t>
  </si>
  <si>
    <t xml:space="preserve">5.    por el hecho de que los pilares o elementos de fundación no hayan resistido a la capacidad de carga o no hayan alcanzado la capacidad de carga exigida según el diseño; </t>
  </si>
  <si>
    <t xml:space="preserve">6.    para restituir los perfiles o dimensiones. </t>
  </si>
  <si>
    <t xml:space="preserve">Este endoso no tendrá aplicación para pérdidas o daños causados por fuerzas de la naturaleza. Incumbe a EL ASEGURADO aportar la prueba de que tales pérdidas o daños estén amparados por la póliza. </t>
  </si>
  <si>
    <t xml:space="preserve">Se propone reemplazar el texto de la cláusula, considerando que se puede obtenerse una condición menos restrictiva para el Asegurado: </t>
  </si>
  <si>
    <t xml:space="preserve">12. Endoso 121. Condiciones Especiales para Cimentaciones por Pilotaje y Tablestacados para Fosas de Obras </t>
  </si>
  <si>
    <t xml:space="preserve">1.    Por pérdida o daño a pilotes y/o revestimientos debido a colocación errónea, atascamiento y/o extracción de los mismos. </t>
  </si>
  <si>
    <t>2.    En que se incurra en caso de abandono de obras de colocación de pilotes.</t>
  </si>
  <si>
    <t>3.    En que se incurra para rectificar pilotes sin daño que se hayan desviado debido a movimientos del suelo.</t>
  </si>
  <si>
    <t>4.    Con respecto a los pilotes que no hayan pasado una prueba de carga o hayan alcanzado la carga de apoyo necesaria a menos que dicha falla sea una consecuencia directa de otro daño indemnizable.</t>
  </si>
  <si>
    <t>Con respecto a los pilotes que no hayan pasado una prueba de carga o hayan alcanzado la carga de apoyo necesaria a menos que dicha falla sea una consecuencia directa de otro daño indemnizable.</t>
  </si>
  <si>
    <t>-        </t>
  </si>
  <si>
    <t>1482.            </t>
  </si>
  <si>
    <t xml:space="preserve">1.    ASEGURADO: Se denominarán colectivamente como ASEGURADO:  </t>
  </si>
  <si>
    <t>a) Nombre: AGENCIA NACIONAL DE INFRAESTRUCTURA ANI</t>
  </si>
  <si>
    <t>CARATULA</t>
  </si>
  <si>
    <t xml:space="preserve">a) BENEFICIARIO: AGENCIA NACIONAL DE </t>
  </si>
  <si>
    <t>INFRAESTRUCTURA ANI Y/O CONCESIONARIO O CONTRATISTAS Y SUBCONTRATISTAS.</t>
  </si>
  <si>
    <t xml:space="preserve">Teniendo en cuenta que se trata de un proyecto financiado “project finance”, que puede ser bancarizado mediante un esquema de ingresos futuros de la concesión, se solicita que los asegurados y beneficiarios se modifiquen de la siguiente forma: </t>
  </si>
  <si>
    <t>AGENCIA NACIONAL DE INFRAESTRUCTURA ANI en caso de tener interés asegurable.</t>
  </si>
  <si>
    <t>1483.            </t>
  </si>
  <si>
    <t xml:space="preserve">Adicionalmente se considera necesario incorporar a la póliza las siguientes cláusulas como condiciones particulares, las cuales complementan el alcance de la cobertura para este tipo de obras: </t>
  </si>
  <si>
    <t>Cláusula Particular 1. Paralización de obras</t>
  </si>
  <si>
    <t>ANEXOS</t>
  </si>
  <si>
    <t>La cobertura permanecerá en lugar hasta XX semanas, en el evento de una paralización total de las obras. La aseguradora tendrá el derecho de revisar la prima de este seguro en caso de paralización total de las obras y si dicha paralización total supera las XX semanas.</t>
  </si>
  <si>
    <t xml:space="preserve">Cláusula Particular 2. Cláusula 50/50 </t>
  </si>
  <si>
    <t>Cuando el asegurado haya estado cubierto por un seguro aparte por transporte, se acepta que en caso de daño a la propiedad asegurada que se descubra después de que el riesgo haya terminado conforme al seguro de transporte y, si después de una investigación apropiada no es posible determinar si la causa de dicho daño ocurrió antes del término de la operación marítima o después, se entiende y se acepta a través del presente documento que la aseguradora aportará el 50 % del siniestro reajustado adecuadamente siempre que la o las aseguradoras de transportes también acepten aportar el 50 % del siniestro, donde dicho aporte será sin perjuicio de un posterior prorrateo final del siniestro que se pueda acordar en el presente documento entre la aseguradora y la o las aseguradoras de transportes sobre la base de los términos y condiciones de los respectivos seguros.</t>
  </si>
  <si>
    <t>Además, se acepta que, en caso de que el deducible conforme a este seguro sea diferente del deducible de la póliza de seguro de transportes, para liquidar los siniestros que se describen más arriba, cada aseguradora descontará un 50% de su deducible correspondiente a su 50% de participación en el siniestro ajustado.</t>
  </si>
  <si>
    <t>Cláusula Particular 3. Cláusula de incremento de 120%</t>
  </si>
  <si>
    <t>Si en algún momento durante el período del seguro, el valor calculado final del proyecto supera la suma del valor final calculado originalmente (incluyendo cualquier pedido de modificación) al inicio, entonces el importe establecido como la suma asegurada conforme a esta sección aumentará de igual manera, pero se limitará al 120% del valor calculado final del proyecto a menos que la aseguradora acuerde otra cosa.</t>
  </si>
  <si>
    <t>Cláusula Particular 4. Costos de nuevas pruebas</t>
  </si>
  <si>
    <t>Si, en caso de un daño indemnizable, se hace necesario repetir cualquier operación de prueba en frío, prueba en caliente, puesta en marcha, pruebas de rendimiento u operaciones de ejecución o pruebas operativas previas a la fase comercial, el seguro de esta sección incluye (además de la suma asegurada) aquellos costos adicionales en que incurra el asegurado.</t>
  </si>
  <si>
    <t>1484.            </t>
  </si>
  <si>
    <t>3.    EXCLUSIONES ADICIONALES PARA LA SECCIÓN II - COBERTURA DE CONSTRUCCIÓN, REPARACIÓN, REHABILITAMIENTO Y/O MEJORAMIENTO</t>
  </si>
  <si>
    <t>SECCION II</t>
  </si>
  <si>
    <t>C) COSTO DE REEMPLAZO, REPARACIÓN O RECTIFICACIÓN DE PÉRDIDAS O DAÑOSEN PARTES A CONSECUENCIA DE VICIOS DE MATERIAL, MANO DE OBRA DEFECTUOSA Y/O ERRORES EN EL CÁLCULO O DISEÑO. SIN EMBARGO, ESTA EXCLUSIÓN ESTÁ LIMITADA A LOS BIENES INMEDIATAMENTE AFECTADOS Y NO TENDRÁ APLICACIÓN PARA DAÑOS O PÉRDIDAS EN PARTES IMPECABLEMENTE EJECUTADAS, A CONSECUENCIA DE UN EVENTO ACCIDENTAL DEBIDO A VICIOS DE MATERIAL, MANO DE OBRA DEFECTUOSA Y/O ERRORES EN EL CÁLCULO O DISEÑO.</t>
  </si>
  <si>
    <t xml:space="preserve">Numeral 3 </t>
  </si>
  <si>
    <t>EXCLUIOSNES ADICIONALES PARA LA SECCION II</t>
  </si>
  <si>
    <t xml:space="preserve">Esta exclusión referente a los Errores de Diseño (conocida en el mercado asegurador como LEG 2) puede ser complementada, mediante un límite adicional con la condición conocida como LEG 3, que cubre además los bienes inmediatamente afectados. </t>
  </si>
  <si>
    <t>Literal C)</t>
  </si>
  <si>
    <t xml:space="preserve">Solicitamos permitir la inclusión en la póliza de las dos condiciones LEG 2 y LEG 3 con sublímites separados. </t>
  </si>
  <si>
    <t>1485.            </t>
  </si>
  <si>
    <t xml:space="preserve">AGENCIA NACIONAL DE INFRAESTRUCTURA (ANI) PÓLIZA DE SEGURO DE RESPONSABILIDAD CIVIL EXTRACONTRACTUAL </t>
  </si>
  <si>
    <t>40._af_responsabilidad_Civil_extracontractual.pdf</t>
  </si>
  <si>
    <t xml:space="preserve">Esta sección del contrato dispone el clausulado de la póliza que deberá presentar el Concesionario para amparar debidamente la Responsabilidad Civil Extracontractual derivada de las obras a realizar durante la ejecución del proyecto. </t>
  </si>
  <si>
    <t>Póliza de Responsabilidad Civil Extracontractual</t>
  </si>
  <si>
    <t>Se sugiere modificar algunas condiciones del clausulado de esta póliza, con el fin de tener una cobertura más amplia de acuerdo con las condiciones del mercado asegurado. Estas modificaciones permiten disminuir el riesgo de reclamaciones ante la ANI por parte de terceros afectados.</t>
  </si>
  <si>
    <t>1486.            </t>
  </si>
  <si>
    <t xml:space="preserve">ASEGURADO PRINCIPAL: (CONTRATISTA) </t>
  </si>
  <si>
    <t xml:space="preserve">Teniendo en cuenta que las obras se realizarán mediante un contrato EPC y este contrato a su vez involucrará a los contratistas y subcontratistas   para la ejecución de las obras y considerando que en primera instancia están expuestos a los riesgos cubiertos por la póliza, se propone que el asegurado principal sea modificado de la siguiente forma:  </t>
  </si>
  <si>
    <t>1487.            </t>
  </si>
  <si>
    <t>EXCLUSIONES</t>
  </si>
  <si>
    <t>14. Daños a, o desaparición, o hurto de bienes ajenos que el asegurado tenga bajo su control, cuidado o custodia.</t>
  </si>
  <si>
    <t>Numerales14 y 32</t>
  </si>
  <si>
    <t xml:space="preserve">SECCION V – Anexos </t>
  </si>
  <si>
    <t xml:space="preserve">1. Bienes bajo tenencia, cuidado y control </t>
  </si>
  <si>
    <t>Se solicita eliminar la exclusión 32 debido a que es redundante con la exclusión 14.</t>
  </si>
  <si>
    <t>Se sugiere para dar mayor claridad al texto, en la cobertura de la sección V Anexos, reemplazar la expresión “originados en” por la expresión “causados por”</t>
  </si>
  <si>
    <t>1488.            </t>
  </si>
  <si>
    <t>1.   PREDIOS, LABORES Y OPERACIONES (PLO)</t>
  </si>
  <si>
    <t>1.11 EL USO DE PARQUEADEROS DENTRO DE LOS PREDIOS RELACIONADOS POR EL ASEGURADO.</t>
  </si>
  <si>
    <t>SECCION I</t>
  </si>
  <si>
    <t>AMPAROS</t>
  </si>
  <si>
    <t>PREDIOS, LABORES Y OPERACIONES</t>
  </si>
  <si>
    <t>El alcance de la cobertura no debe limitarse a una información previa de los predios relacionados, toda vez, que la construcción es dinámica y los parqueaderos serán movidos según la evolución del proyecto.</t>
  </si>
  <si>
    <t>Numeral 1.11</t>
  </si>
  <si>
    <t xml:space="preserve">Se propone reemplazar la palabra “relacionados” por “utilizados”. </t>
  </si>
  <si>
    <t>1489.            </t>
  </si>
  <si>
    <t xml:space="preserve">Teniendo en cuenta la naturaleza de las obras a construir y los medios de construcción utilizados, se solicita incluir las siguientes coberturas adicionales en la sección de ANEXOS de la póliza, que permiten que los daños por ésta causas se encuentren amparados: </t>
  </si>
  <si>
    <t>SECCION V</t>
  </si>
  <si>
    <t xml:space="preserve">Amparo de manejo de explosivos: </t>
  </si>
  <si>
    <t>Se incluye la responsabilidad civil extracontractual derivada de operaciones de voladura, siempre y cuando dichas operaciones esten directamente relacionadas con el desarrollo de las actividades objeto del contrato y que sean realizadas por personal capacitado y que cumpla con todos los requisitos para el manejo de explosivos.</t>
  </si>
  <si>
    <t xml:space="preserve">Amparo de propiedades adyacentes: </t>
  </si>
  <si>
    <t>Amparo de propiedades adyacentes/estructuras existentes, siempre y cuando las estructuras existentes sean de propiedad de terceros y no tengan relación directa con la ejecución del contrato. lo anterior solamente aplicará para el desarrollo de obras de construcción por parte del asegurado y sus contratistas relacionados con la actividad asegurada</t>
  </si>
  <si>
    <t>1490.            </t>
  </si>
  <si>
    <t>La Entidad acoge la observación.  Para el amparo de cumplimiento en la etapa operativa detallado en el numeral 7.1. (b) (ii) se ajustará el valor asegurado para las vigencias quinquenales, para la publicación del pliego definitivo.</t>
  </si>
  <si>
    <t>38._af_póliza_de_cumplimiento.pdf</t>
  </si>
  <si>
    <t xml:space="preserve">Teniendo en cuenta que el Decreto 1082 del 2015, establece la suficiencia de los valores asegurados para las pólizas de Cumplimiento para contratos con entidades estatales, solicitamos que los valores requeridos para dichas pólizas tengan concordancia con el mismo.  </t>
  </si>
  <si>
    <t xml:space="preserve">PÓLIZA ÚNICA DE SEGURO DE CUMPLIMIENTO PARA CONTRATOS ESTATALES </t>
  </si>
  <si>
    <t xml:space="preserve">
COPASA, 15/05/2020</t>
  </si>
  <si>
    <t>Pliegos, Parte General y Especial</t>
  </si>
  <si>
    <t>COPASA, 15/05/2020</t>
  </si>
  <si>
    <t>Sección 1.55 Parte General - Elusión
• ¿Qué debe entenderse por “uso Legítimo” de Nuevas Vías Públicas? No es claro el significado ni el sentido de esta expresión.
• ¿Cuáles son las vías que la ANI tuvo en cuenta al momento de la estructuración?
•  En adición, no resulta adecuado que el Concesionario deba asumir el riesgo de elusión derivado de proyectos que hoy no se encuentren estructurados y sobre los cuales  no existe información real sobre el alcance de los mismos ni tampoco de sus tráficos. Por tanto, agradecemos no excluir del riesgo de elusión a cargo de la ANI los proyectos del RUAPP ni tampoco los que se encuentran incorporados en el/los Plan/es de Ordenamiento Territorial o Departamental -incluyendo el denominado Tren de Cercanias entre Yumbo- Palmira y Cali-.
• ¿Por qué debe el Concesionario asumir las consecuencias de usos ilegítimos de vías alternas que el no controla? Esta función es privativa del estado colombiano, en especial de la policía de carreteras. El Concesionario no puede asumir este riesgo. Les agradecemos, revisar con cuidado este tema.</t>
  </si>
  <si>
    <t>Sección 1.94 Parte General - Ingresos por Explotación Comercial
• El transferir el 50% de estos ingresos a la ANI desincentiva la generación de servicios de este tipo. Solicitamos a la entidad cambiar esta proporción y dejarla, por lo menos similar a los proyectos de 4G, en donde se transfería a la entidad un porcentaje del 2.2%.</t>
  </si>
  <si>
    <t>Sección 1.111 Parte General - Multas
•	Sugerimos aclarar el lenguaje en lo que respecta a la finalidad de las Multas. El verdadero objeto de las mismas no es constreñir sino conminar al Concesionario a cumplir con sus obligaciones.</t>
  </si>
  <si>
    <t>Sección 1.112 Parte General - Sanción
•	No es claro el objeto de las sanciones.
•	De hecho, pareciera que el objeto de las mismas es sancionar dos veces al Concesionario por la misma causal. Impuesta una Multa y verificada que la misma procede, se trataría entonces de un incumplimiento definitivo. En este caso, la ANI quedaría habilitada pata imponer una Sanción por el mismo hecho de incumplimiento lo cual resultaría abusivo.
•	En adición, es extremadamente riesgoso que sea la Interventoría la que decida, a su arbitrio, cuando procede una Sanción. Esta circunstancia transgrede el principio básico del derecho sancionador que exige que las circunstancias que dan lugar a una sanción sean típicas y se encuentren previa y expresamente definidas. El Contrato no define, a diferencia de las Multas, cuáles son las conductas que pueden dar lugar a la aplicación de una Sanción.</t>
  </si>
  <si>
    <t>Sección 1.116 Parte General - Nuevas Vías Públicas
• Les agradecemos tener en cuenta que la Elusión puede generarse no sólo como consecuencia de la creación de nuevas vías sino también por la modificación de las existentes por parte del estado. Por tanto, solicitamos eliminar esta restricción e incluir también la posibilidad de que la Elusión se genere como consecuencia de modificación de vías que afecten el proyecto.</t>
  </si>
  <si>
    <t>Sección 2.3(c) Parte General - Perfeccionamiento e Inicio de Ejecución del Contrato
•	La Orden de Inicio no debe poder expedirse si la causa de no haberse cumplido las condiciones para la firma del Acta de Inicio no le es imputable al Concesionario.
•	En todo caso, si la razón de la existencia de condiciones previas para la firma del Acta de Inicio es que la misma no se firme si dichas condiciones no se han cumplido, ¿Por qué se habilita a la ANI ha expedir la misma sin que dichas condiciones se hayan cumplido?</t>
  </si>
  <si>
    <t>Parte Especial 3.10 / Parte General 9.7 / Parte General 4.17 Se solicita claridad respecto de la Reversión Especial esperada en terminos de la Parte General y Parte Especial en aras de que se clarifique que las inversiones a las que se refiere la Reversión Especial una vez excluidas de la infraestructura concesionada, el concesionario seguirá siendo parte de AR en la formula de liquidación.</t>
  </si>
  <si>
    <t>Parte General y Especial</t>
  </si>
  <si>
    <t>Parte Especial 3.10 / Parte General 9.7 / Parte General 4.17 Se solicita claridad conocer el tratamiendto contable y tributario que trae consigo el efecto de la Reversión Especial ¿sale del balance sheet? ¿se amortiza hasta antes del mes 103 del contrato?</t>
  </si>
  <si>
    <t>Sección 3.14(g)(ii)(2) Parte General - Cuenta Proyecto
•Consideramos que es más claro determinar que en los aportes de Equity requeridos se debe tener en cuenta el GMF en vez de sugerir que deben hacerse aportes adicionales para cubrir el GMF. Les agradecemos aclarar este punto.</t>
  </si>
  <si>
    <t>Sección 3.14(g)(iv) Parte General - Cuenta Proyecto
•Solicitamos que los recursos remanentes de las subcuentas Predios, Redes y Sociambiental sean del Concesionario ya que se trata de recursos aportados con recursos de Equity del Concesionario. En consecuencia, no existe razón para que dichos recursos queden en cabeza de la ANI.
• Asimismo, solicitamos que los rendimientos de las anteriores subcuentas acrecienten las mismas y no sean trasladados a la Subcuenta Excedentes ANI.</t>
  </si>
  <si>
    <t>Sección 3.14(h) Parte General - Cuenta ANI
•En el romanito (i) se establece que la ANI puede hacer movimientos entre subcuentas. Para no afectar el fondeo y suficiencia, se sugiere que tal traslado se puede dar si la Interventoría certifica que la subcuenta desde la cual se hace el traslado queda con recursos suficientes para cumplir con su función.
•En cuanto al GMF de los recursos de la Cuenta ANI deberían ser asumidos por la ANI.</t>
  </si>
  <si>
    <t xml:space="preserve">Sección 3.14(h)(v) Parte General - Subcuenta Interventoría
•Solicitamos que para que proceda los dispuesto en el numeral (7), debe antes haberse surtido un proceso administrativo que determine el incumplimiento. No puede quedar al simple arbitrio de la ANI y de la Interventoría. Debe garantizarse el debido proceso del Concesionario. En adición, debe aclararse que con lo trasladado desde la Subcuenta Recaudo de Peaje, se entiende cumplido el fondeo pendiente. </t>
  </si>
  <si>
    <t>Sección 3.14(h)(vii) Parte General - Subcuenta MASC
•	Los beneficiarios de los recursos de la Subcuenta MASC deben ser también para los árbitros.
•	En adición, los recursos de dicha subcuenta deben ser para cubrir los gastos de ambas partes y no sólo de la ANI. En que se funda esta restricción si los recursos son fondeados por el Concesionario.</t>
  </si>
  <si>
    <t>Sección 3.14(h)(xiii) Parte General - Subcuenta Retenciones
•	Dado que las Retenciones son recursos que pertenecen al Concesionario, en especial el diferencial ente la Retribución y la Compensación Especial, solicitamos que si se generan rendimientos, los mismos sean del Concesionario y se le transfieran al Concesionario en la oportunidad debida.</t>
  </si>
  <si>
    <t xml:space="preserve">Parte General Cl 3.3 (h). Se solicita consideración sobre el periodo de 90 días exento de compensación a favor del Concesionario. Un trimestre es un periodo de tiempo considerable en estos proyectos, en un trimestre se genera la mitad de principal e intereses a pagar a los Prestamistas, por lo que se puede producir un problema en ratios financieros y provocar incumplimiento en los covenants de los documentos del crédito. 
Teniendo en cuenta que la Parte General Clausula 3.3. (g) genera el derecho a favor del Concesionario de ciertos eventos que producen compensación a favor del Concesionario, solicitamos que el Contrato reconozca la compesación desde el momento que la Concesión se vea afectado por el evento regulado, no tras 90 días de sufrir el efecto.  </t>
  </si>
  <si>
    <t>Sección 3.3(h) Parte General - Compensación por imposibilidad de intalación de peaje
•En un contrato como el que se propone para este proyecto, en donde no existe garantía de tráfico, no tiene sentido que se le obligue al Concesionario a esperar 90 días para acceder a la compensación por imposibilidad de instalación de la estación de peaje. Lo anterior, más aún cuando su única fuente de ingreso es el Recaudo de Peaje. Solicitamos eliminar el periodo de 90 días de que trata esta sección.
•En adición, no se entiende lo establecido en la Sección 3.3(h)(iv). Significa que en las situaciones descritas en las Secciones 3.3(g)(i) y 3.3(g)(iii) la compensación es cero (0)? Si es así, cuál es la justificación si se debe a circunstancias no imputables al Concesionario? La redacción no es clara.</t>
  </si>
  <si>
    <t>Sección 3.4(b) Parte Genereal - Soporte de Ingresos
•	En las condiciones actuales derivadas de la Pandemia generada por el COVID-19, financiar un proyecto como el que se plantea en el contrato va a ser muy difícil. El tráfico esperado, las restricciones a la movilidad, etc., son aspectos que la ANI debe considerar para analizar si se otorga el Soporte de Ingresos en este proyecto.
•	Un contrato de concesión en el cual el Recaudo de Peaje constituya la única fuente de ingreso del Concesionario, sin que exista siquiera un soporte o garantía del estado en materia de tráfico, es un proyecto de muy difícil financiación. Por esta razón, solicitamos que el presente proyecto incluya el Soporte de Ingresos.</t>
  </si>
  <si>
    <t>Sección 3.4(d) Parte General - Soporte de Ingresos
•Comentario similar merece la eliminación de la garantía del VPIP. En la situación actual generada por el COVID-19, el mercado financiero está muy reacio a otorgar créditos a largo plazo, más aún en proyectos públicos en donde no existan garantías del estado en materia de tráfico. Lo anterior, se vuelve aún más problemático si la única fuente de ingreso es el Recaudo de Peaje.
•Sin la garantía del VPIP y sin el Soporte de Ingresos, vemos muy difícil obtener la financiación exigida en este proyecto.</t>
  </si>
  <si>
    <t xml:space="preserve">En el numeral 3.4, ordinal (a) del contrato parte general se menciona lo siguiente: 
“Cálculo del VPIP. En cualquier momento de ejecución del Contrato (Mes “m”) se podrá calcular el valor presente del Recaudo de Peaje calculado desde el Mes de la Fecha de Inicio expresado en Pesos del Mes de Referencia acumulado hasta ese momento (VPIPm)…”. 
De igual manera, como se menciona en las definiciones del contrato parte general, en el numeral 1.152 “Recaudo Peaje”, se define este último como: 
“Corresponde al resultado de multiplicar el tráfico efectivo de las Estaciones de Peaje por la tarifa de cada categoría vehicular para un periodo determinado, neto del impuesto al valor agregado, de los valores por contribución al Fondo de Seguridad Vial, de otra sobretasa o similar que tenga destinación diferente al Proyecto o de otros tributos de orden nacional”
Dado lo anterior ¿Es posible concluir que para efectos del cálculo del VPIP se debe descontar el valor correspondiente al 37,28% de los ingresos de peaje correspondiente a la subcuenta de depósito especial de recaudo? </t>
  </si>
  <si>
    <t>Sección 3.5 Parte General - Descuentos 
•	En el romanito (i) se habla de que la ANI podrá pagarse de manera directa las “retenciones”. Estas no son pagos y, por ende, agradecemos aclarar el lenguaje.
•	Tal como se expresó con anterioridad, no estamos de acuerdo con la figura de las Sanciones por ser las mismas indeterminadas, vulnerar el principio de tipicidad y por consistir las mismas una doble sanción para el Concesionario.</t>
  </si>
  <si>
    <t>Parte General 3.8 (h) ¿Cuáles son los plazos para restituir el cierre financiero en caso de que se retire el Prestamista por causas no imputables al Concesionario?</t>
  </si>
  <si>
    <t>Parte General 3.8 (h) La obtención del Cierre Financiero esta hatada a la estructuración de la Concesión y a su vez a la adecuada mitigación y asignación de riesgos previstos en el diseño del proyecto planteados en los pliegos de la licitación y en los documentos anexos a éstos. En el entendido que el Cierre Financiero está diseñado bajo una estructura Project Finance, es el Contrato de Concesión la única garantía para los prestamistas; por lo anterior, en presencia de un Cierre Financiero conluido, el retiro de los prestamistas por causas ajenas al Concesionario, en cualquiera de los periodos del Contrato, no puede obligar al Concesionario al cumplimiento de sus obligaciones; en otras palabras, se solicita amablemente la modificación del párrafo que en la Parte General que no exime de responsabilidad al Concesionario ante la retirada del (los) Prestamista(s) por causas agenas al Concesionario.</t>
  </si>
  <si>
    <t>Sección 4.4 Parte General - Condiciones precedentes para el inicio de la Fase de Construcción
•	El literal (i) habla de haber logrado los acuerdo definitivos y protocolizados por parte del Ministerio del Interior. Sin embargo, el Concesionario, por ley, no puede obtener dicha protocolización ya que este es un trámite que depende, de manera exclusiva, del Ministerio del Interior. El requisito, en consecuencia, debería ser que el Ministerio haya procedido con la protocolización de los acuerdos respectivos.</t>
  </si>
  <si>
    <t>Sección 4.5(aa) Parte General - Obligaciones de la ANI durante la Fase de Construcción
•El informe que presente el Concesionario, firmado por su auditor, debería ser verificado por el Interventor de manera mensual, dejando constancia de dicha revisión.</t>
  </si>
  <si>
    <t>Sección 4.6(j) Parte General - Obligaciones de la ANI durante la Fase de Construcción
•	La obligación de la ANI de acompañar y colaborar con el Concesionario en la desarrollo de nuevas consultas no debe estar limitado a “nuevas consultas con las comunidades indígenas y afro descendientes que sean reconocida por Autoridad Estatal competente, siempre que estas residan en el área de influencia del Proyecto inicialmente estructurado y adjudicado por la ANI en el Proceso de Selección”.
En primer lugar debe ser frente a cualquier comunidad que las autoridades competentes determinen que tienen derecho a que se desarrolle una consulta. En segundo lugar, no puede limitarse a que residan en el área de influencia del Proyecto que fue estructurado por la ANI, ya que esto puede no coincidir con la protección que declare una autoridad sobre una comunidad.
La colaboración de la ANI debe ser general al proceso de consulta previa, sin limitaciones, más aún siendo esta una obligación que la ley radica, de manera exclusiva, en cabeza del estado colombiano.</t>
  </si>
  <si>
    <t>Sección 4.10(m) Parte General - Plazo adicional sin sanciones
•	Agradecemos analizar la devolución de los recursos en caso de que no se use todo el plazo adicional solicitado. Al fin y al cabo, no se trata de una sanción en contra del Concesionario.</t>
  </si>
  <si>
    <t xml:space="preserve">Sección 4.17(a)(iii) Parte General - Procedimiento de Verificación
•	Les agradecemos aclarar el significado de la siguiente expresión que no es clara: “La ANI y la Interventoría verificaran que el efecto acumulado de este Plazo de Cura no supere en ningún momento el veinte por ciento (20%) del plazo inicialmente previsto en este Contrato para la terminación de la Unidad Funcional respectiva.” A qué se refiere efecto acumulado?
</t>
  </si>
  <si>
    <t>Sección 5.1(B) Parte General - Contrato de Construcción
•	Agradecemos analizar la posibilidad de que exista más de un contrato de construcción. Lo anterior, para hacer esta sección concordante con la 5.2 en donde se permite más de un contratista de construcción.</t>
  </si>
  <si>
    <t>Sección 6.1(a) Parte General - Presentación de los Estudios 
•Favor aclarar el alcance de la obligación del Concesionario de presentar el análisis y la valoración de la afectación sobre los riesgos que sean descritos por la ANI. Tal como está redactado, no queda claro la relación entre la obligación de elaborar los Estudios de Trazado y Diseño Geométrico y este análisis de riesgos.</t>
  </si>
  <si>
    <t xml:space="preserve">Sección 6.2 Parte General - Revisión de los Estudios de Trazadao y Diseño Geométrico y los Estudios de Detalle
•Favor incluir una disposición que establezca que en caso que la Interventoría no se pronuncie sobre los Estudios y Diseños durante el plazo previsto en esta Sección, estos estudios y diseños se entenderán aprobados. Esta disposición permite ejecutar continuamente el Contrato y evita que el Concesionario se vea afectado por una omisión de un tercero. </t>
  </si>
  <si>
    <t>Sección 6.3 Parte General -  Estudios de Factibilidad de Trazado y Diseño Geométrico
•	En virtud de esta sección, entendemos que los Estudios de Factibilidad de Trazado y Diseño Geométrico son vinculantes para el Concesionario. En consecuencia, entendemos que el riesgo de diseño del Contrato de Concesión es compartido al no poder el Concesionario salirse del trazado definido por la ANI (corredor de utilidad pública), so pena de la sanción determinada en dicha sección consistente en que el Concesionario debe asumir todos los riesgos, y que el esquema de riesgos pactado en el Contrato deja de aplicar.
•	Sin embargo, lo anterior presenta grandes dificultades para el Proyecto. En caso de que exista un diseño que sea mejor para el Proyecto pero que obligatoriamente deba salirse del trazado definido por la ANI, ¿por qué debe el Concesionario asumir las consecuencias de dicha circunstancia? Si la ANI impone el trazado, en caso de que el Concesionario encuentre una mejor solución de ingeniería para el Proyecto, cuando menos, las Partes deben compartir el riesgo.
•	Si se le impone al Concesionario adoptar el trazado definido por la ANI (corredor de utilidad pública), cualquier sobrecosto que se derive de ejecutar el Proyecto por dicho corredor, existiendo otras alternativas más económicas, debe ser una compensación que la ANI debería pagar.
•	¿Qué ocurre si no es posible ejecutar el Proyecto en el trazado definido por la ANI (corredor de utilidad pública) por la ocurrencia de eventos eximentes de responsabilidad?</t>
  </si>
  <si>
    <t xml:space="preserve">Sección 7.1(f)(iii) Parte General - Generalidades de la Gestión Predial
Cumplidas todas las condiciones para liberar la Retención, la misma ¿cómo se transfiere al Concesionario? ¿En qué plazo? 
•	Entendemos que si los valores retenidos generan algún tipo de rentabilidad, la misma debe ser transferida al Concesionario. Agradecemos confirmar nuestro entendimiento. </t>
  </si>
  <si>
    <t>Sección 7.2(f)(iii) Parte General - Recursos para la Adquisición de Predios y Compensaciones Socioeconómicas
•	Favor disminuir el plazo de 30 a 15 días que tiene la ANI para la aprobación de la cuenta por las compensaciones a cargo de la ANI pagadas por el Concesionario. Un plazo de 30 días es excesivo, más aún cuando previamente ya se cuenta con el visto bueno del Interventor.</t>
  </si>
  <si>
    <t>Sección 7.4(b) y (c) Parte General - Fuerza Mayor Predial 
•	(b) En caso de que se presenten las circunstancias narradas en dicha sección, no puede ser la ANI la que de manera unilateral decida cómo proceder, ni mucho menos quedar dicha entidad habilitada para modificar de manera unilateral el Contrato. Esto excede las facultades legales con las que cuenta la ANI. Siempre debe mediar mutuo acuerdo.
•	(c) La información financiera no puede ser usada con este propósito. De hecho, en varios apartes del Contrato se establece que esta información no es vinculante y no puede ser usada para este tipo de fines. Por otra parte, la Retribución no puede ser modificada de manera unilateral por parte de la ANI bajo ningún supuesto.</t>
  </si>
  <si>
    <t>Sección 8.1(d) Parte General - Nuevas Consultas Previas 
•	Los costos de nuevas consultas, así como los valores derivados de acuerdos a los que se llegue con la comunidad, deben ser asumidos en su totalidad por la ANI. El proceso de consulta previa es una obligación que la ley radica, de manera exclusiva, en cabeza del estado colombiano. Se trata de un riesgo que el Concesionario no puede asumir más aún cuando el estado, en su estructuración, debió haber investigado y certificado que no existían consultas o que las mismas ya habían concluido. Lo anterior, en virtud de lo dispuesto en el artículo 39 de la Ley 1682 de 2013.</t>
  </si>
  <si>
    <t xml:space="preserve">Sección 8.1(h)(i) Parte General - Fuerza Mayor Ambiental 
•En nuestro entendimiento, cuando esta Sección se refiere al 150% adicional del tiempo máximo establecido, quiere decir que la Fuerza Mayor Ambiental se configura pasado el 50% adicional del plazo máximo previsto en la Ley Aplicable. Es decir, si un permiso ambiental tiene un plazo máximo de expedición de 60 días, la Fuerza Mayor Ambiental se configurará pasado el día 90 sin que se haya logrado expedir dicho permiso. 
Favor confirmar si nuestro entendimiento es correcto. </t>
  </si>
  <si>
    <t>Sección 8.1(h)(i) Parte General - Fuerza Mayor Ambiental 
•Se solicita modificar el momento a partir del cual comienza el plazo para la configuración de la Fuerza Mayor Ambiental, ya que en la práctica es incierto el momento en que la Ambiental expide el auto de inicio. En esta medida, se solicita que este plazo comience a contar desde la fecha de radicación de la solicitud de la expedición de la Licencia Ambiental y/o el Permiso Ambiental.</t>
  </si>
  <si>
    <t>Sección 8.1(h)(ii) Parte General - Fuerza Mayor Ambiental
•Respetuosamente se solicita reducir el plazo para que se configure una Fuerza Mayor Ambiental por la no culminación de una consulta previa, ya que 360 días es un término muy extenso que puede poner en riesgo la obligación del Concesionario de entregar las Intervenciones en los tiempos previstos en el Plan de Obras.
En virtud de lo anterior, respetuosamente se solicita que este plazo sea reducido a 200 Días.</t>
  </si>
  <si>
    <t>Sección 8.1(j) Parte General - Fuerza Mayor Ambiental
•	El análisis no puede limitarse a que resulte más oneroso para la ANI sino más oneroso para cualquier de las Partes del Contrato. No se entiende por qué se propone un tratamiento discriminatorio.</t>
  </si>
  <si>
    <t>Parte General 10.2 (b) ¿Todo mayor valor cubierto por el Concesionario derivado de los Plazos de Cura se deben entender como parte del AR?</t>
  </si>
  <si>
    <t>Sección 13.2(a) Parte General - Riesgos asignados al Concesionario
•Se solicita incluir la matriz de riesgos dentro de los documentos del Contrato teniendo en cuenta que este documento es esencial para la solución de cualquier controversia entre las Partes. Si bien, el Contrato incluye una sección de riesgos, no está en el nivel de detalle de la matriz. Por tanto, es necesario que la matriz de riesgos se parte integral del Contrato.</t>
  </si>
  <si>
    <t>Sección 13.2(a)(v) Parte General - Riesgos asignados al Concesionario
•Agradecemos aclarar que el Concesionario no cuenta con la facultad legal para asumir el riesgo de orden público. El monopolio de las armas se encuentra radicado de manera exclusiva en cabeza del estado colombiano y, por ende, el Concesionario no puede suplir las funciones de la Policía Nacional ni del Ejercito Colombiano. En esta medida, en caso de presentarse alteraciones del orden público que deriven en una invasión del corredor del Proyecto, deben ser dichas entidades las que en coordinación con las demás autoridades públicas, se encarguen de restablecer el orden público.</t>
  </si>
  <si>
    <t>Sección 13.2(a)(xi) Parte General - Riesgos asignados al Concesionario
•El riesgo geológico es un riesgo imprevisible y, en consecuencia, es un riesgo que no puede asignarse, ya que el Concesionario no está en la capacidad ni de mitigar ni de asumir este riesgo. Menos aún cuando su origen de interno. 
Le agradecemos a la ANI explicar la razón de esta asignación. Posee la ANI información para valorar este riesgo? Tiene la ANI estudios ciertos y confiables que determinen cual es el comportamiento de este riesgo en toda la zona de      este proyecto? Conoce con certeza la ANI cuál va a ser el comportamiento geológico de montañas, terrenos, etc. Les agradecemos, publicar esta información para conocer el alcance y valoración de este riesgo y entender la asignación efectuada.</t>
  </si>
  <si>
    <t>Sección 13.4(a)  Parte General - Cascada de pagos para cobertura de Riesgos a cargo de la ANI
•	Agradecemos aclarar si las obligaciones contingentes a cargo de la ANI en este Proyecto ya se encuentran presupuestadas y si las mismas van a ser aportadas al Fondo de Contingencias. En adición, les agradecemos informar cuál va a ser el valor del fondeo de la ANI al Fondo de Contingencias para este Proyecto.</t>
  </si>
  <si>
    <t xml:space="preserve">¿Se entenderá por inversión efectivamente realizada a la que corresponda a las estimaciones de obra debidamente diligenciadas en el PA? ¿Qué se entiende por inversión efectivamente realizada? </t>
  </si>
  <si>
    <t>Parte General (14.1)</t>
  </si>
  <si>
    <t xml:space="preserve">Sección 19.4 Parte General - Obras Sociales
•Se solicita eliminar toda regulación relacionada con las Obras Sociales. Estas obras superan el alcance del Proyecto, incentivan las solicitudes injustificadas por parte de las comunidades que habitan el Proyecto y obligan a hacer un fondeo obligatorio al Concesionario, a pesar que la ejecución de Obras Sociales está sujeto a una decisión discrecional de la ANI. </t>
  </si>
  <si>
    <t xml:space="preserve">Sección 15.1(d)(iv) Parte General - Amigable Componedor
•La remuneración que se propone para el Amigable Componedor es muy baja. Proponemos que sea por lo menos 80 SMMLV para así garantizar la idoneidad de quienes decidirán las principales controversias del Contrato. </t>
  </si>
  <si>
    <t>Sección 15.2(a) Parte General - Arbitraje Nacional
•	Arbitraje Nacional. No entendemos el significado de lo siguiente: “Las controversias que surjan entre las Partes con ocasión del presente Contrato, que no sean de conocimiento del Panel de Amigables Componedores, esto es, entre otras, las controversias que sean sustancialmente técnicas, aun cuando las mismas tengan componentes jurídicos, serán resueltas por un Tribunal de Arbitramento nacional de conformidad con la ley 1563 de 2012”
•	Qué significa “las controversias que sean sustancialmente técnicas, aun cuando las mismas tengan componentes jurídicos”.
•	¿Lo anterior quiere decir que los árbitros no pueden conocer controversias jurídicas?
•	¿Siendo los árbitros, abogados, porque se les designa la resolución de materias técnicas?
•	La ley 1563 no impone estas limitaciones; ¿Por qué se pretende hacerlo vía contrato?
•	Consideramos muy inconveniente esta disposición. En adición, consideramos que no cuenta con sustento legal.</t>
  </si>
  <si>
    <t>Sección 17.2(f) Parte General - Causales de Terminación Anticipada del Contrato 
•	Consideramos que esta facultad desborda la competencia del Amigable Componedor. Conforme al artículo 60 de la Ley 1563, el Amigable Componedor no tiene facultad para aprobar o determinar la terminación anticipada del Contrato como lo sugiere esta cláusula.</t>
  </si>
  <si>
    <t xml:space="preserve">
Parte General Cl 17.2.d) Se solicita consideración de que el Causal por Solicitud del Concesionario por mora superior a 60 Días en el pago de cualquier obligación dineraria de la ANI no quede vinculado a que haya derecho a intereses de mora. El propio impago de la ANI ya debe ser objeto de tal Causal y no si se general intereses de mora adicionales o no. En este sentido proponemos eliminar la siguiente frase “Se entenderá que hay mora de la ANI solo desde cuando de conformidad con lo previsto en la Sección 3.6 de esta Parte General, procedan los intereses de mora a cargo de la ANI”.
</t>
  </si>
  <si>
    <t>Por favor se solicita eliminar la letra (b) de la Clausula 18.3 de la Parte General. El Contrato no puede limitar el derecho de las Partes de obtener plena indeminización de los perjuicios que se causen en curso de la ejecución contractual.</t>
  </si>
  <si>
    <t>En el contrato parte general numeral 18.3 se definen las diferentes fórmulas de terminación, sin embargo, no logramos encontrar una fórmula de terminación del contrato que contemple una compensación hacia el inversionista en el dado caso que el VPIP no sea alcanzado.
Teniendo en cuenta las condiciones actuales del mercado, afectado por la pandemia del COVID-19 y la necesidad de la reactivación económica, solicitamos a ustedes se adicione una fórmula que contemple esta retribución, tomando como ejemplo la fórmula empleada en los contratos de concesión 4G, la cual se definió en su momento de la siguiente manera. 
Liquidación del Contrato en Caso de Vencimiento del Plazo sin Obtener VPIP
Si se presenta la situación prevista en la Sección 2.4(b)(iii), la ANI reconocerá al Concesionario el saldo faltante del VPIP ––ponderado por el Índice de Cumplimiento promedio observado durante toda la ejecución del Contrato– a la terminación del presente Contrato, mediante la aplicación de la siguiente fórmula:
VL=(VPIP-VPIPm )*(ICP)*(IPC(m+l)/IPCr)*(1+TDI)^(m+l+q)-DyM(m+l)+OANI(m+l)
VL: 	Es el valor de la liquidación del Contrato de Concesión. Este valor está expresado en Pesos del Mes m+l que corresponde al Mes en que se suscriba el Acta de Liquidación del Contrato.
VPIP: 	Valor presente –al Mes de Referencia– del VPIP
VPIPm: 	Valor presente –al Mes de Referencia– del Recaudo de Peaje acumulado hasta el Mes m, calculado con la fórmula contenida en la Sección 3.4(a) de esta Parte General.
ICP: 	Es el Índice de Cumplimiento Promedio durante toda la vida de la Concesión
IPCm+l: El IPC del mes inmediatamente anterior al mes m+l
IPC r: El IPC del mes de referencia
m: el mes en que finaliza el contrato
l: número de meses desde finalización del contrato hasta se suscriba el acta de liquidación
q: Número de meses desde mes de referencia hasta acta de inicio
OANI(m+l): Obligaciones dinerarias pendiente de pago a cargo de la ANI, causadas hasta el momento de terminación del Contrato de Concesión, expresadas en Pesos del Mes m+l.
DyM(m+l): Deducciones y multas pendientes de pago en el mes m+l
Esto permitiría darle una mayor bancabilidad al proyecto y protegerá la inversión del concesionario, dada la incertidumbre de la crisis que actualmente se atraviesa.</t>
  </si>
  <si>
    <t>En el contrato Parte General, numeral 18.3 se definen las diferentes fórmulas de terminación del contrato en cada una de las etapas del proyecto. Tomando la fórmula en el apartado (e) del numeral mencionado como ejemplo, se encuentran los factores TE, definidos dentro de los términos C y F de la fórmula de terminación, como la tasa real de descuento, obteniendo valores descritos en el contrato parte especial como:  
Para la fórmula C, se definen las siguientes tasas de descuento real:
1. Cuando la Terminación Anticipada del Contrato obedezca a las causales incluidas en las Secciones 17.2(d) y 17.2(e) de la Parte General, el valor de TE será de Cero coma Ochenta y Siete Setenta y Siete (0,8777%).
2. Cuando la Terminación Anticipada del Contrato obedezca a las causales incluidas en la Sección 17.2(b) de la Parte General, el valor de TE será de Cero coma Ochenta y Dos Cincuenta por ciento (0,8250%).
3. Cuando la Terminación Anticipada del Contrato obedezca a las causales incluidas en la Sección 17.2(a) de la Parte General, el valor de TE será de Cero coma Setenta y Siete Cincuenta por ciento (0,7750%).
Para la fórmula F, se definen las siguientes tasas de descuento real:
1. Cuando la Terminación Anticipada del Contrato obedezca a las causales incluidas en las Secciones 17.2(d) y 17.2(e) de la Parte General, el valor de TE será de Cero coma Ochenta y Uno Cero Nueve por ciento (0,8109%).
2. Cuando la Terminación Anticipada del Contrato obedezca a las causales incluidas en la Sección 17.2(b) de la Parte General, el valor de TE será de Cero coma Setenta y Cinco Cincuenta y Ocho por ciento (0,7558%).
3. 3. Cuando la Terminación Anticipada del Contrato obedezca a las causales incluidas en la Sección 17.2(a) de la Parte General, el valor de TE será de Cero coma Sesenta y Nueve Dieciséis por ciento (0,6916%).
Como es de nuestro entendimiento, los factores TE varían no solo según el término (C ó F) sobre el cual se está aplicando la fórmula, sino que también tienen una variación según la temporalidad del contrato, siendo así nos gustaría entender los motivos de la aplicación de estos términos de esta manera.
De acuerdo con lo anterior, se observa que los factores TE varían en función de los valores de C ó F (en cada una de sus fórmulas), sino que también tienen una variación según la temporalidad del contrato, siendo así nos gustaría entender los motivos para la variación de TE en el Contrato.</t>
  </si>
  <si>
    <t xml:space="preserve">En el contrato Parte General, numeral 18.3 se definen las diferentes fórmulas de terminación del contrato en cada una de las etapas del proyecto. Tomando la fórmula en el apartado (e) del numeral mencionado como ejemplo, se encuentran los factores TE, definidos dentro de los valores C y F de la fórmula de terminación, como la tasa real de descuento, obteniendo valores descritos en el contrato Parte Especial como:  
Para la fórmula C, se definen las siguientes tasas de descuento real:
1. Cuando la Terminación Anticipada del Contrato obedezca a las causales incluidas en las Secciones 17.2(d) y 17.2(e) de la Parte General, el valor de TE será de Cero coma Ochenta y Siete Setenta y Siete (0,8777%).
2. Cuando la Terminación Anticipada del Contrato obedezca a las causales incluidas en la Sección 17.2(b) de la Parte General, el valor de TE será de Cero coma Ochenta y Dos Cincuenta por ciento (0,8250%).
3. Cuando la Terminación Anticipada del Contrato obedezca a las causales incluidas en la Sección 17.2(a) de la Parte General, el valor de TE será de Cero coma Setenta y Siete Cincuenta por ciento (0,7750%).
Para la fórmula F, se definen las siguientes tasas de descuento real:
1. Cuando la Terminación Anticipada del Contrato obedezca a las causales incluidas en las Secciones 17.2(d) y 17.2(e) de la Parte General, el valor de TE será de Cero coma Ochenta y Uno Cero Nueve por ciento (0,8109%).
2. Cuando la Terminación Anticipada del Contrato obedezca a las causales incluidas en la Sección 17.2(b) de la Parte General, el valor de TE será de Cero coma Setenta y Cinco Cincuenta y Ocho por ciento (0,7558%).
3. 3. Cuando la Terminación Anticipada del Contrato obedezca a las causales incluidas en la Sección 17.2(a) de la Parte General, el valor de TE será de Cero coma Sesenta y Nueve Dieciséis por ciento (0,6916%).
Se entiende que los valores TE en la fórmula de liquidación reconocen la rentabilidad del inversionista, ya que son las tasas de descuento de los costos del proyecto (C) y los montos girados por el inversionista para el desarrollo del proyecto (F). 
En vista de lo anterior y ante la coyuntura económica mundial, solicitamos a ustedes que los valores de TE se modifiquen actualizándose en términos del costo ponderado de capital, conocido por sus siglas en inglés como WACC; teniendo en cuenta que se debería reconocer la rentabilidad real de los montos invertidos por el inversionista del proyecto. La sugerencia es actualizar TE a un valor que sea fijado con la Presentación del Cierre Financiero con la estructura real de financiación. </t>
  </si>
  <si>
    <t>Parte General numeral 18.3 se definen las diferentes fórmulas de terminación del contrato en cada una de las etapas del Proyecto. Tomando la fórmula en el apartado (e) del numeral mencionado como ejemplo, se encuentran el valor F, definido como: 
“Valor acumulado de las fuentes de recursos admisibles, expresado en Pesos corrientes del mes en que se suscriba el Acta de Liquidación,”
y el factor C definido como: 
“Valor acumulado de los costos asociados con las actividades que haya realizado el Concesionario y que hayan sido reconocidos por ANI, expresado en Pesos corrientes del mes en que se suscriba el Acta de Liquidación.” 
De acuerdo con nuestro entendimiento en el mes del cálculo de la Fórmula de Liquidación los montos son afectados por un factor de temporalidad, el cual usa los exponentes m, l, h y z. 
Los exponentes “m+l” se entienden como el número de meses concurridos desde el acta de inicio y hasta la liquidación del contrato, descontando entonces un número de meses “h” (entendido como el contador que inicia desde el Acta de Inicio y que tomará un valor máximo de “m+l”). 
Sin embargo, el uso del exponente "z" no es correcto dentro de la fórmula, ya que cualquier valor que positivo en “z” provocará que el resultado de la fórmula tienda a un valor negativo a medida que “h” se convierte en “m+l”. 
Por lo anterior sugerimos eliminar este exponente “z” pues su uso no estaría de acuerdo con la definición de C y F ya que el valor de la liquidación debe ser en el momento de la liquidación y no hasta el momento de la reversión.</t>
  </si>
  <si>
    <t>Parte General Clausula 18.3 - Liquidación del Contrato: Se solicita la eliminación del efecto de la Cláusula Penal en la fórmula de liquidación cuando las causas de la terminación del contrato no sean imputables al Concesionario.</t>
  </si>
  <si>
    <t>Parte General Cl. 18.3 Concepto AR. Por favor se socicita aclaración sobre el efecto de la Reversión Especial sobre las inversiones que deban ser reconocidas en AR. En este sentido necesitaríamos confirmación que la inclusión en valor de ese coste en cálculo del Valor de Liquidación es correcto, y no pueda aludirse que el hecho de que el Activo objeto de Reversión Especial ya no forme parte de la Concesión hace que el valor no suba a cómputo. Producirse lo contrario produciría una fallo en la estructuración que imposibilitaría la financiación / bancabilidad del proyecto</t>
  </si>
  <si>
    <t xml:space="preserve">Debido a la dificultad que genera tanto el recibo como la eventual exclusión de la infraestrcutra descrita en los literales (f) y (h) de la Clausula. 3.6., solicitamos excluir esta infraestructura desde ya del Contrato. </t>
  </si>
  <si>
    <t>Sección 3.6(g) y (h) Parte Especial - Entrega de la Infraestructura 
•	De manera general no es claro cómo se verifica que las obligaciones ambientales o prediales se encuentran cumplidas. Quién lo verifica? Cuál es el procedimiento?
•	Las devoluciones de que tratan estos literales tienen en cuenta los costos asumidos por el Concesionario para lograr la financiación total del Proyecto?
•	De igual manera, estas devoluciones tienen en cuenta la expectativa válida del Concesionario de ejecutar la totalidad de las intervenciones? Cuál es la compensación que se le pagaría al Concesionario por tener que ejecutar un Proyecto de menor alcance? Resulta incompleto pedirle al Concesionario la devolución de los valores sin reconocerle la compensación debida por la reducción de alcance del Proyecto.
•	Qué ocurre si los valores presentados en las tablas de estos numerales aumentan? Cuál es la compensación que la ANI pagaría por esta circunstancia?</t>
  </si>
  <si>
    <t>Sección 3.10 Parte Especial - Reversión Especial 
•	Nota de la tabla: Si en los casos de Reversión Especial ya se surtió sobre la UF respectiva el procedimiento de verificación, porqué se vuelve a exigir el mismo sobre los tramos objeto de reversión? En la estructuración del Proyecto está contemplado el costo derivado de volver a cumplir los indicadores de entrega de la UF? Por qué no se exige simplemente cumplir con los indicadores de O&amp;M si ya se está en dicha etapa y no en Construcción?
•	Al momento de la reversión ya se habrá terminado de pagar la inversión efectuada por el Concesionario en la infraestructura a ser revertida?
•	En relación con lo anterior, sugerimos dejar claro que estas reversiones anticipadas no afectan la Retribución del Concesionario ni la fórmula de liquidación, debiendo siempre la ANI pagar el valor de lo invertido por el Concesionario.</t>
  </si>
  <si>
    <t>Sección 3.11 Parte Especial - Riesgos Específicos del Proyecto por Factor de Calidad
•	No estamos de acuerdo con esta sección. La decisión de incluir un factor de calidad en el proceso de selección es del estado y, todos los oferentes, incluirán esta opción en sus propuestas. De esta manera, no existe justificación para generar una regulación particular de riesgos para estas obras. Los riesgos deben aplicar de igual manera que para las demás intervenciones a ejecutar en el Contrato.</t>
  </si>
  <si>
    <t xml:space="preserve">Parte Especial  Clausula 4.1 Solicitamos incluir la tabla de la cláusula 4.1 de la Parte Especial en en la tabla en la Retribución al Concesionario. </t>
  </si>
  <si>
    <t>Sección 4.5(h) Parte Especial - Subcuenta Depósito Especial del Recaudo
•	Ante la situación actual derivada de la pandemia por el COVID-19 consideramos peligroso el fondeo de esta subcuenta, durante la fase de construcción, para financiar otros proyectos de infraestructura.
•	Muy seguramente los estudios de tráfico y proyecciones financieras efectuadas por la ANI no sean hoy precisas o aplicables después de ocurrida la pandemia. En este sentido, consideramos que esta Subcuenta de Depósito Especial debe ser fondeada después de la Subcuenta Contingencias para así proteger el Proyecto ante lo ocurrencia de circunstancias como la no obtención del tráfico pronosticado. 
•	Ahora bien, y unido a lo anterior, consideramos necesario que se incluya en el Contrato una garantía de tráfico a cargo de la ANI, la cual puede fondearse y pagarse con los recursos que se fondeen en la Subcuenta Contingencias. Esta subcuenta debería ser fondeada durante la Etapa Preoperativa, y durante el tiempo adicional que sea requerido para constituir con suficiencia la garantía de tráfico, con los recursos que actualmente se están dirigiendo a la Subcuenta Depósito Especial de Recaudo.
•	Terminada la Etapa Preoperativa y habiéndose pagado los créditos derivados del Cierre Financiero, podría empezar a fondearse la Subcuenta de Recaudo Especial como actualmente se regula en la Sección 4.5(h) y, en adición, podría transferirse a esta subcuenta los recursos de la Subcuenta Contingencias que correspondan a los riesgos públicos no materializados durante la Fase de Construcción.</t>
  </si>
  <si>
    <t xml:space="preserve">Para las garantías de cumplimiento, cuyos montos en fase preoperativa se definen en el contrato Parte Especial numeral 7.1 (b) (i) y su valor es de $238.502.484.803, encontramos que este valor -analizándolo sobre el valor total del contrato- se encuentra en una relación de 7.9%, sin embargo, al analizar el peso sobre el peso del Capex a realizar en esa fase del contrato, parece una cantidad excesiva respecto a la comparación con otros contratos, representando según nuestras cifras valores superiores al  22% respecto al Capex de la fase preoperativa. 
Solicitamos amablemente consideración sobre el importe dimensionado ( Valores en el entorno del 10% Capex han sido valores adecuados para este tipo de contratos) </t>
  </si>
  <si>
    <t xml:space="preserve">Para las garantías de cumplimiento, cuyos montos en fase de operación y mantenimiento se definen en el contrato Parte Especial numeral 7.1 (b) (ii) por un valor de COP$575.751.422.367, solicitamos a ustedes se especifique el monto quinquenal, como se ha trabajado en otros contratos de concesiones carreteras. 
Asímismo, se realizó un análisis de estos montos en relación con el valor total del contrato, encontrando una relación del 3.8%, esta relación se encuentra casi dos veces por encima de la relación encontrada para contratos carreteros 4G, donde esta se encontraba alrededor del 2%. Solicitamos amablemente se ajuste el valor de esta póliza, en términos quinquenales, a una relación similar a la empleada para los contratos de 4ta generación. En estas fases la relación además suele corresponderse a valores que representan la mitad de la garantia de fase preoperativa, teniendo un sentido coherente que se requiera una mayor garantía para la fase de construcción donde se asumen los mayores riesgos y obligaciones del contrato. 
</t>
  </si>
  <si>
    <t>Pliegos de condiciones</t>
  </si>
  <si>
    <t>Para cumplir con la responsiva escrita en numeral 1.8 de Pliegos del Proyecto y en particular para el desarrollo de la debida diligencia previo a la licitación del proyecto, ¿existirá apoyo por parte de la ANI de cara a facilitar la movilidad dentro del área del proyecto?</t>
  </si>
  <si>
    <t>Pliegos</t>
  </si>
  <si>
    <t>ESTRUCTURACIÓN</t>
  </si>
  <si>
    <t>La estructuración del proyecto obedeció a análisis históricos de tráfico, estimadores financieros y de negocio que de cara a viabilidad de proyecto concluyeron en los pliegos de licitación, sus anexos y en particular en el valor máximo de la oferta económica. En vista de los acontecimientos recientes y en particular a la contracción económica del mundo y de la recesión anunciada por diferentes instituciones, se solicita la reconfirmación de los estudios de viabilidad del proyecto.</t>
  </si>
  <si>
    <t>La estructuración del proyecto obedeció a análisis históricos de tráfico, estimadores financieros y de negocio que de cara a viabilidad de proyecto concluyeron en los pliegos de licitación, sus anexos y en particular en el valor máximo de la oferta económica. En vista de los acontecimientos recientes y en particular a la contracción económica del mundo y de la recesión anunciada por diferentes instituciones ¿la ANI prevé mecanismos de compensación y/o de reequilibrio económico del proyecto?</t>
  </si>
  <si>
    <t xml:space="preserve">Parte General - Eliminación de las Diferencias de Recaudo 
•	¿Existe la suficiente certeza sobre la suficiencia del tráfico para pagar la inversión del Concesionario?
</t>
  </si>
  <si>
    <t>Tabla de Referencias - Parte Especial 
•	13.2 (a)(xviii). Este riesgo no puede asumirse por el Concesionario en la coyuntura actual derivada del COVID. ¿Las proyecciones de tráfico de la ANI consideran las consecuencias de la Pandemia? ¿Se conoce cuál es el impacto de la Pandemia en el tráfico del Proyecto?
•	13.3 (i). Ver comentario sobre Elusión de la Parte General.
•	13.3 (j). Les agradecemos explicar por qué este riesgo no aplica en este Proyecto. No es claro ya que se debe recibir una infraestructura y la ANI puede demorarse en entregarla. En especial la UF0.</t>
  </si>
  <si>
    <t>Favor confirmar que el monto mensual del fondeo de la Subcuenta Contingencias que se realiza posterior al fondeo de la Subcuenta Depósito Especial y la Subcuenta de la UF 0 es definido mensualmente por el Concesionario bajo la condición que la totalidad de ese fondeo se haya cumplido en el plazo máximo establecido en el numeral 4.5 (i) (i) de la Parte Especial.</t>
  </si>
  <si>
    <t>1570. </t>
  </si>
  <si>
    <t>KMA CONSTRUCCIONES S.A.S., 15/05/2020</t>
  </si>
  <si>
    <t>SECCION 1.125.   “Orden de Inicio” Es la orden discrecional que podrá impartir la ANI para efectos de dar inicio a la ejecución del Contrato, previa verificación de los requisitos establecidos en la Sección 2.3(b)(i), 2.3(b)(ii), 2.3(b)(iii), 2.3(b)(iv) y 2.3(b)(v) de esta Parte General. La Orden de Inicio podrá impartirse por la ANI transcurridos los treinta (30) Días Hábiles siguientes a la suscripción del Contrato, si no se ha suscrito el Acta de Inicio.”</t>
  </si>
  <si>
    <t>Contrato Parte General.</t>
  </si>
  <si>
    <t>CAPITULO I- DEFINICIONES. SECCION 1.125</t>
  </si>
  <si>
    <t>1571. </t>
  </si>
  <si>
    <t>SECCION 2.3 b) (viii). “Que dentro de los treinta (30) Días Hábiles siguientes a la suscripción del Contrato el Concesionario haya recibido efectivamente los Recursos de Patrimonio por parte de sus socios y/o Fondos de Capital Privado, según corresponda, y con esto se haya cumplido el respectivo Giro de Equity, de conformidad con lo previsto en la Parte Especial.”</t>
  </si>
  <si>
    <t>CAPÍTULO II - ASPECTOS GENERALES DEL CONTRATO. SECCION 2.3 b) (viii)</t>
  </si>
  <si>
    <t>1572. </t>
  </si>
  <si>
    <t>SECCION 2.3 c) “En caso de no suscripción del Acta de Inicio, la ANI podrá expedir la Orden de Inicio de conformidad con la Sección 1.125 de esta Parte General.”</t>
  </si>
  <si>
    <t>CAPÍTULO II - ASPECTOS GENERALES DEL CONTRATO. SECCION 2.3 c)</t>
  </si>
  <si>
    <t>1573. </t>
  </si>
  <si>
    <t>SECCION 2.6 a) (vi). “El Concesionario declara y garantiza que la eventual aplicación de Deducciones, la compra de plazo adicional sin sanciones, Descuentos, Multas y Retenciones por suspensión de la Retribución en virtud de lo dispuesto en el presente Contrato no afecta la suficiencia de la Retribución.”</t>
  </si>
  <si>
    <t>CAPÍTULO II - ASPECTOS GENERALES DEL CONTRATO. SECCION 2.6 a) (vi)</t>
  </si>
  <si>
    <t>1574. </t>
  </si>
  <si>
    <t>SECCION 2.6 a) (x) “El Concesionario declara que los recursos provenientes de la Retribución serán suficientes para cumplir con la totalidad de las obligaciones y riesgos a su cargo, en los términos de la Sección 2.6(a) (vi) de esta Parte General.”</t>
  </si>
  <si>
    <t>CAPÍTULO II - ASPECTOS GENERALES DEL CONTRATO. SECCION 2.6 a) (x)</t>
  </si>
  <si>
    <t>1575. </t>
  </si>
  <si>
    <t>SECCION 2.6 a) (xvi) “Asimismo, el Concesionario informará la existencia o no de pactos o acuerdos de sus accionistas siempre que la misma no goce de reserva legal y que esté a disposición del Concesionario. Lo anterior sin perjuicio de que la ANI en cualquier momento solicite al Concesionario la información aquí relacionada o aquella que estime necesaria. El incumplimiento de esta obligación generará la imposición de la Multa por incumplimiento de otras obligaciones del Proyecto prevista en la Parte Especial.”</t>
  </si>
  <si>
    <t>CAPÍTULO II - ASPECTOS GENERALES DEL CONTRATO. SECCION 2.6 a) (xvi)</t>
  </si>
  <si>
    <t>1576. </t>
  </si>
  <si>
    <t>SECCION 2.6 a) (xvii) “El Concesionario declara y garantiza que una vez suscrito el presente Contrato y durante toda su ejecución, informará a la ANI la existencia de investigaciones (…)”</t>
  </si>
  <si>
    <t>CAPÍTULO II - ASPECTOS GENERALES DEL CONTRATO. SECCION 2.6 a) (xvii)</t>
  </si>
  <si>
    <t>Conforme lo anterior, es menester se tenga en cuenta que la etapa investigativa puede derivar en una absolución o condena, y por lo tanto entregar información antes de la decisión del organismo competente, necesariamente puede generar consecuencias al interior del proceso afectando así principios básicos como son la presunción de inocencia y el debido proceso, entre otros, y por lo tanto no brindará ninguna herramienta a la ANI para que con la simple investigación pudiere tomar algún tipo de determinación de cara al proyecto de concesión. De lo anterior, que se sugiera a la entidad que la información que deba aportarse sea la relacionada con determinaciones y/o decisiones en firme y no investigaciones.</t>
  </si>
  <si>
    <t>1577. </t>
  </si>
  <si>
    <t>SECCION 3.3 g) (iv). “Se demuestre la Elusión de acuerdo con lo establecido en la Sección 1.55 de esta Parte General y en los términos y condiciones establecidas tanto en la Sección 13.3(i) de esta Parte General como aquellas establecidas en la Parte Especial.”</t>
  </si>
  <si>
    <t>CAPITULO III – ASPECTOS ECONÓMICOS DEL CONTRATO. SECCION 3.3 g) (iv)</t>
  </si>
  <si>
    <t>1578. </t>
  </si>
  <si>
    <t>SECCION 3.3 h) (vi). “Estos recursos así aportados por la ANI se tendrán en cuenta como parte de Recaudo de Peaje, para todos los efectos previstos en este contrato, entre ellos -pero sin limitarse- para el Cálculo de la Retribución, del Soporte de Ingresos y del VPIPm.”</t>
  </si>
  <si>
    <t>CAPITULO III – ASPECTOS ECONÓMICOS DEL CONTRATO. SECCION 3.3 h) (vi)</t>
  </si>
  <si>
    <t>1579. </t>
  </si>
  <si>
    <t>SECCION 3.3 ii) “El valor resultante derivado del menor Recaudo de Peaje deberá ser consignado por la ANI en la Subcuenta Recaudo Peaje con los recursos disponibles en el Fondo de Contingencias y en la prelación establecida en la Sección 13.4 de esta Parte General. En cualquier caso, aplicarán los plazos e intereses previstos en la Sección 3.6 de esta Parte General. Estos plazos comenzarán a contar desde la suscripción del acta de cálculo trimestral o desde la solución de la controversia, de ser el caso.”</t>
  </si>
  <si>
    <t>CAPITULO III – ASPECTOS ECONÓMICOS DEL CONTRATO. SECCION 3.3 ii)</t>
  </si>
  <si>
    <t>1580. </t>
  </si>
  <si>
    <t>SECCION 3.3 (iii). “Estos recursos así aportados por la ANI se tendrán en cuenta como parte del Recaudo de Peaje, para todos los efectos previstos en este Contrato, entre ellos –pero sin limitarse– para el cálculo de la Retribución, del Soporte de Ingresos y del VPIPm.”</t>
  </si>
  <si>
    <t>CAPITULO III – ASPECTOS ECONÓMICOS DEL CONTRATO. SECCION 3.3 (iii)</t>
  </si>
  <si>
    <t>1581. </t>
  </si>
  <si>
    <t>SECCION 3.9 b) “(…)  y de cualquier otra obligación dineraria a cargo del Concesionario.”</t>
  </si>
  <si>
    <t>CAPITULO III – ASPECTOS ECONÓMICOS DEL CONTRATO. SECCION 3.9 b)</t>
  </si>
  <si>
    <t>1582. </t>
  </si>
  <si>
    <t>SECCION 3.12 d) (vii) “Si los Prestamistas ejercen el derecho a tomar posesión del Proyecto, tendrán un término máximo de noventa (90) Días (…)”</t>
  </si>
  <si>
    <t>CAPITULO III – ASPECTOS ECONÓMICOS DEL CONTRATO. SECCION 3.12 d) (vii)</t>
  </si>
  <si>
    <t>1583. </t>
  </si>
  <si>
    <t>SECCION 3.12 e) (i) “(…)que deben ser ejecutadas en menos de noventa (90) Días contados a partir de la fecha de dicha Notificación”</t>
  </si>
  <si>
    <t>CAPITULO III – ASPECTOS ECONÓMICOS DEL CONTRATO. SECCION 3.12 e) (i)</t>
  </si>
  <si>
    <t>1584. </t>
  </si>
  <si>
    <t>SECCIÓN - 3.13 b) “No obstante, en cualquier momento la ANI podrá solicitar la remoción de la Fiducia hasta la suscripción del Acta de Liquidación del Contrato por el incumplimiento de cualquiera de las obligaciones a su cargo descritas en el Contrato, en este caso para la selección de la nueva Fiduciaria se deberán observar las mismas condiciones previstas en esta Sección.”</t>
  </si>
  <si>
    <t>CAPÍTULO III ASPECTOS ECONÓMICOS DEL CONTRATO. SECCIÓN - 3.13 b)</t>
  </si>
  <si>
    <t>1585. </t>
  </si>
  <si>
    <t>SECCIÓN 3.14 g) (ii) (7) “El pago de los costos que se generen en el cumplimiento de los acuerdos derivados de las consultas previas en los términos descritos en la Sección 8.1 de esta Parte General.”</t>
  </si>
  <si>
    <t>CAPÍTULO III ASPECTOS ECONÓMICOS DEL CONTRATO. SECCIÓN 3.14 g) (ii) (7)</t>
  </si>
  <si>
    <t>1586. </t>
  </si>
  <si>
    <t>SECCIÓN 3.14 h) (i) “La Cuenta ANI se creará con la suscripción del Contrato de Fiducia Mercantil, y se fondeará de acuerdo con lo señalado a continuación. Salvo por la Subcuenta Aportes ANI, Subcuenta Tiquetes Prepagados, Subcuenta Recaudo Peaje y Subcuentas de Retenciones, la ANI podrá trasladar entre las Subcuentas de la Cuenta ANI los recursos allí consignados, siempre y cuando la subcuenta donde se origina el traslado se encuentre con los recursos suficientes para cumplir su finalidad.”</t>
  </si>
  <si>
    <t>CAPÍTULO III ASPECTOS ECONÓMICOS DEL CONTRATO. SECCIÓN 3.14 h) (i)</t>
  </si>
  <si>
    <t>1587. </t>
  </si>
  <si>
    <t>SECCIÓN 3.14 h) (v) (6) “En el evento que las Fases contenidas en la Etapa Preoperativa tengan una duración superior a la establecida en la Parte Especial, originada incluso por Eventos Eximente de Responsabilidad, el Concesionario deberá seguir fondeando esta Subcuenta, en el monto correspondiente al plazo adicional de la Fase. Estos aportes deberán realizarse de tal forma que garanticen los valores faltantes y en los plazos y montos que le establezca la ANI, de tal forma que el mecanismo sea eficiente y oportuno”.</t>
  </si>
  <si>
    <t>CAPÍTULO III ASPECTOS ECONÓMICOS DEL CONTRATO. SECCIÓN 3.14 h) (v) (6)</t>
  </si>
  <si>
    <t>1588. </t>
  </si>
  <si>
    <t>SECCIÓN 3.14 h) (vi) (6) “En el evento que, el valor mínimo del aporte a la Subcuenta Soporte Contractual descrito en la Parte Especial sea insuficiente para atender los reconocimientos destinados a la atención de los pagos, los recursos adicionales serán aportados oportunamente y cuando se necesiten por el Concesionario, con previa aprobación de la ANI.”</t>
  </si>
  <si>
    <t>CAPÍTULO III ASPECTOS ECONÓMICOS DEL CONTRATO. SECCIÓN 3.14 h) (vi) (6)</t>
  </si>
  <si>
    <t>1589. </t>
  </si>
  <si>
    <t>SECCIÓN 3.14 h) (vii) (2) “Los costos y gastos en que incurra el Concesionario en la convocatoria del mecanismo de Amigable Composición serán asumidos en su totalidad por el Concesionario y no harán parte del concepto de gasto de la Subcuenta MASC”.</t>
  </si>
  <si>
    <t>CAPÍTULO III ASPECTOS ECONÓMICOS DEL CONTRATO. SECCIÓN 3.14 h) (vii) (2)</t>
  </si>
  <si>
    <t>Conforme lo anterior, el hecho que se acepte que el Concesionario deba asumir los costos y gastos en que se incurra para el Amigable Componedor, hace que se generen aspectos que limiten el acceso al mismo, por cuanto varias indefiniciones de la ANI o de la Interventoría hacen que se deba acudir a tal instrumento, generando entonces grandes perjuicios al Concesionario.</t>
  </si>
  <si>
    <t>1590. </t>
  </si>
  <si>
    <t>SECCIÓN 3.14 h) (vii) (3) “Los costos y gastos en que incurra el Concesionario en la convocatoria del Tribunal de Arbitramento serán asumidos en su totalidad por el Concesionario y no harán parte del concepto de gasto de la Subcuenta MASC.”</t>
  </si>
  <si>
    <t>CAPÍTULO III ASPECTOS ECONÓMICOS DEL CONTRATO. SECCIÓN 3.14 h) (vii) (3)</t>
  </si>
  <si>
    <t>Conforme lo anterior, el hecho que se acepte que el Concesionario deba asumir los costos y gastos en que se incurra para el Amigable Componedor, hace que se generen aspectos que limiten el acceso al mismo, por cuanto varias indefiniciones de la ANI o de la Interventoría hacen que se deba acudir a tal instrumento, generando entonces grandes perjuicios al Concesionario. Por lo anterior, no tiene asidero alguno que los recursos allí fondeados tengan no puedan cumplir con el pago de los honorarios y/o gastos del Concesionario.</t>
  </si>
  <si>
    <t>1591. </t>
  </si>
  <si>
    <t>SECCIÓN 3.14 h) (viii) (4) “Dentro de los cinco (5) primeros Días de cada Mes, el Concesionario deberá enviar al Interventor copia de la totalidad de los comprobantes de ingresos recibidos efectivamente en el Mes anterior, por concepto de Servicios Adicionales para su seguimiento y control.”</t>
  </si>
  <si>
    <t>CAPÍTULO III ASPECTOS ECONÓMICOS DEL CONTRATO. SECCIÓN 3.14 h) (viii) (4)</t>
  </si>
  <si>
    <t>1592. </t>
  </si>
  <si>
    <t>SECCION 3.16 (d) “Si las Partes no logran un acuerdo en un plazo máximo de sesenta (60) Días, desde que cualquiera de ellas envíe una Notificación a la otra señalando que, en su concepto, se ha dado alguna de las situaciones descritas en las Secciones 3.16(a)(ii) y 3.16(a)(iii) anteriores, las Partes podrán acudir al Amigable Componedor. La decisión será válida solo para el año calendario al que se refiere la reclamación.”</t>
  </si>
  <si>
    <t>CAPÍTULO III ASPECTOS ECONÓMICOS DEL CONTRATO. SECCION 3.16 (d)</t>
  </si>
  <si>
    <t>1593. </t>
  </si>
  <si>
    <t>SECCION 4.9 (c) “(…) contados desde el momento en que la ANI cuente con la información necesaria para analizar la solicitud”</t>
  </si>
  <si>
    <t>CAPÍTULO IV ETAPA PREOPERATIVA – GENERALIDADES. SECCION 4.9 (c)</t>
  </si>
  <si>
    <t>1594. </t>
  </si>
  <si>
    <t>SECCION 4.10 d) “(…) de los sesenta (60) Días (…)”</t>
  </si>
  <si>
    <t>CAPÍTULO IV ETAPA PREOPERATIVA – GENERALIDADES. SECCION 4.10 d)</t>
  </si>
  <si>
    <t>1595. </t>
  </si>
  <si>
    <t>SECCION 4.10 m) “Los valores a favor de la ANI no serán objeto de devolución en ninguna circunstancia al Concesionario, ni siquiera en el caso en que no llegue a requerir el plazo que solicitó.”</t>
  </si>
  <si>
    <t>CAPÍTULO IV ETAPA PREOPERATIVA – GENERALIDADES. SECCION 4.10 m)</t>
  </si>
  <si>
    <t>1596. </t>
  </si>
  <si>
    <t>SECCION 4.11 f) “(…) no implican mayores costos, las mismas serán de obligatorio cumplimiento para el Concesionario, sin necesidad de requerimiento alguno por parte de la ANI. Los ahorros por el cambio en las Especificaciones Técnicas serán a favor de la ANI.”</t>
  </si>
  <si>
    <t>Igualmente, en cumplimiento del principio constitucional de igualdad, es menester que se brinde el mismo tratamiento tanto si se tienen aspecto o ahorros para la ANI como cuando las mismas no prevean estos.</t>
  </si>
  <si>
    <t>1597. </t>
  </si>
  <si>
    <t>SECCION 7.2 (d) (iii) “Sin embargo, si el Valor Estimado de Predios llegare a ser insuficiente como consecuencia de las(s) modificación(es) que haya efectuado de manera voluntaria el Concesionario al Estudio de Factibilidad de Trazado y Diseño Geométrico, se dará aplicación a lo previsto en la Sección 6.3 de esta Parte General.”</t>
  </si>
  <si>
    <t>CAPÍTULO VII ETAPA PREOPERATIVA - GESTIÓN PREDIAL. SECCION 7.2 (d) (iii)</t>
  </si>
  <si>
    <t>1598. </t>
  </si>
  <si>
    <t>SECCION 7.2 (f) (iii) “(…) término máximo de treinta (30) Días (…)”</t>
  </si>
  <si>
    <t>CAPÍTULO VII ETAPA PREOPERATIVA - GESTIÓN PREDIAL. SECCION 7.2 (f) (iii)</t>
  </si>
  <si>
    <t>1599. </t>
  </si>
  <si>
    <t>SECCION 7.2 (f) (v) “Si la ANI no aprueba la cuenta de cobro en los términos aquí previstos y/o no expide el documento a que se refiere la Sección 7.2 (f) (iii) anterior una vez las observaciones de la ANI sean resueltas por parte del Concesionario, se entenderá suspendida la obligación del Concesionario de seguir haciendo desembolsos por los montos que son a cargo de la ANI, hasta tanto se apruebe por la ANI la cuenta de cobro y se expida el documento correspondiente”.</t>
  </si>
  <si>
    <t>CAPÍTULO VII ETAPA PREOPERATIVA - GESTIÓN PREDIAL. SECCION 7.2 (f) (v)</t>
  </si>
  <si>
    <t>1600. </t>
  </si>
  <si>
    <t>SECCION 8.1 c) (ii) “Los recursos de la Subcuenta Compensaciones Socioambientales serán destinados exclusivamente a las Compensaciones Socioambientales. Los demás gastos asociados a la Gestión Social y Ambiental serán asumidos por el Concesionario, en su totalidad. Al finalizar la ejecución de las Compensaciones Socioambientales, el remanente de los recursos de la Subcuenta Compensaciones Socioambientales será de libre disposición de la ANI, siendo la única beneficiaria de la totalidad de los recursos remanentes y, por tanto, estos recursos se trasladarán a la Subcuenta Excedentes ANI.”</t>
  </si>
  <si>
    <t>CAPÍTULO VIII ETAPA PREOPERATIVA - GESTIÓN SOCIAL Y AMBIENTAL, REDES, OTROS. SECCION 8.1 c) (ii)</t>
  </si>
  <si>
    <t>1601. </t>
  </si>
  <si>
    <t>SECCION 8.1 c) (iii) “Sin embargo, si el Valor Estimado de Compensaciones Socioambientales llegare a ser insuficiente como consecuencia de la(s) modificación(es) que haya(n) efectuado de manera voluntaria el Concesionario al Estudio de Factibilidad de Trazado y Diseño Geométrico, dicho sistema de bandas no aplicará. El Concesionario asumirá estos sobrecostos de forma exclusiva, en las condiciones establecidas en la Sección 6.3 de esta Parte General.”</t>
  </si>
  <si>
    <t>CAPÍTULO VIII ETAPA PREOPERATIVA - GESTIÓN SOCIAL Y AMBIENTAL, REDES, OTROS. SECCION 8.1 c) (iii)</t>
  </si>
  <si>
    <t>1602. </t>
  </si>
  <si>
    <t>SECCION 8.2 e) (iii) “Si el valor correspondiere a una cuantía superior al doscientos por ciento (200%), la fracción que exceda el doscientos por ciento (200%) del Valor Estimado de Redes será a cargo de la ANI.”</t>
  </si>
  <si>
    <t>CAPÍTULO VIII ETAPA PREOPERATIVA - GESTIÓN SOCIAL Y AMBIENTAL, REDES, OTROS. SECCION 8.2 e) (iii)</t>
  </si>
  <si>
    <t>1603. </t>
  </si>
  <si>
    <t>SECCION 9.2 (g) “Adelantar la adquisición de Predios, cuando exista justificación de orden técnico refrendada por el Interventor, por efectos de emergencias ocasionadas en el Corredor del Proyecto, aplicando –en lo que corresponda– los procedimientos establecidos en el CAPÍTULO VII de esta Parte General y en el Apéndice Técnico 7. Para estos efectos, el Concesionario deberá haber obtenido autorización previa de la ANI respecto de la disponibilidad de los recursos necesarios para la atención de la emergencia en cuanto a la adquisición de los Predios requeridos.”</t>
  </si>
  <si>
    <t>CAPÍTULO IX ETAPA DE OPERACIÓN Y MANTENIMIENTO Y ETAPA DE REVERSIÓN. SECCION 9.2 (g)</t>
  </si>
  <si>
    <t>1604. </t>
  </si>
  <si>
    <t>SECCION 10.4 Procedimiento para la imposición de Multas o Sanciones</t>
  </si>
  <si>
    <t>CAPÍTULO X SANCIONES Y ESQUEMAS DE APREMIO. SECCION 10.4</t>
  </si>
  <si>
    <t>c) El acto administrativo que ponga la multa debe estar debidamente motivado y garantizará el derecho de debido proceso y defensa.</t>
  </si>
  <si>
    <t>1605. </t>
  </si>
  <si>
    <t>SECCION 10.5 “(…) Se causarán intereses moratorios desde el momento de la exigibilidad de la Multa o Sanción hasta el momento efectivo del pago, en los montos establecidos en la Sección 3.6 de esta Parte General.”</t>
  </si>
  <si>
    <t>CAPÍTULO X SANCIONES Y ESQUEMAS DE APREMIO. SECCION 10.5</t>
  </si>
  <si>
    <t>1606. </t>
  </si>
  <si>
    <t>SECCION 12.7 (c) “El Concesionario podrá constituir esta póliza por un plazo inicial de un (1) año y prorrogarla por períodos sucesivos de un (1) año. Esta prórroga deberá hacerse con una anticipación no menor a los treinta (30) Días Hábiles anteriores a la fecha establecida para su expiración.”</t>
  </si>
  <si>
    <t>CAPÍTULO XII GARANTÍAS Y MECANISMOS DE COBERTURA DE RIESGOS. SECCION 12.7 (c).</t>
  </si>
  <si>
    <t>1607. </t>
  </si>
  <si>
    <t>SECCION 12.8 (ii) “Cuando la Unidad Funcional incluya la entrega de infraestructura existente, la póliza de obras civiles deberá amparar las obras existentes, desde la Fecha de Inicio. El valor inicial del seguro de obras civiles corresponderá al valor asegurado que resulte del estudio de pérdida máxima probable.”</t>
  </si>
  <si>
    <t>1608. </t>
  </si>
  <si>
    <t>CAPÍTULO XIV TERMINACIÓN PARCIAL DE UNIDAD FUNCIONAL, EVENTO EXIMENTE DE RESPONSABILIDAD E INDEMNIDADES. SECCION 14.2 (c) (i)</t>
  </si>
  <si>
    <t>1609. </t>
  </si>
  <si>
    <t>SECCION 14.2 (c) (ii) “El plazo descrito en la Sección anterior, podrá ser mayor previa aprobación de la ANI y el Interventor, cuando el hecho generador del Evento Eximente de Responsabilidad sea continuo y permanente a lo largo del tiempo y su efecto sólo pueda ser dimensionado con posterioridad a su ocurrencia.”</t>
  </si>
  <si>
    <t>CAPÍTULO XIV TERMINACIÓN PARCIAL DE UNIDAD FUNCIONAL, EVENTO EXIMENTE DE RESPONSABILIDAD E INDEMNIDADES. SECCION 14.2 (c) (ii)</t>
  </si>
  <si>
    <t>1610. </t>
  </si>
  <si>
    <t>SECCION 14.2 (c) (iv) “Una vez efectuada la Notificación dentro del término y en las condiciones indicadas en la Sección 14.2(c)(i) anterior, la Parte notificada deberá, dentro de los treinta (30) Días Hábiles siguientes a dicha Notificación, expresar si acepta, o no, la ocurrencia del Evento Eximente de Responsabilidad.”</t>
  </si>
  <si>
    <t>CAPÍTULO XIV TERMINACIÓN PARCIAL DE UNIDAD FUNCIONAL, EVENTO EXIMENTE DE RESPONSABILIDAD E INDEMNIDADES. SECCION 14.2 (c) (iv)</t>
  </si>
  <si>
    <t>1611. </t>
  </si>
  <si>
    <t>SECCION 14.2 (f) (iii) “En caso de suspensión del Contrato por un Evento Eximente de Responsabilidad, el Concesionario deberá tomar las medidas conducentes, a su costo, para que la vigencia de las Garantías y Mecanismos de Cobertura del presente Contrato sean extendidos de conformidad con el período de suspensión.”</t>
  </si>
  <si>
    <t>CAPÍTULO XIV TERMINACIÓN PARCIAL DE UNIDAD FUNCIONAL, EVENTO EXIMENTE DE RESPONSABILIDAD E INDEMNIDADES. SECCION 14.2 (f) (iii)</t>
  </si>
  <si>
    <t>1612. </t>
  </si>
  <si>
    <t>SECCION 14.2 Evento Eximente de Responsabilidad:</t>
  </si>
  <si>
    <t>CAPÍTULO XIV TERMINACIÓN PARCIAL DE UNIDAD FUNCIONAL, EVENTO EXIMENTE DE RESPONSABILIDAD E INDEMNIDADES. SECCION 14.2</t>
  </si>
  <si>
    <t>1613. </t>
  </si>
  <si>
    <t>SECCION 15.1 (c) (i) “(…) excluyendo profesionales en Derecho y que cuenten con una experiencia profesional específica acreditada de ocho (8) años en contratación estatal y/o proyectos de infraestructura”.</t>
  </si>
  <si>
    <t>CAPÍTULO XV SOLUCIÓN DE CONTROVERSIAS. SECCION 15.1 (c) (i)</t>
  </si>
  <si>
    <t>1614. </t>
  </si>
  <si>
    <t>SECCION 15.1 (f) (vi) “Las decisiones del Panel de Amigables Componedores una vez adoptadas, serán irrevocables.”</t>
  </si>
  <si>
    <t>1615. </t>
  </si>
  <si>
    <t>SECCION 15.3 (h)</t>
  </si>
  <si>
    <t>CAPÍTULO XV SOLUCIÓN DE CONTROVERSIAS. SECCION 15.3 (h)</t>
  </si>
  <si>
    <t>1616. </t>
  </si>
  <si>
    <t>SECCION 19.1 (c) “En el caso de que no se logre el acuerdo anterior o si, en cada caso particular, no se logra un acuerdo en cuanto al costo de cada día de obra de manera previa a su ejecución, las obras serán ejecutadas por un tercero que deberá ser contratado por el Concesionario, conforme a las siguientes (…)”</t>
  </si>
  <si>
    <t>CAPÍTULO XIX VARIOS. SECCION 19.1 (c)</t>
  </si>
  <si>
    <t>1617. </t>
  </si>
  <si>
    <t>Tabla 5 y Tabla 11</t>
  </si>
  <si>
    <t>Apéndice Técnico 1. Tabla 5 y Tabla 11</t>
  </si>
  <si>
    <t>Así mismo, nótese que el tramo Intersección Acceso Sur Palmira – Intersección Cali-Palmira 3 (Palmira-El Cerrito), no está incluido en la Tabla 11 – Características Geométricas y técnicas para vías a cielo abierto UF2</t>
  </si>
  <si>
    <t>1618. </t>
  </si>
  <si>
    <t>Numeral 5.5. del Apéndice Técnico 1:</t>
  </si>
  <si>
    <t>Apéndice Técnico 1. Numeral 5.5.</t>
  </si>
  <si>
    <t>Tanto los puentes peatonales nuevos como los existentes deben ser operados y mantenidos, al igual que los paraderos, por la concesión durante la vida útil del contrato.</t>
  </si>
  <si>
    <t>1619. </t>
  </si>
  <si>
    <t>Tabla 5</t>
  </si>
  <si>
    <t>La solicitud no es procedente, las obligaciones de Operación y Mantenimiento del alumbrado, entre otras, sobre la recta Cali Palmira estarán a cargo del Concesionario.</t>
  </si>
  <si>
    <t>Apéndice Técnico 1. Tabla 5</t>
  </si>
  <si>
    <t>En ese sentido, agradecemos incluir en el Apéndice Técnico 1 que la operación y mantenimiento del Alumbrado instalado será asumido por cuenta de los entes territoriales.</t>
  </si>
  <si>
    <t>1620.     </t>
  </si>
  <si>
    <t>Strabag, 15/05/2020</t>
  </si>
  <si>
    <t>Sírvase confirmar si se debe o no presentar estados financieros</t>
  </si>
  <si>
    <t>Pliego de Condiciones numeral 1.3.25</t>
  </si>
  <si>
    <t>1621.     </t>
  </si>
  <si>
    <t>Pliego de Condiciones numeral 1.3.25 y Anexo 13</t>
  </si>
  <si>
    <t>1622.     </t>
  </si>
  <si>
    <t xml:space="preserve">Solicitamos respetuosamente se unifique y haya uniformidad entre el texto del numeral 3.4 del Pliego de Condiciones y el contenido de la Carta de Presentación de la Oferta. </t>
  </si>
  <si>
    <t>Pliego de Condiciones numeral 3.4 y Anexo 2</t>
  </si>
  <si>
    <t>1623.     </t>
  </si>
  <si>
    <t>Pliego de Condiciones numeral 4.1.3</t>
  </si>
  <si>
    <t>Sírvase confirmar que de acuerdo con el texto transcrito no es necesario obre una autorización y/o facultad explicita en relación con la licitación pública sino que basta autorizaciones y/o facultades generales.</t>
  </si>
  <si>
    <t>1624.     </t>
  </si>
  <si>
    <t>Sírvase confirmar que en el caso de un proponente individual no se debe designar a un/él Líder y que para tal efecto se deben eliminar las referencias a Líder del Anexo 4 – Acuerdo de Permanencia. Así mismo sírvase confirmar si dicho Anexo 4 se debe redactar para ajustar sus referencias a proponente individual, toda vez que el mismo está redactado para estructuras plurales.</t>
  </si>
  <si>
    <t>Pliego de Condiciones numeral 4.1.5 (a) (iv) y Anexo 4 – Acuerdo de Permanencia</t>
  </si>
  <si>
    <t>1625.     </t>
  </si>
  <si>
    <t>Sírvase confirmar si un ingeniero extranjero y/o con profesión afín (con títulos académicos obtenidos en el exterior y no en Colombia) con permiso temporal para ejercer la ingeniería expedido por Consejo Profesional Nacional de Ingeniería, COPNIA, en los términos del artículo 23 de la Ley 842 de 2003 puede avalar la propuesta.</t>
  </si>
  <si>
    <t>Pliego de Condiciones numeral 4.1.6 y Anexo 2</t>
  </si>
  <si>
    <t>1626.     </t>
  </si>
  <si>
    <t>Pliego de Condiciones numeral 4.1.9 y Anexo 6</t>
  </si>
  <si>
    <t>1627.     </t>
  </si>
  <si>
    <t>Solicitamos que se reduzca el valor exigido para la garantía de seriedad de la oferta. En este sentido llamamos la atención sobre el hecho que el valor contemplado en el Pliego de Condiciones es superior al que se contempla en el artículo 2.2.1.2.3.1.9 del Decreto 1082 de 2015. Así, solicitamos que se reduzca el valor de la garantía de seriedad de la oferta según el porcentaje mínimo aceptable de acuerdo con lo establecido en el decreto referido. Ese porcentaje mínimo que corresponde al 2.5% es una cifra sustancial que garantizará plenamente a la ANI por todo lo relacionado con la seriedad de la oferta.</t>
  </si>
  <si>
    <t xml:space="preserve"> numeral 4.1.14 (a) (vi) </t>
  </si>
  <si>
    <t>1628.     </t>
  </si>
  <si>
    <t>En estos numerales se observan reglas muy similares, al respecto agradecemos que la ANI confirme si dichos numerales regulan las mismas situaciones y si no es así, que amablemente explique la diferencia o que realice los ajustes respectivos en el pliego</t>
  </si>
  <si>
    <t>numerales 4.2.2 (b) y 4.2.2. (d) y 4.2.9.</t>
  </si>
  <si>
    <t>1629.     </t>
  </si>
  <si>
    <t>Sugerimos ajustar la redacción de este numeral para que sea claro que la limitación de máximo cuatro (4) se refiere es a proyectos y no a contratos, toda vez que sobre un mismo proyecto se pueden presentar dos o más contratos (de financiación o de concesión) para acreditar la experiencia en inversión exigida en el Pliego de Condiciones.</t>
  </si>
  <si>
    <t>numeral 4.2.5</t>
  </si>
  <si>
    <t>1630.     </t>
  </si>
  <si>
    <t>numeral 4.3.1</t>
  </si>
  <si>
    <t>1631.     </t>
  </si>
  <si>
    <t>1632.     </t>
  </si>
  <si>
    <t xml:space="preserve">Solicitamos a la ANI que modifique el criterio de asignación del 1% de puntaje por la contratación de trabajadores en condición de discapacidad. Este aspecto resulta abiertamente discriminatorio e incluso inconstitucional frente a proponente extranjeros sin domicilio en Colombia, para los cuales resulta imposible contratar a personal en Colombia sin tener ningún tipo de actividad en el país y mucho menos obtener certificados del Ministerio del Trabajo. </t>
  </si>
  <si>
    <t>Subsidiariamente solicitamos que se ajusten estos requisitos de tal manera que los proponentes extranjeros puedan acreditar la contratación de trabajadores en condición de discapacidad en sus respectivos países y con las certificaciones de las autoridades competentes en el país de su domicilio</t>
  </si>
  <si>
    <t xml:space="preserve"> numeral 5.6.1</t>
  </si>
  <si>
    <t>1633.     </t>
  </si>
  <si>
    <t>Observamos que los literales (f) y (u) se refieren al mismo documento, por favor aclarar o ajustar el pliego.</t>
  </si>
  <si>
    <t>numeral 7.1.1</t>
  </si>
  <si>
    <t>1634.     </t>
  </si>
  <si>
    <t xml:space="preserve">En la Página 3 después del literal (i) parece haber errores de numeración toda vez que vuelve a iniciar en a). </t>
  </si>
  <si>
    <t xml:space="preserve">Pliego de Condiciones – Anexo 2 </t>
  </si>
  <si>
    <t>Adicionalmente en la página 3 en el que aparece como “a)” hay una referencia equivocada al Código Penal.</t>
  </si>
  <si>
    <t>1635.     </t>
  </si>
  <si>
    <t>Pliego de Condiciones – Anexo 3 numeral 7.1</t>
  </si>
  <si>
    <t>1636.     </t>
  </si>
  <si>
    <t>Solicitamos corregir la referencia al año 2019 que se observa en letras</t>
  </si>
  <si>
    <t>1637.     </t>
  </si>
  <si>
    <t>Pliego de Condiciones – Anexo 4 numeral 4.2</t>
  </si>
  <si>
    <t xml:space="preserve">Solicitamos eliminar la palabra resaltada en la medida que no se entiende el alcance de la obligación de los integrantes del Oferente de “representar” al Concesionario. </t>
  </si>
  <si>
    <t>1638.     </t>
  </si>
  <si>
    <t>Pliego de Condiciones – Anexo 4 numeral 8.2</t>
  </si>
  <si>
    <t>1639.     </t>
  </si>
  <si>
    <t>Pliego de Condiciones – Anexo 4 numeral 11</t>
  </si>
  <si>
    <t>1640.     </t>
  </si>
  <si>
    <t>Pliego de Condiciones – Anexo 9</t>
  </si>
  <si>
    <t>1641.     </t>
  </si>
  <si>
    <t>Solicitamos que en todos aquellos casos en los que se haga referencia a cargos de la ANI, por ejemplo, Vicepresidente de Gestión Contractual, Vicepresidente Ejecutivo de la ANI, Gerente del Proyecto de la ANI, etc. se incluya la expresión “o quien haga sus veces”. Por ejemplo, en las Secciones 1.2 “Acta de Inicio” o 1.85 “Gerente del Proyecto” dicha expresión no se utiliza en todos los casos y no es suficientemente claro.</t>
  </si>
  <si>
    <t>Minuta del Contrato – Parte General</t>
  </si>
  <si>
    <t>1642.     </t>
  </si>
  <si>
    <t>Se observan varias referencias a conceptos como por ejemplo “Aportes ANI” (sección 1.17 en la Parte General del Contrato de Concesión, sin embargo, la tabla de referencias de la Parte Especial señala que se deberá entender eliminada cualquier referencia a los Aportes ANI. Esto hace que el contrato de concesión resulte confuso y no sea claro. Solicitamos uniformidad en todo el contrato y si es el caso que se eliminen las cláusulas respectivas de la Parte General.  Sugerimos donde aplique, señalar [dejada intencionalmente en blanco].  Solicitamos aplicar lo anterior para todos los conceptos y definiciones que no apliquen para el presente Proyecto.</t>
  </si>
  <si>
    <t>Minuta del Contrato – Parte General Sección 1.17</t>
  </si>
  <si>
    <t>1643.     </t>
  </si>
  <si>
    <t>Minuta del Contrato – Parte General Sección 1.42</t>
  </si>
  <si>
    <t>1644.     </t>
  </si>
  <si>
    <t xml:space="preserve">En varias Secciones del Contrato se utiliza la expresión “evasión” sin mayúscula por lo que no es claro si dichas referencias son al concepto definido de Evasión en la Sección 1.69 de la Parte General de la Minuta del Contrato. Solicitamos revisar y corregir. Ver por ejemplo, la Sección 13.2 (a) (xix). </t>
  </si>
  <si>
    <t>Minuta del Contrato – Parte General Sección 1.69</t>
  </si>
  <si>
    <t>1645.     </t>
  </si>
  <si>
    <t xml:space="preserve">En el primer párrafo solicitamos incluir referencia a laudos arbitrales en los siguientes términos: </t>
  </si>
  <si>
    <t>Minuta del Contrato – Parte General Sección 1.79</t>
  </si>
  <si>
    <t>1646.     </t>
  </si>
  <si>
    <t>Solicitamos ajustar la redacción, no es claro si el Gerente de Proyecto es delegado por el Vicepresidente de Gestión Contractual o por el Vicepresidente Ejecutivo o por los dos.</t>
  </si>
  <si>
    <t>Minuta del Contrato – Parte General Sección 1.85</t>
  </si>
  <si>
    <t xml:space="preserve">Adicionalmente y en todo caso solicitamos que dicha delegación conste por escrito y ello le sea informado también por escrito al Concesionario </t>
  </si>
  <si>
    <t>1647.     </t>
  </si>
  <si>
    <t xml:space="preserve">Agradecemos que la ANI aclare en qué momento el Ministerio de Transporte emitirá la Resolución de Peajes. Entendemos que debería ser antes de la presentación de la oferta. Agradecemos confirmar nuestro entendimiento. </t>
  </si>
  <si>
    <t>Minuta del Contrato – Parte General Sección 1.158</t>
  </si>
  <si>
    <t>1648.     </t>
  </si>
  <si>
    <t>Minuta del Contrato – Parte General Sección 1.94 y 3.14 (h) (ix)</t>
  </si>
  <si>
    <t xml:space="preserve">Lo anterior es fundamental para que realmente exista motivación para el Concesionario de realizar Explotación Comercial y que no tenga que asumir una carga tributaria adicional con ocasión de ello. </t>
  </si>
  <si>
    <t xml:space="preserve">Es muy relevante que la ANI considere que, conforme a lo establecido en el Contrato de Concesión, el Concesionario no percibirá para su propia disposición o uso estos Ingresos por Explotación Comercial sino por el contrario, estará obligado a depositar los mismos de una parte en la Subcuenta Excedentes ANI y la otra en la Subcuenta por Explotación Comercial. En ambos casos dichos recursos no son de libre disposición del concesionario y frente a aquellos depositados en la Subcuenta por Explotación Comercial, estos recursos solamente serán entregados al Concesionario cuando se cumplan las condiciones establecidas en el Contrato de Concesión (entrega de Unidades Funcionales y derecho a la retribución + cumplimiento de indicadores) de modo que son sumas no constituyen un ingreso para el Concesionario porque no incrementan su patrimonio al momento en que terceros paguen por dichos conceptos.  No resulta razonable que el Concesionario tenga que liquidar y pagar los impuestos correspondientes sin tener disposición real sobre los ingresos. </t>
  </si>
  <si>
    <t>1649.     </t>
  </si>
  <si>
    <t xml:space="preserve">Sirvase aclarar cual es la diferencia entre Líder de Proyecto (Sección 1.104 Parte General) y Gerente de Proyecto (1.85 Parte General). Se refiere a la misma persona o son cargos diferentes. </t>
  </si>
  <si>
    <t>Minuta del Contrato – Parte General Sección 1.104</t>
  </si>
  <si>
    <t>1650.     </t>
  </si>
  <si>
    <t>Solicitamos que el fondeo de las subcuentas a las que se refieren estas secciones de pueda realizar dentro de los treinta (30) días hábiles siguientes a la constitución del Patrimonio Autónomo, tal y como ocurre con el primer Giro de Equity tal y como lo establece el numeral (viii) de esta misma sección.</t>
  </si>
  <si>
    <t xml:space="preserve">Minuta del Contrato – Parte General Sección 2.3 (b) (iii) </t>
  </si>
  <si>
    <t>1651.     </t>
  </si>
  <si>
    <t>Solicitamos eliminar las siguientes dos condiciones para la firma del Acta de Inicio:</t>
  </si>
  <si>
    <t>Minuta del Contrato – Parte General Sección 2.3 (b)</t>
  </si>
  <si>
    <t xml:space="preserve"> (iv) La designación del Líder de Proyecto de la ANI, que, en todo caso, deberá llevarse a cabo dentro de los diez (10) Días Hábiles siguientes a la suscripción del Contrato.</t>
  </si>
  <si>
    <t>(v) La suscripción por parte de la ANI del Contrato de Interventoría.</t>
  </si>
  <si>
    <t>Lo anterior toda vez que dichas condiciones escapan al control absoluto del Concesionario y corresponden en realidad a asuntos exclusivos de la ANI.</t>
  </si>
  <si>
    <t>Adicionalmente solicitamos eliminar el numeral (vii) en la medida que no existe precalificación en el presente proceso.</t>
  </si>
  <si>
    <t>1652.     </t>
  </si>
  <si>
    <t xml:space="preserve">Solicitamos ajustar esta sección para que el plazo del Contrato sea el máximo plazo permitido por la Ley Aplicable. Adicionalmente solicitamos se incluya expresa referencia al artículo 25 del Decreto 482 del 26 de marzo de 2020 y al Artículo 15 del Decreto 569 de 15 de abril de 2020 en materia de ampliación de plazos de asociaciones público-privadas.  </t>
  </si>
  <si>
    <t>Minuta del Contrato – Parte General Sección 2.4</t>
  </si>
  <si>
    <t>1653.     </t>
  </si>
  <si>
    <t>Minuta del Contrato. Parte General sección 2.6 (a) (vi)</t>
  </si>
  <si>
    <t>1654.     </t>
  </si>
  <si>
    <t xml:space="preserve">Solicitamos ajustar la redacción de esta sección en los siguientes términos (adiciones en rojo): </t>
  </si>
  <si>
    <t>Minuta del Contrato. Parte General, sección 2.6 (a) (x)</t>
  </si>
  <si>
    <t>1655.     </t>
  </si>
  <si>
    <t>Minuta del Contrato. Parte General, sección 3.1 (e)</t>
  </si>
  <si>
    <t>1656.     </t>
  </si>
  <si>
    <t xml:space="preserve">Solicitamos que la referencia en esta sección debe ser a la Resolución de Peaje vigente al momento de la presentación de la oferta y no a la celebración del Contrato. </t>
  </si>
  <si>
    <t>Minuta del Contrato. Parte General, sección 3.3 (i)</t>
  </si>
  <si>
    <t>1657.     </t>
  </si>
  <si>
    <t xml:space="preserve">Solicitamos eliminar todo tipo de obligación relativa a acreditar un Cierre Financiero ante la ANI. De hecho, así el Concesionario no obtenga financiación a través de contratos de crédito o emisión de bonos, será a través de aportes de recursos de sus socios que el Concesionario continuará ejecutando el Proyecto y cumpliendo con todas sus obligaciones. </t>
  </si>
  <si>
    <t>Minuta del Contrato. Parte General, sección 3.8 (a)</t>
  </si>
  <si>
    <t xml:space="preserve">Adicionalmente la obtención de financiación por parte del Concesionario y un plazo determinado frente a ello debe ser totalmente a discreción del Concesionario. De hecho, entendemos que el riesgo de financiación es totalmente transferido al concesionario. Por tanto, la mitigación del mismo corresponde a los desarrolladores del proyecto y la incapacidad de obtener el financiamiento no debe ser una razón para que los desarrolladores no cumplan con sus obligaciones bajo el contrato de concesión. </t>
  </si>
  <si>
    <t>1658.     </t>
  </si>
  <si>
    <t>Solicitamos ajustar y/o unificar el segundo párrafo de la Sección 3.10 (a) y la Sección 3.10 (c) toda vez que su contenido es redundante.</t>
  </si>
  <si>
    <t>Minuta del Contrato. Parte General 3.10 (a) y (c)</t>
  </si>
  <si>
    <t>1659.     </t>
  </si>
  <si>
    <t xml:space="preserve">En varios párrafos de esta sección se observan referencias a rendimientos de operaciones de tesorería y en otras a rendimientos financieros o simplemente “rendimientos” o “rendimientos financieros de las operaciones de tesorería. Al respecto si todo ello se refiere al mismo concepto, solicitamos tener uniformidad en la redacción. En el evento en que dichos conceptos sean diferentes, agradecemos se sirvan explicar a qué corresponde cada uno de ellos. </t>
  </si>
  <si>
    <t>Minuta del Contrato. Parte General, sección 3.14</t>
  </si>
  <si>
    <t>1660.     </t>
  </si>
  <si>
    <t>Solicitamos que los recursos de la Subcuenta MASC sean destinados a los pagos en general al Amigable Componedor y no únicamente al valor a cargo de la ANI.</t>
  </si>
  <si>
    <t xml:space="preserve">Minuta del Contrato. Parte General, sección 3.14 (h) (vii) </t>
  </si>
  <si>
    <t>1661.     </t>
  </si>
  <si>
    <t xml:space="preserve">Solicitamos que el plazo allí previsto se amplié a 180 días. El plazo de 91 días actualmente previsto no se ajusta a los plazos para realizar pago de impuestos. </t>
  </si>
  <si>
    <t xml:space="preserve">Minuta del Contrato. Parte General, sección 3.16 (b)  </t>
  </si>
  <si>
    <t>1662.     </t>
  </si>
  <si>
    <t>Solicitamos eliminar estos dos numerales. En definitiva, es obligación del Concesionario ejecutar y cumplir con las actividades de operación y mantenimiento y no tiene ningún efecto en su cumplimiento si se notifica o no lo que se indica en dichos numerales.</t>
  </si>
  <si>
    <t xml:space="preserve">Minuta del Contrato. Parte General, sección 4.1 (b) y (c) </t>
  </si>
  <si>
    <t>1663.     </t>
  </si>
  <si>
    <t>Minuta del Contrato. Parte General, sección 4.2 (f)</t>
  </si>
  <si>
    <t>1664.     </t>
  </si>
  <si>
    <t>Minuta del Contrato. Parte General, sección 4.2 (s) y 9.2 (x)</t>
  </si>
  <si>
    <t>No se comprende como el Concesionario puede dar avisos y colaborar con autoridades de transito en la utilización de vías que tengan como finalidad o efecto la Elusión. Para ello el Concesionario y/o las autoridades de tránsito tendría que destinar personal en eventuales vías que no hacen parte del Proyecto para cumplir con dicha obligación, lo cual no tiene sentido.</t>
  </si>
  <si>
    <t>1665.     </t>
  </si>
  <si>
    <t>Minuta del Contrato. Parte General, sección 4.2 (dd) (vi),  8.1 (d) y 13.3 (c)</t>
  </si>
  <si>
    <t>1666.     </t>
  </si>
  <si>
    <t xml:space="preserve">Se hace referencia a un procedimiento interno de la ANI. Sírvase suministrar o explicar en qué consiste dicho procedimiento interno. </t>
  </si>
  <si>
    <t>Minuta del Contrato. Parte General, sección 4.2 (gg)</t>
  </si>
  <si>
    <t>1667.     </t>
  </si>
  <si>
    <t>Minuta del Contrato. Parte General, sección 4.3 (c)</t>
  </si>
  <si>
    <t>1668.     </t>
  </si>
  <si>
    <t>Solicitamos eliminar este numeral, obtener el Cierre Financiero del Proyecto es a cuenta y riesgo del Concesionario y no debería ser una condición precedente para dar inicio a la Fase de Construcción. Ello podría ser incluso mucho más perjudicial para para las Partes y el proyecto. De hecho, prácticamente en todos los proyectos de la cuarta generación de concesiones no hubo cierre financiero (entendiendo firma de contratos de financiación y desembolso) antes de la firma del acta de inicio de fase de construcción.</t>
  </si>
  <si>
    <t>Minuta del Contrato. Parte General, sección 4.4 (f)</t>
  </si>
  <si>
    <t>1669.     </t>
  </si>
  <si>
    <t>Solicitamos que la regla allí prevista aplique tanto para la ANI como para el Interventor. Esta sección no señala no menciona al Interventor, sin embargo la sección 4.7 (a) dispone que el Plan de Obras debe ser enviado a la ANI y al Interventor.</t>
  </si>
  <si>
    <t>Minuta del Contrato. Parte General, sección 4.7 (c)</t>
  </si>
  <si>
    <t>1670.     </t>
  </si>
  <si>
    <t>Solicitamos que el valor a favor de la ANI que señala esta sección sea por cada día requerido y no por cada día solicitado. SI eventualmente el Concesionario solicita más días de los que efectivamente se requiere, no se evidencia ningún perjuicio o efecto para la ANI que justifique penalizar al Concesionario.</t>
  </si>
  <si>
    <t>Minuta del Contrato. Parte General, sección 4.10 (c)</t>
  </si>
  <si>
    <t>1671.     </t>
  </si>
  <si>
    <t>Solicitamos ampliar está cláusula para que constituya una verdadera protección para el concesionario y no que se limite a modificaciones en la Ley Aplicable que impliquen a su vez un cambio en las Especificaciones Técnicas. El Contrato debería ser mucho más amplio y señalar que su contenido se activará en el evento en el que modificaciones en la Ley Aplicable hagan más oneroso el cumplimiento del Contrato y que impliquen o no modificaciones en las Especificaciones Técnicas.</t>
  </si>
  <si>
    <t xml:space="preserve">Minuta del Contrato. Parte General, sección 4.11 (f) y 13.3 (p) </t>
  </si>
  <si>
    <t>1672.     </t>
  </si>
  <si>
    <t>Solicitamos revisar redacción. Falta un conector, resaltamos la sugerencia en rojo:</t>
  </si>
  <si>
    <t>Minuta del Contrato. Parte General, sección 4.18 (a)</t>
  </si>
  <si>
    <t>1673.     </t>
  </si>
  <si>
    <t xml:space="preserve">Solicitamos eliminar esta sección y toda obligación de firmar los contratos allí referidos. Lo anterior toda vez que el Concesionario será siempre responsable frente a la ANI de todas las obligaciones previstas en el Contrato de Concesión independientemente de la existencia o no de dichos contratos. Adicionalmente hace parte de la autonomía del Concesionario y de los prestamistas del proyecto determinar las características y experiencia de los contratistas. </t>
  </si>
  <si>
    <t>Minuta del Contrato. Parte General, sección 5.1 y 5.3</t>
  </si>
  <si>
    <t>1674.     </t>
  </si>
  <si>
    <t xml:space="preserve">Solicitamos eliminar la exigencia al Concesionario de exigir unos montos mínimos de garantías a los Contratistas de acuerdo con lo previsto en el Decreto 1082 de 2015. Al respecto, ello debe ser a criterio y autonomía del Concesionario y adicionalmente dicho decreto no tiene aplicación en contratos suscritos entre personas jurídicas de derecho privado. </t>
  </si>
  <si>
    <t>Minuta del Contrato. Parte General, sección 5.2 (d)</t>
  </si>
  <si>
    <t>1675.     </t>
  </si>
  <si>
    <t>Minuta del Contrato. Parte General, sección 5.2 (e)</t>
  </si>
  <si>
    <t>La frase resaltada en amarillo es demasiado amplia solicitamos se elimine. Dicha información de hecho es irrelevante para efectos de la ejecución del Contrato de Concesión teniendo en cuenta que independientemente de los contratos que suscriba el Concesionario, este último es responsable en todo caso frente a la ANI.</t>
  </si>
  <si>
    <t>1676.     </t>
  </si>
  <si>
    <t>Si no se elimina la Sección 5.3 de acuerdo con las solicitudes precedentes, solicitamos que se modifique la declaración juramentada a la que se refiere la Sección 5.3 (a) por una comunicación por escrito. Las consecuencias jurídicas y contractuales son exactamente las mismas.</t>
  </si>
  <si>
    <t>Minuta del Contrato. Parte General, sección 5.3 (a)</t>
  </si>
  <si>
    <t>1677.     </t>
  </si>
  <si>
    <t>Minuta del Contrato. Parte General, sección 6.1 (e)</t>
  </si>
  <si>
    <t>1678.     </t>
  </si>
  <si>
    <t>Minuta del Contrato. Parte General, sección 6.2 (d) y 6.4 (c)</t>
  </si>
  <si>
    <t xml:space="preserve">La expresión transcrita también se debería eliminar de la Sección 6.4 (c) de la Parte General del Contrato de Concesión. </t>
  </si>
  <si>
    <t>1679.     </t>
  </si>
  <si>
    <t>Minuta del Contrato. Parte General, sección 6.3</t>
  </si>
  <si>
    <t>1680.     </t>
  </si>
  <si>
    <t>Los efectos desfavorables de la invasión del Corredor del Proyecto no pueden ser asumidos por el Concesionario toda vez que para evitar ello y ejercer la defensa del mismo de forme efectiva depende totalmente de las autoridades locales de Policía. El Concesionario no está facultado legal ni contractualmente por sus propios medios para por ejemplo desalojar invasiones ilegales por la fuerza.</t>
  </si>
  <si>
    <t>Minuta del Contrato. Parte General, sección 13.2 (v)</t>
  </si>
  <si>
    <t>En este sentido, el Concesionario puede asumir por supuesto la obligación de ejercer la defensa jurídica del Corredor del Proyecto, pero no puede asumir los efectos desfavorables de la invasión del Corredor del Proyecto en los casos en los que para evitar dichas invasiones se requieren actuaciones de las autoridades locales de policía.</t>
  </si>
  <si>
    <t>1681.     </t>
  </si>
  <si>
    <t>Solicitamos que si la razón para la no terminación total de una Unidad Funcional es un evento atribuible a la ANI, la consecuencia no sea penalizar al Concesionario y que solamente se cause la Compensación Especial. No recibir el 100% de la Retribución en estos proyectos tiene graves consecuencias para el flujo de caja del Concesionario y/o ante la financiación del Proyecto, por lo que la consecuencia de un evento atribuible a la ANI no debería ser una penalización al Concesionario.</t>
  </si>
  <si>
    <t>Minuta del Contrato. Parte General, sección 14.1</t>
  </si>
  <si>
    <t>1682.     </t>
  </si>
  <si>
    <t>Solicitamos ajustar la redacción para incluir una “o” luego del numeral (1).</t>
  </si>
  <si>
    <t>Minuta del Contrato. Parte General, sección 14.2 (c) (i)</t>
  </si>
  <si>
    <t>1683.     </t>
  </si>
  <si>
    <t>Un plazo de 30 días hábiles no es razonable, se solicita reducir dicho plazo a la mitad y que sean días calendario. La falta de pronunciamiento oportuno genera incertidumbre absoluta en el Proyecto y constituirá una seria dificultad frente a la financiación del proyecto.</t>
  </si>
  <si>
    <t>Minuta del Contrato. Parte General, sección 14.2 (c) (iv)</t>
  </si>
  <si>
    <t>1684.     </t>
  </si>
  <si>
    <t>Solicitamos se modifique el contenido de esta cláusula para que sea claro y explicito que las partes pueden acudir a arbitraje incluso si un asunto es conocido por el amigable componedor e independientemente de si su decisión se considera o no nula. El acceso sin restricciones al arbitraje es un pilar fundamental para inversionistas extranjeros, así como para los potenciales prestamistas del proyecto por lo que los términos en los que está redactada está clausula implica serias limitaciones para la participación en la licitación pública.</t>
  </si>
  <si>
    <t>Minuta del Contrato. Parte General, sección 15.1</t>
  </si>
  <si>
    <t>1685.     </t>
  </si>
  <si>
    <t>Minuta del Contrato. Parte General Secciones 17.2 (c) y 18.3(f)</t>
  </si>
  <si>
    <t>1686.     </t>
  </si>
  <si>
    <t>Agradecemos ajusten la numeración de las páginas</t>
  </si>
  <si>
    <t>Minuta del Contrato. Parte Especial</t>
  </si>
  <si>
    <t>1687.     </t>
  </si>
  <si>
    <t xml:space="preserve">Solicitamos se elimine el siguiente texto: </t>
  </si>
  <si>
    <t xml:space="preserve">Minuta del Contrato. Parte Especial Tabla de Referencias a la Parte General.  Secciones 1.55, 1.116 y 3.3 (g) (iv) </t>
  </si>
  <si>
    <t>“También se excluyen del concepto de Elusión los proyectos que se encuentran incorporados en el/los Plan/es de Ordenamiento Territorial o Departamental pertinentes, así como los que se encuentran registrados en el RUAPP y su prefactibilidad ha sido aprobada o se hayan contratado la estructuración pública por parte de entidades estales al momento de la recepción de Ofertas dentro del Proceso de Selección del Proyecto.</t>
  </si>
  <si>
    <t xml:space="preserve">Lo anterior en la medida que es demasiado amplio y además el concesionario no tiene posibilidad jurídica de evaluar o tener en consideración un proyecto que se registre en el RUAPP el día anterior a la presentación de la oferta o que por ejemplo se modifique un plan de ordenamiento territorial o departamental. </t>
  </si>
  <si>
    <t>Subsidiariamente y en caso de que se mantengan dichos proyectos excluidos del concepto de Elusión, deber ser la ANI como entidad estructuradora del Proyecto quien debe informar todo lo relacionado con dichos proyectos y en todo caso se debe incluir un límite razonable, como por ejemplo 2 o 3 meses antes de la fecha de cierre de la licitación y no la fecha de presentación de las ofertas para que los oferentes puedan evaluar dichos proyectos dentro de us proyecciones.</t>
  </si>
  <si>
    <t>1688.     </t>
  </si>
  <si>
    <t>La Sección 13.3 (i) de la tabla de referencia de la Parte Especial se refiere a uso de nuevas vías legitimas mientras que la Sección 1.55 de la Parte General se refiere a Nuevas Vías Públicas. Sírvase aclarar que son los mismos conceptos y ajustar utilizando los términos definidos en mayúscula.</t>
  </si>
  <si>
    <t>Minuta del Contrato. Parte Especial Tabla de Referencias a la Parte General.  Sección 13.3 (i).</t>
  </si>
  <si>
    <t>1689.     </t>
  </si>
  <si>
    <t>Solicitamos que se incluya en el Contrato reglas detalladas en relación con el estado de la infraestructura y todo lo que ocurra en ella desde la fecha de presentación de las ofertas hasta la entrega efectiva de la infraestructura. En este sentido solicitamos que sea la ANI quien asuma al riesgo de variaciones en las condiciones de la infraestructura en el periodo de tiempo comprendido entre la fecha de presentación de las ofertas hasta la entrega efectiva de la infraestructura. El Concesionario no tiene como controlar dicho riesgo sino ostenta la tenencia física de la infraestructura como tal.</t>
  </si>
  <si>
    <t xml:space="preserve">Minuta del Contrato. Parte Especial Sección 3.6 </t>
  </si>
  <si>
    <t xml:space="preserve">Adicionalmente solicitamos que se defina “Acta de Entrega de la Infraestructura”. Se utiliza dicho concepto en mayúsculas por ejemplo en la Sección 3.6 (f) de la Parte Especial pero no observamos definición en el Contrato. </t>
  </si>
  <si>
    <t>1690.     </t>
  </si>
  <si>
    <t>Solicitamos ajustar el plazo para realizar el primer Giro de Equity toda vez que la Sección 2.3 (b) de la Parte General establece un plazo máximo de 30 días hábiles siguientes a la constitución del Patrimonio Autónomo mientras que esta sección de la parte especial establece que dicho Giro de Equity se debe realizar al momento de constituir el Patrimonio Autónomo.</t>
  </si>
  <si>
    <t>Minuta del Contrato Sección 4.5 Parte Especial</t>
  </si>
  <si>
    <t>1691.     </t>
  </si>
  <si>
    <t>Para efectos de acreditar la experiencia exigida en la Sección 5.1 de la Parte Especial solicitamos que se permita acreditar dicha experiencia a través de los mismos mecanismos previstos en el Pliego de Condiciones, es decir que se pueda acreditar experiencia de sociedades matrices, subordinadas o de sociedades controladas por matrices.</t>
  </si>
  <si>
    <t xml:space="preserve">Minuta del Contrato. Parte Especial Sección 5.1 </t>
  </si>
  <si>
    <t>1692.     </t>
  </si>
  <si>
    <t>Minuta del Contrato. Parte Especial. Sección 5.2</t>
  </si>
  <si>
    <t>Solicitamos que se modifique esa redacción para señalar que los plazos máximos allí referidos son para “poner las Intervenciones a disposición de la ANI”, pues de lo contrario se le estaría restando automáticamente al Concesionario todo el tiempo de que tome el procedimiento de verificación. De hecho, las Unidades Funcionales solo entran en operación cuando se firma el acta de terminación correspondiente. Dicho concepto de inicio de operación no está definido ni regulado en el Contrato de Concesión.  Al respecto anotamos que la sección 6.1 (c) de la Parte Especial se refiere a los plazos de la Sección 5.2 como “Plazo máximo”, lo cual es el concepto preciso que sugerimos sea utilizado.</t>
  </si>
  <si>
    <t>1693.     </t>
  </si>
  <si>
    <t xml:space="preserve">Teniendo en cuenta que el plazo máximo para la terminación de las Unidades Funcionales es uno de los pilares del Proyecto, solicitamos que el término máximo contado desde la expiración del Plazo de Cura por este evento debería ser de 180 días y no solo de 90 días. Lo anterior para abordar una de las principales preocupaciones de los prestamistas del proyecto quienes deberán contar con tiempo suficiente para ejercer la toma de posesión y contar con posibilidades reales de culminar a satisfacción el proyecto. </t>
  </si>
  <si>
    <t xml:space="preserve">Se informa al interesado que no se acepta su observación. La ANI considera que tanto el plazo máximo establecido como los 90 días, son razonables y se compadecen con las necesidades del Proyecto. </t>
  </si>
  <si>
    <t>Minuta del Contrato. Parte Especial. Sección 6.1 (c)</t>
  </si>
  <si>
    <t>1694.     </t>
  </si>
  <si>
    <t>Solicitamos que se ajuste la redacción de esta causal de multa de conformidad con las adiciones sugeridas en rojo:</t>
  </si>
  <si>
    <t>Minuta del Contrato. Parte Especial. Sección 6.1 (u)</t>
  </si>
  <si>
    <t>1695.     </t>
  </si>
  <si>
    <t>Se solicita actualizar la información del cuarto de datos (Carpeta de tráfico), con los datos de las estaciones de peaje (8 estaciones peaje) por categoría de vehículo por todos los meses de 2019, y los primeros meses del año 2020.</t>
  </si>
  <si>
    <t xml:space="preserve">Se informa al Interesado que la entidad a cargo de las estaciones de peaje, en el periodo de tiempo señalado, es INVIAS por lo que el proponente en su debida diligencia deberá realizar la consulta directamente a dicha entidad. </t>
  </si>
  <si>
    <t xml:space="preserve">Es realmente importante obtener la información requerida en el párrafo anterior, debido a la situación actual del estado de emergencia, donde se imposibilita ir a campo, a realizar conteos de vehículos. </t>
  </si>
  <si>
    <t>Requerimiento de información adicional</t>
  </si>
  <si>
    <t>1696.     </t>
  </si>
  <si>
    <t>Teniendo en consideración el estado de emergencia actual y las medidas adoptadas por el Gobierno Nacional en materia de aislamiento preventivo obligatorio con ocasión del COVID-19 agradecemos nos informen si la ANI expedirá permisos o certificaciones a las compañías interesadas en la licitación y el proyecto para realizar actividades de campo que son necesarias para presentar oferta. Lo anterior resulta fundamental para efectos de que los oferentes y/o sus asesores y contratistas se desplacen a campo no tengan inconvenientes con las autoridades locales y/o autoridades de policía.</t>
  </si>
  <si>
    <t>General</t>
  </si>
  <si>
    <t>1697.     </t>
  </si>
  <si>
    <t xml:space="preserve">Solicitamos que las referencias a las obligaciones relacionadas se limiten al Corredor del Proyecto o como máximo a las Fajas, pero no puede existir una obligación indeterminada en materia de taludes que eventualmente puedan afectar el Proyecto. Estas secciones tienen obligaciones demasiado amplias en esta materia y que de hecho son imposibles de prever y considerar para efectos de la oferta.  </t>
  </si>
  <si>
    <t>Apéndice Técnico 1 Secciones 6.3 y 6.4</t>
  </si>
  <si>
    <t>1698.     </t>
  </si>
  <si>
    <t>Intersección Acceso Sur Guacarí</t>
  </si>
  <si>
    <t xml:space="preserve">Su solicitud procede, por lo que se corrigirán las coordenadas de las intersecciones y los cambios se publicarán en la versión definitiva de los pliegos de condiciones, especificamente en el Apéndice técnico 1. </t>
  </si>
  <si>
    <t>1083468,6415 907719,8415</t>
  </si>
  <si>
    <t>Tabla 7 – Intersecciones que, como mínimo, debe intervenir el Concesionario UF1</t>
  </si>
  <si>
    <t>Intersección Vía Ingenio Pichichi</t>
  </si>
  <si>
    <t>Las coordenadas para las dos intersecciones son las mismas. ¿Se solicita informar a cuál intersección pertenecen, y cuáles son las coordenadas de la otra intersección?</t>
  </si>
  <si>
    <t>1699.     </t>
  </si>
  <si>
    <t>Cali - Palmira</t>
  </si>
  <si>
    <t>Su solicitud procede, por lo que se corrigirán las coordenadas del punto de Palmira, que se ubica al inicio del Paso Nacional, y los cambios se publicarán en la versión definitiva de los pliegos de condiciones, especificamente en el Apéndice técnico 1.</t>
  </si>
  <si>
    <t>APÉNDICE TÉCNICO 1</t>
  </si>
  <si>
    <t>Origen1065949,2972 877997,6320</t>
  </si>
  <si>
    <t>Tabla 5 – Unidades funcionales del proyecto</t>
  </si>
  <si>
    <t>Destino1074971,0372 891669,1127</t>
  </si>
  <si>
    <t>Las coordenadas de destino no localizan el punto en Palmira, este punto localiza en intersección Rozo. Se solicita verificar información</t>
  </si>
  <si>
    <t>1700.     </t>
  </si>
  <si>
    <t>Retorno Estambul (dirección Cali-Cali) previo al Peaje</t>
  </si>
  <si>
    <t>Se solicita aclarar cuál es el alcance en el retorno y dar coordenadas de ubicación</t>
  </si>
  <si>
    <t>Tabla 14 – Obras Especiales que como mínimo debe ejecutar el Concesionario UF2</t>
  </si>
  <si>
    <t>1701.     </t>
  </si>
  <si>
    <t>Retorno Exclusivo para motocicletas (para ambos sentidos de circulación) Guanabanal</t>
  </si>
  <si>
    <t>Se incluirá mayor detalle de este retorno en el Apéndice Técnico 1, en el sentido de aclarar que el propósito del retorno es que las motocicletas tengan una vía segregada que facilite el cruce seguro sobre la recta Cali - Palmira en la zona de la vereda Guanabanal.</t>
  </si>
  <si>
    <t>1702.     </t>
  </si>
  <si>
    <t>El comentario procede, el párrafo debe hacer mención a la Tabla No. 5 del Apéndice Técnico 1.  Se realizará el ajuste en los documentos de Pliegos de Condiciones Definitivos.</t>
  </si>
  <si>
    <t xml:space="preserve">PROYECTO DE PLIEGO DE CONDICIONES </t>
  </si>
  <si>
    <t>Sin embargo, la tabla No 3 del Apéndice Técnico 1 se refiere a Estaciones de Pesaje. Se solicita verificar e informar cual tabla es la correcta.</t>
  </si>
  <si>
    <t xml:space="preserve">5.5.4 </t>
  </si>
  <si>
    <t>1703.     </t>
  </si>
  <si>
    <t>Total puentes: 70</t>
  </si>
  <si>
    <t>Los puentes a reubicar están incluidos en los puentes existentes. El alcance sobre los primeros, será la demolición del puente existente y construcción en otro sitio. Se aclara que en los pliegos definitivos se publicará el ajuste, especificamente en la Tabla 29 del Ap. Técnico 1.</t>
  </si>
  <si>
    <t>Se solicita aclarar si los puentes a reubicar están incluidos en los puentes existentes o si éstos son adicionales a los puentes existentes</t>
  </si>
  <si>
    <t>Puentes Peatonales</t>
  </si>
  <si>
    <t>Tabla 29 – Puentes Peatonales por Unidades Funcionales</t>
  </si>
  <si>
    <t>1704.     </t>
  </si>
  <si>
    <t>Se especifican 2 carriles de ancho 3.20 m, pero el ancho de calzada mínimo en la tabla es 8.40 m cuando debería ser 6.40 m. Se solicita corregir el valor del ancho de calzada.</t>
  </si>
  <si>
    <t>Tabla 33 – Características Geométricas y técnicas de Villa Rica - Caloto</t>
  </si>
  <si>
    <t>1705.     </t>
  </si>
  <si>
    <t>7.2.2. Mezcla Densa en Caucho Reciclado.</t>
  </si>
  <si>
    <t>1706.     </t>
  </si>
  <si>
    <t>Se informa al interesado que en el Pliego de Condiciones definitivo  se incluirán ajustes para aclarar la cuantificación del porcentaje de Longitud.</t>
  </si>
  <si>
    <t xml:space="preserve">APÉNDICE TÉCNICO 1 </t>
  </si>
  <si>
    <t>1707.     </t>
  </si>
  <si>
    <t>Intersección La Herradura está en el apéndice técnico 1 incluida en la UF2 y en la parte especial del contrato está incluida en la UF1. Solicitamos sea aclarado a cuál unidad funcional pertenece la Intersección La Herradura</t>
  </si>
  <si>
    <t>Su solicitud será atendida. Se realizará los ajustes en los documentos Apéndice Técnico 1 (Tabla 12) y  Parte Especial (Tabla en Sección 3,6) para que haya coherencia en lo que respecta a la UF que hará parte la Intersección La Herradura.</t>
  </si>
  <si>
    <t>Tabla 12 – Intersecciones que como mínimo debe intervenir el Concesionario UF2</t>
  </si>
  <si>
    <t>3.6 Entrega de la Infraestructura</t>
  </si>
  <si>
    <t>1708.     </t>
  </si>
  <si>
    <t>Intersección Parque del Azúcar</t>
  </si>
  <si>
    <t>La intervención para esta intersección se define como un mejoramiento. Se solicita aclarar, ¿Qué tipo de mejoramiento o especificación se requiere en la intersección?</t>
  </si>
  <si>
    <t>1709.     </t>
  </si>
  <si>
    <t>Acceso al Estadio Monumental de Palmaseca</t>
  </si>
  <si>
    <t>Se solicita aclarar cuál es el punto de acceso al Estadio, al cual se le debe realizar la intervención especial descrita.</t>
  </si>
  <si>
    <t>1710.     </t>
  </si>
  <si>
    <t>Ye de Villa Rica - Av. Bicentenario</t>
  </si>
  <si>
    <t>Para el caso de este tramo se especifica como intervención prevista en la Tabla 5 – Unidades funcionales del proyecto, una Puesta a Punto de la calzada existente, Construcción de la segunda calzada, Puesta a Punto y Mantenimiento Periódico de la doble calzada. Para el caso de la Tabla 19, se presentan parámetros geométricos para el sector Ye de Villa Rica - Av. Bicentenario. Se solicita aclarar si esta especificación cumple únicamente para la nueva calzada o aplica de igual manera para la vía existente.</t>
  </si>
  <si>
    <t>Tabla 19 – Características Geométricas y técnicas de Entrega para vías a cielo abierto UF4</t>
  </si>
  <si>
    <t>1711.     </t>
  </si>
  <si>
    <t>UF4 – Tramo Ye de Villa Rica - Av. Bicentenario</t>
  </si>
  <si>
    <t>De acuerdo a lo descrito en la intervención prevista se especifica: Puesta a Punto de la calzada existente, Construcción de la segunda calzada, Puesta a Punto y Mantenimiento Periódico de la doble calzada. De acuerdo a la información presentada en el VOLUMEN II – ESTUDIO DE TOPOGRAFÍA Y GEOMETRÍA– CORREDOR 03, se implementan obras adicionales como retornos. Se solicita aclarar si estas obras deben ser de obligatorio cumplimiento, dado que no se contemplan en el Apéndice Técnico 1.</t>
  </si>
  <si>
    <t>1712.     </t>
  </si>
  <si>
    <t>Glorieta Cencar - Glorieta Las Américas</t>
  </si>
  <si>
    <t>Para el caso de este tramo se especifica como intervención prevista en la Tabla Tabla 5 – Unidades funcionales del proyecto, una Puesta a Punto de la calzada existente, Construcción de la segunda calzada, Puesta a Punto y Mantenimiento Periódico de la doble calzada. Para el caso de la Tabla 23, se presentan parámetros geométricos para el sector Glorieta Cencar - Glorieta Las Américas. Se solicita aclarar si esta especificación cumple únicamente para la nueva calzada o aplica de igual manera para la vía existente.</t>
  </si>
  <si>
    <t>Tabla 23 – Características Geométricas y técnicas de Entrega para vías a cielo abierto UF5</t>
  </si>
  <si>
    <t>1713.     </t>
  </si>
  <si>
    <t>Intersección Sameco</t>
  </si>
  <si>
    <t xml:space="preserve">Se informa que dentro de la carpeta G2 del Cuarto de Información de Referencia se encuentra la información disponible sobre estudios y diseños de la intersección, la cual está dispuesta a título meramente informativos en las condiciones de la Sección 1.7 del Pliego de Condiciones. de otra parte, dentro de los Estudios de Detalle que debe desarrollar el Concesionario en la Fase de Preconstrucción se encuentra el estudio de tránsito y transporte, para todos los corredores y tramos de la concesión. Con base en los resultados de dicho estudio, se deberá determinar la solución óptima para los problemas de congestión que se producen actualmente en la Intersección Sameco.
Se revisará las condiciones mínimas de la intersección,y en caso de requerirse algún ajuste, lo podrá consultas en los pliegos definitivos, especificamente en el Apéndice Técnico 1. De otra parte, se ajustará lo relacionado con la ubicación de los puentes de la Intersección Sameco.
</t>
  </si>
  <si>
    <t>Nota 1: Deprimido bidireccional con glorieta a nivel que incluye 2 puentes cortos, La vía a deprimir será la Autopista Simón Bolívar (dirección ESTE-OESTE), Incluye la construcción de 2 puentes peatonales. El trazado debe cumplir lo dispuesto en el POT municipal y contar con la aprobación de la autoridad municipal.</t>
  </si>
  <si>
    <t>Tabla 25 – Infraestructura de Reversión Especial y Tabla 27 – Intersecciones que, como mínimo, debe intervenir el Concesionario</t>
  </si>
  <si>
    <t>Se solicita dar mayor claridad a la descripción de la intersección, dado que no es claro todos los elementos de esta, como la ubicación de los puentes cortos.</t>
  </si>
  <si>
    <t>Se solicita incluir en el DATAROOM los diseños de todas las especialidades de esta intersección, con los cuales se estructuró el proyecto.</t>
  </si>
  <si>
    <t>1714.     </t>
  </si>
  <si>
    <t>Hace falta el archivo en excel de la interpretación de GPR del Corredor 13, asociada a los tramos Paso Nacional Por Palmira e Intersección Versalles.</t>
  </si>
  <si>
    <t xml:space="preserve">Se revisará la carpeta mencionada, y si no está disponible se incluirá la información en el Cuarto de Información de Referencia, esta información estará disponible a título meramente informativo acorde con las condiciones de la Sección 1.7 Cuarto de Información de Referencia del Pliego de Condiciones. </t>
  </si>
  <si>
    <t>Dataroom/CII12205</t>
  </si>
  <si>
    <t>1715.     </t>
  </si>
  <si>
    <t>En el Corredor 13 Anexo inventario de daños, hace falta el archivo en Excel de los tramos Intersección Versalles y Salida Palmira - Candelaria</t>
  </si>
  <si>
    <t>Dataroom/CII12204</t>
  </si>
  <si>
    <t>1716.     </t>
  </si>
  <si>
    <t>En el Corredor 5 Anexo interpretación de GPR, hace falta el archivo en Excel del tramo Cali (Sameco) - Cencar, Cencar - Américas y Américas - Yumbo (Paso Nivel)</t>
  </si>
  <si>
    <t>Se revisará la carpeta mencionada, y si no está disponible se incluirá la información en el Cuarto de Información de Referencia</t>
  </si>
  <si>
    <t>Dataroom/CII51205</t>
  </si>
  <si>
    <t>1717.     </t>
  </si>
  <si>
    <t>En el Corredor 5, hacen falta los archivos de deflexiones y Cálculo de variables estructurales en Excel, de todos los tramos (Cali (Sameco) - Cencar, Cencar - Américas, Américas - Yumbo (Paso Nivel), Glorieta Cencar y Glorieta Las Américas)</t>
  </si>
  <si>
    <t>Dataroom/CII51207</t>
  </si>
  <si>
    <t>1718.     </t>
  </si>
  <si>
    <t>En el Corredor 5  Anexo inventario de daño, hace falta el archivo en Excel del  tramo Cali (Sameco) - Cencar y tramo Cencar - Américas</t>
  </si>
  <si>
    <t>Se revisará la carpeta mencionada, y si está disponible se incluirá la información en el Cuarto de Información de Referencia</t>
  </si>
  <si>
    <t>Dataroom/CII51203</t>
  </si>
  <si>
    <t>1719.     </t>
  </si>
  <si>
    <t>En el Corredor 4 Anexo interpretación de GPR, hace falta el archivo en Excel de tramo Cali-Candelaria</t>
  </si>
  <si>
    <t>Dataroom/CII22204</t>
  </si>
  <si>
    <t>1720.     </t>
  </si>
  <si>
    <t>En el Corredor 4, hacen falta los archivos de deflexiones y Cálculo de variables estructurales en  Excel, del tramo Cali-Candelaria</t>
  </si>
  <si>
    <t>Dataroom/CII22206</t>
  </si>
  <si>
    <t>1721.     </t>
  </si>
  <si>
    <t>En el Corredor 1 Anexo interpretación de GPR, hace falta el archivo en Excel de todos los tramos para todas las calzadas correspondientes (Santander De Quilichao - Ye De Villarrica, Ye De Villarrica - Palmira, Variante De Villarrica, Ye De Villarrica - Jamundí, Palmira - El Cerrito - Buga, Variante Norte Palmira (3 Cali / Palmira 3 / Ingenio Providencia), Palmira - Cali, Yumbo (Paso Nivel) - Mediacanoa, Variante Yumbo, Variante Yotoco, Variante Vijes, Rozo - La Torre, Palmaseca - Rozo - El Cerrito, La Torre - Acequia, Mulaló - La Torre, La Torre - Cantarrana y Cencar - Aeropuerto - Galicia)</t>
  </si>
  <si>
    <t>Dataroom/CII11204</t>
  </si>
  <si>
    <t>1722.     </t>
  </si>
  <si>
    <t>En el Corredor 1, hacen falta los archivos de deflexiones y Cálculo de variables estructurales en Excel, de los tramos Santander De Quilichao - Ye De Villarrica, Ye De Villarrica - Palmira, Variante De Villarrica, Ye De Villarrica - Jamundí, Variante Norte Palmira (3 Cali / Palmira 3 / Ingenio Providencia) y Palmira - Cali</t>
  </si>
  <si>
    <t>Dataroom/CII11205</t>
  </si>
  <si>
    <t>1723.     </t>
  </si>
  <si>
    <t>En el Corredor 1 Anexo inventario de daños, hace falta el archivo en Excel y PDF, de todos los tramos: (Santander De Quilichao - Ye De Villarrica, Ye De Villarrica - Palmira, Variante De Villarrica, Ye De Villarrica - Jamundí, Palmira - El Cerrito - Buga, Variante Norte Palmira (3 Cali / Palmira 3 / Ingenio Providencia), Palmira - Cali, Yumbo (Paso Nivel) - Mediacanoa, Variante Yumbo, Variante Yotoco, Variante Vijes, Rozo - La Torre, Palmaseca - Rozo - El Cerrito, La Torre - Acequia, Mulaló - La Torre, La Torre - Cantarrana y Cencar - Aeropuerto - Galicia).</t>
  </si>
  <si>
    <t>Dataroom/CII11212</t>
  </si>
  <si>
    <t xml:space="preserve"> Según el informe, en el Anexo 12, se encuentra el Inventario de daños, sin embargo en este anexo se encontraron archivos del plan de mantenimiento.</t>
  </si>
  <si>
    <t>1724.     </t>
  </si>
  <si>
    <t>No se encontró el Estudio de suelos de la Intersección vehicular a desnivel, Glorieta Versalles, Calle 42 con Carrera 28. Municipio de Palmira. Grupo Cañasgordas – secretaría de infraestructura municipio de palmira – 2017. (Registros de Perforación, ensayos de laboratorio, memorias de cálculo). Este estudio lo referencian en el Informe de Geotecnia del corredor.</t>
  </si>
  <si>
    <t>Dataroom/</t>
  </si>
  <si>
    <t>1725.     </t>
  </si>
  <si>
    <t>Se solicita la información histórica de las mediciones realizadas a lo largo de la anterior Concesión Malla Vial del Cauca y las realizadas por el INVIAS desde la reversión de la anterior Concesión, para pavimentos, puentes, señalización y demás áreas que se tengan.</t>
  </si>
  <si>
    <t xml:space="preserve">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A partir de noviembre de 2018 los tramos están a cargo de INVIAS, por lo que el Proponente en su Debida Diligencia deberá realizar su consulta dicha entidad. </t>
  </si>
  <si>
    <t>1726.     </t>
  </si>
  <si>
    <t>No se encontró Información para el diseño de las vías de Factor de Calidad:</t>
  </si>
  <si>
    <t>Se incluirá en el Cuarto de Información de Referencia (carpeta G) la información disponible del tramo Villarica Caloto y la ubicación georreferenciada de ambos tramos viales. Esta información estará disponible a título meramente informativo acorde con las condiciones de la Sección 1.7 Cuarto de Información de Referencia del Pliego de Condiciones.</t>
  </si>
  <si>
    <t>INSUMOS ADICIONALES</t>
  </si>
  <si>
    <t>1 Vía la Herradura Matapalo (Palmira --&gt; Aeropuerto)</t>
  </si>
  <si>
    <t>2 Vía la Villa Rica / Caloto (Villarica --&gt; Sur)</t>
  </si>
  <si>
    <t>Se requiere el tránsito de diseño, así como información de referencia para la caracterización geotécnica.</t>
  </si>
  <si>
    <t>1727.     </t>
  </si>
  <si>
    <t>Las compensaciones que hacen parte de las Obligaciones Pendientes y por Ejecutar relacionadas en la Tabla 2 del Capítulo IX que correspondan con obligaciones asociadas con lo descrito en los subnumerales (i), (ii) del literal (a) del numeral 3.3 ¿se incluyen en la subcuenta de compensaciones socioambientales?</t>
  </si>
  <si>
    <t>Apéndice Técnico 6 Gestión Ambiental</t>
  </si>
  <si>
    <t>Capítulo I - Definiciones (c)</t>
  </si>
  <si>
    <t>3.3 Compensaciones Socioambientales</t>
  </si>
  <si>
    <t>1728.     </t>
  </si>
  <si>
    <t>Se establece que se elaborará y presentará al Interventor y la ANI a los dos (2) meses siguientes a la fecha de inicio de la Fase de Preconstrucción.</t>
  </si>
  <si>
    <t>En el Contrato Parte Especial en el Capítulo II Tabla de Referencias a la Parte General, en el numeral 1.139 establece que el plazo para la entrega será de doscientos (210) días.</t>
  </si>
  <si>
    <t>Capítulo IV - Obligaciones durante la fase de Preconstrucción</t>
  </si>
  <si>
    <t>Se solicita informar Cuál de estos plazos es aplicable y que se ajusten las secciones referidas para que haya uniformidad</t>
  </si>
  <si>
    <t>4.2 Plan de trámites Ambientales</t>
  </si>
  <si>
    <t>1729.     </t>
  </si>
  <si>
    <t>4.4 Cesión total de licencias</t>
  </si>
  <si>
    <t>(b)</t>
  </si>
  <si>
    <t>Capítulo VIII Cesión de trámites de obtención de Licencia y Permisos adelantados por la ANI</t>
  </si>
  <si>
    <t>1730.     </t>
  </si>
  <si>
    <t>¿Las licencias relacionadas en el Apéndice tienen algún proceso de cierre parcial de obligaciones asociados a los trámites en donde ya no se están realizando obras objeto de esa licencia?</t>
  </si>
  <si>
    <t>En caso de no ser así en especial para las resoluciones 745 y 747.</t>
  </si>
  <si>
    <t>1. ¿Debe El Concesionario cumplir obligaciones de la licencia en los tramos objeto de la misma, así sean actividades de puesta a punta y mantenimiento periódico?</t>
  </si>
  <si>
    <t>2.¿En ese sentido se considera que mientras que se realizan las actividades constructivas y no se haya realizado el cierre de expediente, es la Licencia Ambiental el instrumento de gestión ambiental aplicable en esos tramos y no un PAGA?</t>
  </si>
  <si>
    <t>3. La revisión del objeto de la Licencia Ambiental no permite identificar claramente todos los tramos que cubre la licencia ambiental. En ese sentido ¿todos los tramos de esa licencia hacen parte de la Concesión?, de no ser así al asumir bajo su propio riesgo la cesión de la licencia, se podrían llegar a asumir obligaciones ambientales sobre áreas que no hacen parte de la concesión?</t>
  </si>
  <si>
    <t>1731.     </t>
  </si>
  <si>
    <t>De acuerdo con información revisada en la documentación del cuarto de datos, está establecido entre la ANI y el Concesionario desde 2018 un proceso de cierre de Licencias ambientales, que ha llevado a que se tengan tres (3) otrosí que van hasta el 31 de diciembre y establecen como plazo  cerrar licencias entre el 30 de septiembre y el 30 de diciembre de 2020. Por supuesto hay obligaciones establecidas  por la ANLA que se están atendiendo, pero no logran cerrar las licencias y faltan los pronunciamientos de la ANLA al ICA de 2019 y 2020. Además y hay que hace los respectivos seguimientos post.</t>
  </si>
  <si>
    <t>En caso de no ser así ¿debe asumir El Concesionario riesgos asociados al cumplimiento de obligaciones de las cinco (5)  licencias ambientales vigentes?</t>
  </si>
  <si>
    <t>(b)Capítulo VIII Cesión de trámites de obtención de Licencia y Permisos adelantados por la ANI</t>
  </si>
  <si>
    <t>1732.     </t>
  </si>
  <si>
    <t>¿La construcción del Puente Peatonal Aguazul se encuentra dentro de listado de puentes peatonales relacionada en la Tabla 29 del Capítulo V, subnumeral 5.5 Puentes Peatonales?</t>
  </si>
  <si>
    <t>Su entendimiento es correcto, la construcción del Puente Peatonal Aguazul se encuentra dentro de listado de puentes peatonales relacionada en la Tabla 29 del Capítulo V, subnumeral 5.5 Puentes Peatonales</t>
  </si>
  <si>
    <t>Técnica / Costos</t>
  </si>
  <si>
    <t>Tabla 2. Expediente MAVDT 1015</t>
  </si>
  <si>
    <t>1733.     </t>
  </si>
  <si>
    <t>¿El Puente Peatonal a construir en la zona aproximada al PK11+060, se encuentra dentro de listado de puentes peatonales relacionada en la Tabla 29 del Capítulo V, subnumeral 5.5 Puentes Peatonales?</t>
  </si>
  <si>
    <t>Su entendimiento es correcto, el Puente Peatonal a construir en la zona aproximada al PK11+060, se encuentra dentro de listado de puentes peatonales relacionada en la Tabla 29 del Capítulo V, subnumeral 5.5 Puentes Peatonales.</t>
  </si>
  <si>
    <t>Acuerdos Concertados con el Consejo Comunitario Bocas de Palo, UF 3 Avenida Ciudad de Cali</t>
  </si>
  <si>
    <t>Componente Socio - Cultural y Económico</t>
  </si>
  <si>
    <t>Medidas implementadas por el concesionario o ejecutor del proyecto</t>
  </si>
  <si>
    <t>Numeral 14.</t>
  </si>
  <si>
    <t>1734.     </t>
  </si>
  <si>
    <t>1. ¿Respecto a este acuerdo, se entiende que, si técnicamente no es necesario construir estas obras adicionales, se informará a la Comunidad y no se construirán?</t>
  </si>
  <si>
    <t>Técnico y Jurídico</t>
  </si>
  <si>
    <t>2. ¿Se tiene previsto en el contrato un mecanismo para que no se considere incumplimiento al contrato de no realizar estas obras?</t>
  </si>
  <si>
    <t>3. ¿Obras deben ser cuantificadas a cuenta y riesgo del contratista o se incluyen dentro de un rubro específico para Consulta Previa?</t>
  </si>
  <si>
    <t>Componente Ambiental</t>
  </si>
  <si>
    <t>Medidas acordadas concertadas con los Consejos Comunitarios Bocas del Palo</t>
  </si>
  <si>
    <t>Numeral 27.</t>
  </si>
  <si>
    <t>1735.     </t>
  </si>
  <si>
    <t>¿Es correcto interpretar que al asumir los costos de la Gestión Ambiental y Social el Concesionario asumirá todos los costos logísticos y demás que se deriven del Proceso de Consulta Previa?.</t>
  </si>
  <si>
    <t>Contrato de Concesión Parte General</t>
  </si>
  <si>
    <t>Capítulo VIII Etapa Preoperativa - Gestión Social y Ambiental, Redes y Otros</t>
  </si>
  <si>
    <t>Al respecto ¿se conocen procesos de solicitud de reconocimiento de presencia de comunidades en el área de Influencia del Proyecto?</t>
  </si>
  <si>
    <t>8.1 Gestión Social y Ambiental</t>
  </si>
  <si>
    <t>(d)</t>
  </si>
  <si>
    <t>1736.     </t>
  </si>
  <si>
    <t>Se indica que “la totalidad de los costos requeridos para la realización de la Gestión Social y Ambiental para la ejecución de las intervenciones del Proyecto, serán asumidos por el Concesionario.</t>
  </si>
  <si>
    <t>De acuerdo con información revisada en la documentación del cuarto de datos, está establecido entre la ANI y el Concesionario desde 2018 un proceso de cierre de Licencias Ambientales, que ha llevado a que se tengan tres (3) otrosí que van hasta el 31 de diciembre y establecen como plazo cerrar licencias entre el 30 de septiembre y el 30 de diciembre de 2020. Por lo anterior, en caso de no darse el cierre y dado que se tienen pasivos registrados de acuerdo con la actuación del anterior Concesionario que se deben atender por la ANI, ¿estos costos deben ser asumidos por el nuevo Concesionario?</t>
  </si>
  <si>
    <t>(a)</t>
  </si>
  <si>
    <t>1737.     </t>
  </si>
  <si>
    <t>Intersección Av. Bicentenario - Vía Cali-Puerto Tejada</t>
  </si>
  <si>
    <t xml:space="preserve">La carpeta D del Cuarto de Información de Referencia, contiene los estudios de factibilidad de los pasos superiores de las intersecciones, incluida la Intersección Av. Bicentenario - Vía Cali-Puerto Tejada, Esta información estará disponible a título meramente informativo acorde con las condiciones de la Sección 1.7 Cuarto de Información de Referencia del Pliego de Condiciones. </t>
  </si>
  <si>
    <t>Apéndice técnico 1 - Tabla 16 – Intersecciones que como mínimo debe intervenir el Concesionario UF3</t>
  </si>
  <si>
    <t>Construcción y Mantenimiento Periódico: Intersección tipo glorieta, a nivel de la Vía Cali – Puerto Tejada, y puente a desnivel en la Av., Ciudad de Cali</t>
  </si>
  <si>
    <t>Intersección Av. Bicentenario - Vía Ye de Villa Rica-Jamundí</t>
  </si>
  <si>
    <t>Construcción y Mantenimiento Periódico: Intersección con una estructura a desnivel</t>
  </si>
  <si>
    <t>Se solicita información de diseños estructural sobre las intersecciones mencionadas, ya que no se evidencia en el DataRoom</t>
  </si>
  <si>
    <t>1738.     </t>
  </si>
  <si>
    <t>Se solicita información técnica de memorias, planos y cantidades de los puentes peatonales y su localización</t>
  </si>
  <si>
    <t>Apéndice técnico 1 - Tabla 29 – Puentes Peatonales por Unidades Funcionales.</t>
  </si>
  <si>
    <t>1739.     </t>
  </si>
  <si>
    <t>Se solicita informe estructural del tramo Villarica - Caloto y sus cantidades</t>
  </si>
  <si>
    <t>Se incluirá, en el Cuarto de Información de Referencia (carpeta G), la información disponible del tramo Villarica Caloto. Esta información estará disponible a título meramente informativo acorde con las condiciones de la Sección 1.7 Cuarto de Información de Referencia del Pliego de Condiciones.</t>
  </si>
  <si>
    <t>Dataroom/G5(8)</t>
  </si>
  <si>
    <t>1740.     </t>
  </si>
  <si>
    <t>Se solicita informe técnico de estructuras de la última versión de diseño de la intersección Versalles y sus cantidades</t>
  </si>
  <si>
    <t>La información se encuentra la carpeta G en el Cuarto de Información de Referencia, Esta información estará disponible a título meramente informativo acorde con las condiciones de la Sección 1.7 Cuarto de Información de Referencia del Pliego de Condiciones.</t>
  </si>
  <si>
    <t>Dataroom/G122</t>
  </si>
  <si>
    <t>1741.     </t>
  </si>
  <si>
    <t>Se solicita el complemento de la información de la intersección Sameco. Se encuentra información del puente Sameco 1, hace falta la información del puente Sameco 2.</t>
  </si>
  <si>
    <t>Dataroom/G24</t>
  </si>
  <si>
    <t>1742.     </t>
  </si>
  <si>
    <t>Se especifica en el documento "VOLUMEN IX -ESTUDIOS Y ANÁLISIS ADICIONALES", que se Anexa videos de los corredores "Anexo 2", pero no se encuentran cargados, aparentemente por su peso cargados, es posible contar con los videos.</t>
  </si>
  <si>
    <t>Se revisará la carpeta mencionada, y si no está disponible se incluirá la información en el Cuarto de Información de Referencia Esta información estará disponible a título meramente informativo acorde con las condiciones de la Sección 1.7 Cuarto de Información de Referencia del Pliego de Condiciones.</t>
  </si>
  <si>
    <t>Dataroom/F . Subcarpetas: F11212 - F21212 - F22212 - F31212 - F41212 - F51212</t>
  </si>
  <si>
    <t>1743.     </t>
  </si>
  <si>
    <t>En el índice se describe que en esta carpeta se encuentra un ortomosaico, sin embargo falta el archivo con extension *ecw</t>
  </si>
  <si>
    <t>Se revisará la carpeta mencionada, y si no está disponible se incluirá la información en el Cuarto de Información de Referencia. Esta información estará disponible a título meramente informativo acorde con las condiciones de la Sección 1.7 Cuarto de Información de Referencia del Pliego de Condiciones.</t>
  </si>
  <si>
    <t>Dataroom carpeta A1231161</t>
  </si>
  <si>
    <t>1744.     </t>
  </si>
  <si>
    <t>En esta carpeta se encuentran las imágenes aéreas de la UF4, sin embargo hacen faltan las imágenes No. 23, 24 y 27.</t>
  </si>
  <si>
    <t>Dataroom carpeta A3131061</t>
  </si>
  <si>
    <t>1745.     </t>
  </si>
  <si>
    <t>corresponde al ortomosaico de la UF4, actualmente esta carpeta contiene un archivo en formato zip sin peso o dañado.</t>
  </si>
  <si>
    <t>Dataroom carpeta A4131061</t>
  </si>
  <si>
    <t>1746.     </t>
  </si>
  <si>
    <t>En el índice se describe que están las áreas de servicio existentes: Villa Rica, Cerrito, Mediacanoa y Cencar, pero no nombran las coordenadas.</t>
  </si>
  <si>
    <t>La información a título meramente informativo sobre la reversión de la concesión del contrato 005 de 1999 se encuentra en la carpeta H del Cuarto de Información de Referencia, esto incluye inventarios, planos e información predial con la que es posible ubicar las áreas de servicios existentes. Adicionalmente, en el Apéndice Técnico 1 se presentan las áreas de servicio existentes.</t>
  </si>
  <si>
    <t>Apéndice técnico 1 3.5 Área de servicios</t>
  </si>
  <si>
    <t>1747.     </t>
  </si>
  <si>
    <t>Identificamos que se conservan las estaciones de peajes con ampliaciones en puntos de recaudo, según apéndice técnico 1, sin embargo,  se solicita aclarar  si en los peajes se requiere adicionar áreas funcionales como: zona de parqueo de tractomulas, Ambulancia, Estación de servicio, bomberos, Puesto de Policía y baños públicos o de usos exclusivo entre otras.</t>
  </si>
  <si>
    <t>El concesionario deberá cumplir con lo estipulado en los Apéndices Técnicos del Contrato, en especial el 2 y el 4, y a su vez cumplir con los indicadores referidos a la operación del peaje. Se sugiere revisar las obligaciones en materia de areas de servicio y estaciones de peaje, consignadas en el Apéndice 1 y Bases de operación, en el Apéndice técnico 2.</t>
  </si>
  <si>
    <t>Apéndice técnico 1 3.2 Estaciones de Peajes</t>
  </si>
  <si>
    <t>1748.     </t>
  </si>
  <si>
    <t>Las condiciones de iluminación se definen en la sección 6.3.4. Iluminación del Apéndice Técnico 2, la cual incluye todos los pasos peatonales, es decir todos los puentes peatonales.</t>
  </si>
  <si>
    <t>APÉNDICE TÉCNICO                                                5,5 Puentes Peatonales - Tabla 29 – Puentes Peatonales por Unidades Funcionales</t>
  </si>
  <si>
    <t>1749.     </t>
  </si>
  <si>
    <t>Se relaciona el edificio del centro de control de operación con un listado de equipo instalados. Se solicita archivo DWG o PDF con la ubicación o arquitectura del edificio.</t>
  </si>
  <si>
    <t>Dataroom/H</t>
  </si>
  <si>
    <t>1750.     </t>
  </si>
  <si>
    <t>Se solicita información de las carpetas H12131, H12132, H12133, H13132, H13133, H13134, H11132, H11133, H11134, H102312, H102313 referente al tema de ITS (Estaciones de peaje, Estaciones de Pesaje).</t>
  </si>
  <si>
    <t>1751.     </t>
  </si>
  <si>
    <t>Dentro de esta carpeta se encuentra los planos en PDF. Solicitamos la versión en .dwg de los mismos si se encuentra disponible.</t>
  </si>
  <si>
    <t>Dataroom/F</t>
  </si>
  <si>
    <t>1752.     </t>
  </si>
  <si>
    <t>Para los archivos que están con extensión .shp, solicitamos la versión .dwg, si está disponible.</t>
  </si>
  <si>
    <t>Archivos .Shp</t>
  </si>
  <si>
    <t>1753.     </t>
  </si>
  <si>
    <t>En los planos de redes eléctricas no se encuentran con convenciones ni con las redes por lo cual se solicita que los planos tengan lo anterior.</t>
  </si>
  <si>
    <t>1754.     </t>
  </si>
  <si>
    <t>No se encuentra información en PDF o DWG de las redes de telecomunicaciones que tienen afectación al proyecto.</t>
  </si>
  <si>
    <t>Estos datos están dispuestos en el Cuarto de Información de Referencia a título meramente informativo en los formatos en los que se encuentra disponible en los archivos de la ANI en la Carpeta F.  Debe tenerse en cuenta que parte de la información de redes de servicios públicos es confidencial según las condiciones definidas por los operadores y encargados de las redes.</t>
  </si>
  <si>
    <t>1755.     </t>
  </si>
  <si>
    <t>No se encuentra la información de la carpeta H5191. Solicitamos esta información para revisión del tema de iluminación.</t>
  </si>
  <si>
    <t>1756.     </t>
  </si>
  <si>
    <t>No se encuentra la información referente a las redes de Alumbrado Público existentes ni a los diseños de iluminación para las Unidades Funcionales 1, 2, 3 y 4.</t>
  </si>
  <si>
    <t>La información de interferencia de redes se encuentra a título informativo en la Carpeta F del Cuarto de Información de Referencia. Esta información estará disponible a título meramente informativo acorde con las condiciones de la Sección 1.7 Cuarto de Información de Referencia del Pliego de Condiciones. Se complementará la información en lo referente a la iluminación del tramo Cali-Palmira.</t>
  </si>
  <si>
    <t>Dataroom</t>
  </si>
  <si>
    <t>1757.     </t>
  </si>
  <si>
    <t>Se solicita incluir en el cuarto de datos las cantidades resultantes de los diseños de la estructuración, para cada uno de los componentes de ingeniería y separado por Unidades Funcionales</t>
  </si>
  <si>
    <t xml:space="preserve">Nos permitimos manifestarle que la información que se puede publicar, producto de la etapa de estructuración, se encuentra publicada en el Cuarto de Información de Referencia. Teniendo en cuenta su tamaño y extensión NO se reordenará, dado que muchos de los proponentes ya han venido descargandola en el orden publicado, y referenciado en el Indice. </t>
  </si>
  <si>
    <t>1758.     </t>
  </si>
  <si>
    <t>No se encuentran planos DWG de las redes eléctricas existentes y proyectadas para las Unidades Funcionales 1, 2, 3 y 4.</t>
  </si>
  <si>
    <t>Los archivos de redes en DWG y referencias DXF se encuentran en los anexos de cada volumen, en la Carpeta F del Cuarto de Información de Referencia. Esta información estará disponible a título meramente informativo acorde con las condiciones de la Sección 1.7 Cuarto de Información de Referencia del Pliego de Condiciones. Debe tenerse en cuenta que parte de la información de redes de servicios públicos es confidencial según las condiciones definidas por los operadores y encargados de las redes.</t>
  </si>
  <si>
    <t>1759.     </t>
  </si>
  <si>
    <t>No se encuentran planos DWG con los inventarios del sistema eléctrico y las soluciones a las posibles interferencias, haciendo difícil la identificación de las redes en las UF´s 1, 2, 3 y 4.</t>
  </si>
  <si>
    <t>1760.     </t>
  </si>
  <si>
    <t>Para los archivos con extensión .shp de redes eléctricas que se encuentran en las carpetas F12241219 y F41241216 solicitamos la versión .dwg, si está disponible.</t>
  </si>
  <si>
    <t>1761.     </t>
  </si>
  <si>
    <t>Dentro de la carpeta F3124 “Anexo 5. Redes”, únicamente se encuentran las correspondencias y el seguimiento de las comunicaciones y no se evidencia la información referente a los diseños de redes e iluminación de la Unidad Funcional 3.</t>
  </si>
  <si>
    <t>1762.     </t>
  </si>
  <si>
    <t xml:space="preserve">Se mencionan paneles de mensajería variable fijos y móviles en el informe de cada unidad funcional pero no hay un archivo en DWG o KMZ para su ubicación y cantidades  </t>
  </si>
  <si>
    <t>Las ubicaciones relevantes para el análisis de factibilidad de los ITS se encuentran en los planos anexos de la carpeta F, a título informativo, en el Cuarto de Información de Referencia.</t>
  </si>
  <si>
    <t>1763.     </t>
  </si>
  <si>
    <t xml:space="preserve">UF1 - Para el mejoramiento de la Curva Don Otto: no se tiene información Lidar solo se cuenta con topografía de modelo satelital Satelital. Se solicita incluir en el DataRoom la información correspondiente. </t>
  </si>
  <si>
    <t>1764.     </t>
  </si>
  <si>
    <t>UF1:   Para las Intersecciones Versalles y Parque del Azúcar</t>
  </si>
  <si>
    <t xml:space="preserve">●       No se cuenta con ortofoto. Se solicita incluir en el DataRoom la información correspondiente. </t>
  </si>
  <si>
    <t xml:space="preserve">●       En intersección Parque del Azúcar no hay información del diseño geométrico (altimetría y planimetría), solo un esquema en planta. Se solicita incluir en el DataRoom la información correspondiente. </t>
  </si>
  <si>
    <t xml:space="preserve">●       En intersección Versalles falta ortofoto, no hay carteras de replanteo, en lo relacionado con el diseño geométrico solo hay un perfil del deprimido. Se solicita incluir en el DataRoom los diseños viales de esta intersección.  </t>
  </si>
  <si>
    <t>●       Reversión Salida Palmira – Candelaria, no hay ortofoto, se solicita incluir al ortofoto en el dataroom.</t>
  </si>
  <si>
    <t>●       Reversión Salida Palmira-Pradera e Intersección Bulldozer</t>
  </si>
  <si>
    <t>-        Cartografía no coincide con lo existente, ya que no cuenta con información del tramo de doble calzada ya construido. Se solicita incluir la topografía de este sector.</t>
  </si>
  <si>
    <t>-        Sección típica usada no concuerda con apéndice técnico 1, según las secciones encontradas en el dataroom, se proyectó una sola calzada, sin separador físico y de 2 carriles para cada sentido.</t>
  </si>
  <si>
    <t>●       Factor calidad Vía La Herradura - Matapalo, no se encontró en el dataroom información relacionada con los diseños de esta vía, así mismo tampoco hay topografía. Se solicita incluir la información de los estudios y diseños de este tramo en el data room.</t>
  </si>
  <si>
    <t>1765.     </t>
  </si>
  <si>
    <t xml:space="preserve">UF 2: </t>
  </si>
  <si>
    <t>Variante el Bolo</t>
  </si>
  <si>
    <t>●      No hay información de topografía, MDT, ortofoto, cartografía, los trazados existentes parecen ser preliminares.  Se solicita aclarar cuál es el nivel de detalle de los estudios y diseños ANI, así como incluir la información de los estudios y diseños de este tramo en el data room.</t>
  </si>
  <si>
    <t>●      En lo relacionado con el diseño geométrico únicamente se encontró un archivo xls el cual presenta el reporte de alineamiento horizontal del eje. Se solicita incluir la información de los estudios y diseños de la variante en el data room.</t>
  </si>
  <si>
    <t xml:space="preserve">Acceso estadio Palmaseca: </t>
  </si>
  <si>
    <t>●       Se solicita incluir las Coordenadas del sitio de acceso y empalme con la vía nacional</t>
  </si>
  <si>
    <t>Factor de calidad Vía Villa Rica - Caloto</t>
  </si>
  <si>
    <t>●       no se encontró en el dataroom información relacionada con los diseños de esta vía, así mismo tampoco hay topografía. Se solicita incluir la información de los estudios y diseños de este tramo en el data room.</t>
  </si>
  <si>
    <t>1766.     </t>
  </si>
  <si>
    <t>UF3</t>
  </si>
  <si>
    <t>Se incluirá la información en el Cuarto de datos del proyecto. Esta información estará disponible a título meramente informativo acorde con las condiciones de la Sección 1.7 Cuarto de Información de Referencia del Pliego de Condiciones.</t>
  </si>
  <si>
    <t>No se encontró en el dataroom las carteras de diseño de la intersección (Av. Bicentenario - Vía Ye de Villa Rica-Jamundí). Se solicita incluir la información de los estudios y diseños de este tramo en el data room.</t>
  </si>
  <si>
    <t>1767.     </t>
  </si>
  <si>
    <t>UF 5</t>
  </si>
  <si>
    <t>La información disponible de la Intersección Sameco se encuentra en la carpeta G del Cuarto de Información de Referencia. Esta información estará disponible a título meramente informativo acorde con las condiciones de la Sección 1.7 Cuarto de Información de Referencia del Pliego de Condiciones. De otra parte, dentro de los Estudios de Detalle que debe desarrollar el Concesionario en la Fase de Preconstrucción se encuentra el estudio de tránsito y transporte, para todos los corredores y tramos de la concesión. Con base en los resultados de dicho estudio, se deberá determinar la solución óptima para los problemas de congestión que se producen actualmente en la Intersección Sameco.</t>
  </si>
  <si>
    <t>Intersección Sameco, no se encontró en el dataroom información relacionada con los diseños de esta vía, así mismo tampoco hay topografía. Se solicita incluir la información de los estudios y diseños de este tramo en el data room.</t>
  </si>
  <si>
    <t>1768.     </t>
  </si>
  <si>
    <t>Yumbo (Paso Nivel) – Mediacanoa = 4 Puentes peatonales existentes / 2 Puentes reubicar Solicitamos sea confirmado el número de puentes</t>
  </si>
  <si>
    <t>En los puentes a reubicar el alcance es demolición del puente actual y construcción en otro sitio, para los puentes existentes los alcances son de conservación, en tal sentido se hace el ajuste de la Tabla 29 del Apéndice Técnico 1.</t>
  </si>
  <si>
    <t>APENDICE TECNICO 1</t>
  </si>
  <si>
    <t>1769.     </t>
  </si>
  <si>
    <t>Rozo - La Torre; Palmaseca - Rozo - El Cerrito; Acequia - La Torre; Mulaló - La Torre; La Torre – Cantarrana; Cencar - Aeropuerto – Galicia= 10 Puentes peatonales existentes. Solicitamos sea confirmado el número de puentes</t>
  </si>
  <si>
    <t>Su entendimiento es correco. Los puentes existentes a conservar en los tramos referenciados son 10.</t>
  </si>
  <si>
    <t>1770.     </t>
  </si>
  <si>
    <t>Se hace la verificación y ajuste de la información en el Cuarto de Información de Referencia</t>
  </si>
  <si>
    <t>Dataroom/D</t>
  </si>
  <si>
    <t>1771.     </t>
  </si>
  <si>
    <t xml:space="preserve">Será responsabilidad de los Oferentes visitar e inspeccionar los sitios en los cuales se desarrollará el Proyecto. Al respecto solicitamos informar qué trámites deben realizar los interesados en el proyecto para ingresar a la infraestructura existente incluyendo, pero sin limitarse a al CCO, peajes, peajes y áreas de servicio. </t>
  </si>
  <si>
    <t>Las áreas mencionadas se encuentran actualmente en operación de parte de INVIAS, por lo tanto será esta entidad la que defina las condiciones de trámites y permisos de visita.</t>
  </si>
  <si>
    <t xml:space="preserve">PROYECTO DE PLIEGO DE CONDICIONES – </t>
  </si>
  <si>
    <t xml:space="preserve">VISITAS AL LUGAR DONDE SE DESARROLLARÁ EL PROYECTO, DEBIDA DILIGENCIA </t>
  </si>
  <si>
    <t>43 INFORMACIÓN SOBRE EL PROYECTO</t>
  </si>
  <si>
    <t>1772.     </t>
  </si>
  <si>
    <t>En cuanto a las instalaciones existentes, 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t>
  </si>
  <si>
    <t>CAPÍTULO V INSTALACIONES EN EL CORREDOR DEL PROYECTO</t>
  </si>
  <si>
    <t>1773.     </t>
  </si>
  <si>
    <t>Se solicita aclarar, a la luz de la nota al pie de la figura si en el punto Versalles es de obligatorio cumplimiento la solución de deprimido o si es posible proponer otra solución técnica</t>
  </si>
  <si>
    <t>Figura 1 - Nota</t>
  </si>
  <si>
    <t>1774.     </t>
  </si>
  <si>
    <t>Se solicita aclarar, a la luz de la nota al pie de la figura si en el punto Sameco es de obligatorio cumplimiento el desarrollo de deprimido o si es posible proponer otra solución técnica</t>
  </si>
  <si>
    <t>Figura 2 - Nota</t>
  </si>
  <si>
    <t>1775.     </t>
  </si>
  <si>
    <t>Nota informativa sobre documentos faltantes por su tamaño se debe copiar en las instalaciones de la ANI. Debido a las restricciones de movilidad establecidas por Presidencia a causa del Covid-19. Se solicita que la información faltante por tamaño en el dataroom sea compartida en el cuarto de datos</t>
  </si>
  <si>
    <t>Dataroom / Archivos</t>
  </si>
  <si>
    <t>1776.     </t>
  </si>
  <si>
    <t>Se presentan contradicciones en el informe CII1111-Estudio y diseños de pavimentos Corredor 01, en el numeral 9.11 Numero estructural requerido; en la página 213, el primer párrafo enuncia que “... la estructura de pavimento existente no requiere ningún tipo de refuerzo desde el análisis teórico de la metodología AASHTO.", sin embargo, en el numeral 9.4.1 Estimación Teórica Refuerzo Metodología Mecanicista, pagina 243, se presentan los sectores con requerimiento de refuerzo para el año 2025 y 2030. Por otro lado, en la carpeta CII11213-ANEXO 13. SECCIONES TRANSVERSALES ESTRUCTURA EXISTENTE Y CON INTERVENCIONES AÑO 2020, se presentan planos en PDF que indican la intervención de la estructura de pavimento existente. Se solicita aclarar cual intervención del pavimento existente se consideró en la estructuración del CAPEX para cada uno de los tramos.</t>
  </si>
  <si>
    <t>Los análisis mecanicistas suplen las condiciones funcionales, mientras que los AASHTO son de condiciones estructurales, por lo tanto no son contradicciones y se trata de complementaciones de los análisis para determinar las necesidades de intervención, que en el citado ejemplo no se deben a la reducción de vida residual desde el punto de vista estructural, pero sí por el desgaste funcional. Esto se complementa con las intervenciones que se deducen de la condición del potencial de daños que requieren mantenimientos inmediatos y que no se obtienen a partir de la sectorización funcional. En todos los casos se considera el resultado más desfavorable. Por ultimo se aclara que la información del cuarto de datos estará disponible a título meramente informativo acorde con las condiciones de la Sección 1.7 Cuarto de Información de Referencia del Pliego de Condiciones.</t>
  </si>
  <si>
    <t>CII1111-Estudio y diseños de pavimentos Corredor 01</t>
  </si>
  <si>
    <t>CII11213-ANEXO 13. SECCIONES TRANSVERSALES ESTRUCTURA EXISTENTE Y CON INTERVENCIONES AÑO 2020</t>
  </si>
  <si>
    <t>1777.     </t>
  </si>
  <si>
    <t>Será responsabilidad de los Oferentes visitar e inspeccionar los sitios en los cuales se desarrollará el Proyecto. Solicitamos, bajo la luz de las actuales restricciones de movilidad a causa del Covid-19 se informe como proceder por las limitaciones para traslados al área de estudio o la ampliación de los plazos para el proceso</t>
  </si>
  <si>
    <t>PROYECTO DE PLIEGO DE CONDICIONES –</t>
  </si>
  <si>
    <t>VISITAS AL LUGAR DONDE SE DESARROLLARÁ EL PROYECTO, DEBIDA DILIGENCIA</t>
  </si>
  <si>
    <t>1778.     </t>
  </si>
  <si>
    <t>La información faltante en el dataroom referente a diseños y especificaciones se realiza amparados en la LEY 1682 DE la cual determina que todos los elementos deben de tener diseños en fase 2 los cuales en varios apartados del proyecto es información faltante sobre todo a lo referente a las obras de factor de calidad, intersecciones y pasos zonas urbanas. Se solicita aclaración y suministro de la información.</t>
  </si>
  <si>
    <t xml:space="preserve">Se incluirá, en el Cuarto de Información de Referencia (carpeta G), la información disponible del tramo Villa Rica - Caloto, y de las intersecciones Versalles - Parque del Azúcar y Sameco. Esta información estará disponible a título meramente informativo acorde con las condiciones de la Sección 1.7 Cuarto de Información de Referencia del Pliego de Condiciones. 
</t>
  </si>
  <si>
    <t>1779.     </t>
  </si>
  <si>
    <t>UF1 Tabla 6</t>
  </si>
  <si>
    <t>Se refiere a los anchos de sección vial que correspondan con la configuración de número y carriles que se define para cada tramo, de acuerdo con las intervenciones consigndas en el Apéndice Técnico 1.</t>
  </si>
  <si>
    <t>UF2 Tabla 11</t>
  </si>
  <si>
    <t>Cumplimiento de especificaciones de Ley 105 de 1993 (s/n)</t>
  </si>
  <si>
    <t>UF 4 Tabla 19</t>
  </si>
  <si>
    <t>POT</t>
  </si>
  <si>
    <t>UF 5 Tabla 23</t>
  </si>
  <si>
    <t xml:space="preserve">En las anteriores tablas hay la siguiente Nota: el trazado y la Franja debe cumplir lo dispuesto en el POT municipal y contar con la aprobación de la autoridad municipal. </t>
  </si>
  <si>
    <t>Se entiende por la naturaleza de la concesión fue este cumplimiento del POT se refiere únicamente al ancho de la calzada sin intervenciones adicionales al ancho de la calzada principal. Se solicita aclarar si las intervenciones a realizar se refieren única y exclusivamente a la calzada principal en su paso por zona urbana y no se extiende a otras actividades adicionales y/o vías adyacentes.</t>
  </si>
  <si>
    <t>1780.     </t>
  </si>
  <si>
    <t>Se entiende por la naturaleza de la concesión que las obras a realizar en los pasos urbanos de las diferentes unidades funcionales se entregan a finalizar la etapa constructiva. Se solicita aclaración</t>
  </si>
  <si>
    <t xml:space="preserve">En la Sección 3.10 de la Parte Especial, se define la infraestructura que tendrá Reversión Especial. Adicionalmente, deberá tenerse en cuenta el alcance específico de los indicadores, especialmente la exclusión de la medición sobre el Paso Nacional Palmira, sin embargo, permancerán las obligaciones de operación y mantenimiento consigandas en los apéndices, en especial el 2. </t>
  </si>
  <si>
    <t>1781.     </t>
  </si>
  <si>
    <t>Para el puente SAMECO se especifica 1 calzada con 3 carriles de ancho 3.20 m, pero el ancho de calzada mínimo en la tabla es 13.90 m cuando debería ser 9.60 m. Se solicita corregir el valor del ancho de calzada.</t>
  </si>
  <si>
    <t>Tabla 28 – Características Geométricas y técnicas de cada obra</t>
  </si>
  <si>
    <t>1782.     </t>
  </si>
  <si>
    <t>Para el tramo Glorieta Cencar - Glorieta Las Américas la velocidad de diseño es de 80 Km/h y se especifica que el ancho de berma interno mínimo es de 1,5 m; en otros tramos con igual velocidad, el ancho de berma mínimo es 0,5 m. Se solicita confirmar el valor del ancho de berma interna mínimo para el tramo CENCAR - LAS AMERICAS.</t>
  </si>
  <si>
    <t xml:space="preserve">El ancho mínimo de la berma del tramo Glorieta Cencar - Glorieta Las Américas es el expresado en la Tabla 23 del Apéndice Técnico 1.
</t>
  </si>
  <si>
    <t>Tabla 23 – Características Geométricas y técnicas de entrega para vías a cielo abierto UF5</t>
  </si>
  <si>
    <t>1783.     </t>
  </si>
  <si>
    <t>Se solicita informar si en las obras de drenaje en planos, la información de una segunda dimensión hace referencia a que la obra debe ser cambiada a las nuevas dimensiones dadas. En la tabla de convenciones no indica el color amarillo a que hace referencia</t>
  </si>
  <si>
    <t>Dataroom / B11212</t>
  </si>
  <si>
    <t>1784.     </t>
  </si>
  <si>
    <t>Información de los puentes existentes. No se encuentran diseños y planos de los puentes existentes a lo largo de las unidades funcionales. Se solicita sean incluidos</t>
  </si>
  <si>
    <t xml:space="preserve">Se encuentran datos de SIPUCOL en la Carpeta D, parra información de reversión de la infraestructura existente consultar en la Carpeta H. Se aclara que esta información estará disponible a título meramente informativo acorde con las condiciones de la Sección 1.7 Cuarto de Información de Referencia del Pliego de Condiciones. </t>
  </si>
  <si>
    <t>1785.     </t>
  </si>
  <si>
    <t>Andenes en Puentes a construir. Se solicita confirmar la necesidad de incluir andenes en los puentes vehiculares a construir y de ser así informar las dimensiones que deben tener</t>
  </si>
  <si>
    <t>Camilo Martinez, 15/05/2020</t>
  </si>
  <si>
    <t>BBVA Valores, 15/05/2020</t>
  </si>
  <si>
    <t>Sugerimos que se considere como Fuerza Mayor si transcurre más del cincuenta por ciento (50%) adicional del tiempo máximo establecido por la Ley Aplicable. Lo anterior teniendo en consideración que el porcentaje actualmente establecido (150%) implica que un trámite se pudiera tomar hasta 2.5 veces más que el tiempo máximo normal sin ningún mitigante para el concesionario, quien seguramente tendría que asumir los costos de retraso y  comprar tiempo adicional, lo que además de derivar en costos excesivos para el concesionario, puede desbordar el monto de las contingencias consideradas para el dimensionamiento de las fuentes de financiación</t>
  </si>
  <si>
    <t>Contrato de Concesión - Parte General Numeral 1.79 "Fuerza Mayor"</t>
  </si>
  <si>
    <t>Considerando que la DTF es una tasa en desuso en el mercado, sugerimos sustituir el uso de la misma a lo largo del contrato por la IBR, como tasa de referencia.</t>
  </si>
  <si>
    <t>Contrato de Concesión - Parte General Numeral 1.54 "DTF"</t>
  </si>
  <si>
    <t>A diferencia de las multas, cuya limitación en valor y aplicabilidad por evento son claros en el contrato, las Sanciones no tienen una regulación clara en el contrato ni en cuanto a la tipología de eventos ni en cuanto a los límites máximos aplicables a las mismas, lo que abre un riesgo con efectos incuantificables para financiadores e inversionistas y podría en este sentido afectar la bancabilidad del proyecto. Teniendo en cuenta que las multas ya son incentivo suficiente para que el concesionario cumpla a cabalidad con el contrato y que la terminación del contrato y las penalidades aplicables en tal evento son castigo suficiente frente a un incumplimiento grave del contrato, se solicita comedidamente eliminar el concepto de las Sanciones o al menos generar una regulación que permita identificar con claridad los eventos en los que serían de aplicación, sus efectos en valor y el límite máximo aplicable (como en el caso de las multas)</t>
  </si>
  <si>
    <t>Contrato de Concesión - Parte General Numeral 1.112 "Sanciones"</t>
  </si>
  <si>
    <t>Considerando la complejidad, preparación y tiempo que implica estructurar la financiación de un proyecto de estas características y en atención a las experiencias de 4G, en que los cierres tomaron entre 18 y 30 meses en algunos casos, solicitamos comedidamente ampliar los plazos considerados para la entrega de los contratos de crédito, en los numerales indicados, en al menos 12 meses</t>
  </si>
  <si>
    <t xml:space="preserve">Contrato de Concesión - Parte General Numeral 3.8 "Cierre Financiero" literales (a) (i) y (c) </t>
  </si>
  <si>
    <t>Existe una contradicción entre lo señalado en el numeral (iv) del literal (g) que establece: "Los rendimientos generados por la Subcuenta Compensaciones Socioambientales, la Subcuenta Predios y la Subcuenta Redes acrecerán cada una de dichas subcuentas" y lo establecido en los numerales (v) (3), (vi) (3) y (vii) (3) del literal (g) de esta sección, en los que se establece que los rendimientos correspondientes a dichas subcuentas serán trasladados a la Subcuenta Excedentes ANI.  Dada la naturaleza de estas subcuentas, se solicita ajustar los numerales (v), (vi) y (vii), en congruencia con lo señalado en el numeral (iv) indicado</t>
  </si>
  <si>
    <t>Contrato de Concesión - Parte General Numeral 3.14 (g) "Cuenta Proyecto"</t>
  </si>
  <si>
    <t>Para un adecuado control por parte del concesionario y de los financiadores, de las contingencias a cargo de la ANI, se solicita comedidamente incluir como parte de las obligaciones a cargo de la ANI, la entrega anual al concesionario de la actualización del cálculo de contingencias y el Plan de aportes correspondiente</t>
  </si>
  <si>
    <t>Contrato de Concesión - Parte General Numerales 4.3 4.6 y 9.3 relacionadas con las Obligaciones de la ANI</t>
  </si>
  <si>
    <t>Solicitamos la aclaración sobre qué ocurre si se requiere de una modificación del Plan de Obras por razones distintas a un Evento Eximente de Responsabilidad. Además, amablemente sugerimos indicar que el Plan de Obras podrá ser modificado siempre que no afecte la fecha de terminación estimada de la UF.  Más allá de eso, si se requiriese plazo adicional para la terminación de la UF, ya estaría regulado en el numeral 4.10</t>
  </si>
  <si>
    <t>Contrato de Concesión - Parte General Numeral 4.9 "Procedimiento para solicitar la ampliación del Plazo del Plan de Obas por un evento Eximente de Responsabilidad o por causas imputables a la ANI"</t>
  </si>
  <si>
    <t>Aunque la disposición considera que una parte del costo es asumido por la ANI, en la medida en que es un riesgo incuantificable, se está dejando en cabeza del concesionario un riesgo sin límite de cuantía.  Dado el alto costo que implican estas gestiones y la alta probabilidad de ocurrencia según se ha visto en el desarrollo de este tipo de proyectos en Colombia, resulta difícil para inversionistas y financiadores asumir este riesgo sin un límite de cuantía.  En este sentido, se sugiere que el costo asociado a la gestión de nuevas consultas previas se incluya en la distribución de riesgos como parte del límite sobre el Valor Estimado de Compensaciones Socioambientales, de forma que si se materializa el riesgo, el costo asociado se asuma según se describe en la sección 8.1 (c) (iii) de la Parte General del Contrato de Concesión</t>
  </si>
  <si>
    <t>Contrato de Concesión - Parte General Numeral 8.1 "Gestión Social y Ambiental" subsección (d) párrafo 2</t>
  </si>
  <si>
    <t>Se sugiere que se considere como Fuerza Mayor Ambiental si transcurre más del cincuenta por ciento (50%) adicional del tiempo máximo establecido por Ley Aplicable.  Lo anterior teniendo en consideración que el porcentaje actualmente establecido (150%) implica que un trámite se pudiera tomar hasta 2.5 veces más que el tiempo máximo normal sin ningún mitigante para el concesionario, quien seguramente tendría que asumir los costos de retraso y  comprar tiempo adicional, lo que además de derivar en costos excesivos para el concesionario, puede desbordar el monto de las contingencias consideradas para el dimensionamiento de las fuentes de financiación</t>
  </si>
  <si>
    <t>Contrato de Concesión - Parte General Numeral 8.1 "Gestión Social y Ambiental" subsección (h) numeral (i)</t>
  </si>
  <si>
    <t xml:space="preserve">En esta sección se indica que en determinados eventos la ANI, mediante acto administrativo debidamente motivado, previo cumplimiento de los requisitos establecidos en la Ley Aplicable, podrá modificar unilateralmente el Contrato, mediante la supresión o adición de obras, trabajos, suministros o servicios, sin establecer con claridad la forma en que serían compensados estos servicios al Concesionario. Se indica que las modificaciones deben alterar el Valor del Contrato al menos en un veinte por ciento (20%) para que el Concesionario pueda renunciar a la continuación de su ejecución en los términos de la Ley Aplicable.  
Es importante el ajuste o mayor regulación de estas disposiciones, pues en la medida en que se obliga al concesionario a incurrir en unos costos que no han sido acordados y que los mismos no están dentro del plan financiero del proyecto, se está dejando en cabeza del concesionario y financiadores un riesgo de una magnitud muy significativa que resulta difícil de asumir.
</t>
  </si>
  <si>
    <t xml:space="preserve">Contrato de Concesión - Parte General Numeral 11.3 "Otras cláusulas excepcionales al derecho común" subsección a) </t>
  </si>
  <si>
    <t xml:space="preserve">En esta sección se incluye dentro de los riesgos asignados al concesionario "el impacto negativo y/o sobrecosto que el cambio en los diseños pueda generar sobre otros riesgos a cargo de la ANI en los términos establecidos en el presente Contrato".
Dada la naturaleza de estos proyectos, es común que se produzcan modificaciones en los diseños / trazados, incluso en ocasiones por razones fuera del control del concesionario.  Como la ANI bien conoce, incluso existen antecedentes de proyectos en donde una gran parte del trazado ha tenido que ser modificado por la imposibilidad de desarrollar las obras por el corredor previsto.
En esta medida, se solicita respetuosamente eliminar esta disposición, toda vez que se pondría en cabeza del inversionista y los financiadores un riesgo sin límite de cuantía, que podría dificultar la bancabilidad de los proyectos y la presentación de proponentes en las licitaciones de proyectos 5G.  
</t>
  </si>
  <si>
    <t>Contrato de Concesión - Parte General Numeral 13.2 "Riesgos asignados al Concesionario" subsección a) numeral (vii)</t>
  </si>
  <si>
    <t>En el contrato actual no hay límite de cuantía sobre las indemnidades del Concesionario a la ANI, lo que dificulta  hacer una cuantificación de riesgos en esta materia por parte de financiadores y potenciales proponentes. En esta medida solicitamos considerar la inclusión de un límite de responsabilidad del Concesionario.</t>
  </si>
  <si>
    <t>Contrato de Concesión - Parte General Numeral 14.3 "Indemnidad"</t>
  </si>
  <si>
    <t xml:space="preserve">En esta sección, se indica que el Interventor, para el cálculo del componente ARh (de costos) en las distintas fórmulas de terminación, deberá validar, entre otros, los siguientes criterios que resultan altamente subjetivos: (A) que las actividades hayan sido ejecutadas para contribuir a satisfacer el interés público y (C) que los costos correspondan a precios de mercado asociados a las condiciones particulares del Proyecto al momento de su causación de acuerdo con la modalidad contractual.  
Sólo por citar un par de ejemplos, en el primer caso, alguien podría cuestionar que los costos asociados a la financiación (intereses, comisiones, etc), la Comisión de Éxito de que trata el contrato, o los relacionados con actividades como el movimiento de tierras o excavaciones (que no son obras concluidas), no contribuyen necesariamente a satisfacer el interés público (cuando en realidad quienes trabajamos en la estructuración, financiación y desarrollo de estos proyectos sabemos que son parte de los costos fundamentales para llevarlos a cabo).  Así mismo, lo que se entienda por "precios de mercado" puede ser bastante cuestionable, ya que por ejemplo el costo de los insumos, la mano de obra, los costos de transporte de materiales, etc, pueden variar de un proyecto a otro en función de múltiples variables que hacen difícil establecer una base comparativa "justa" y a la medida de cada proyecto (por mencionar algunas variables de impacto en el costo: la ubicación de las obras, la modalidad de contratación del bien o servicio contratado, la calidad de los materiales, disponibilidad de los mismos en la zona, complejidad de las obras, condiciones de seguridad, clima, etc).  Tal subjetividad puede fácilmente conllevar a una interpretación indebida de los citados criterios, que podría derivar en el castigo del pago por terminación anticipada, que es la “garantía” fundamental de los financiadores en el contexto de una terminación anticipada del Contrato.
Como bien es conocido, el antecedente de liquidación de Ruta del Sol, aunque con sus diferencias, generó un impacto importante a la mayoría de entidades bancarias que financian este tipo de proyectos en Colombia, lo que vuelve este asunto mucho más sensible hoy en día en la evaluación de los proyectos por parte del mercado financiero. En este contexto poder valorar periódicamente esta “garantía” de forma objetiva es un requisito fundamental para la bancabilidad de estos proyectos.
Dado lo anterior, solicitamos respetuosamente: i) eliminar los criterios A y C antes señalados y ii) establecer con claridad un procedimiento mediante el cual se cuente con una acreditación periódica por parte de la ANI de la valoración de la fórmula de terminación en las distintas etapas del proyecto, que sea vinculante para la ANI.
</t>
  </si>
  <si>
    <t>Contrato de Concesión - Parte General Numeral 18.3 "Fórmulas de Liquidación del Contrato" tablas variable ARh</t>
  </si>
  <si>
    <t xml:space="preserve">Se solicita incluir dentro de los conceptos de costos reconocidos en la variable ARh los costos de quiebre de los mecanismos de cobertura (derivados) que emplee el concesionario en desarrollo de la financiación del proyecto.  Lo anterior es de particular importancia, teniendo en cuenta: i) que en proyectos de estas características es común contar con coberturas de tasa de interés a largo plazo para mitigar los riesgos asociados a la volatilidad en tasas de interés. y ii) que en la coyuntura actual, en el evento en que el mercado local de financiación esté restringido o no resulte competitivo (dado el tamaño reducido para este tipo de proyectos), una potencial alternativa de financiación sería la de una facilidad en dólares con una cobertura a pesos (cross currency swap).  Para viabilizar el uso de estos mecanismos de cobertura es necesario asegurar que en el evento de su cancelación anticipada, se cubra el costo asociado de ruptura.
Así mismo es importante considerar, como parte de los costos reconocidos en la variable ARh, las penalidades por prepago de las facilidades de financiación.  Estas penalidades son típicas en contratos de financiación, y un requisito en cualquier financiación a través del mercado de capitales (bonos) o fondos de deuda (comúnmente conocidos como Make-Whole Premiums).  El no incluir estos conceptos dentro de los costos reconocidos, en un evento de terminación, podría inviabilizar el uso de estas fuentes de financiación.
Por último, resulta también importante incluir como parte de los costos reconocidos en la variable ARh, de forma general, todos aquellos costos asociados al desarrollo del proyecto (honorarios de asesores de todo tipo -técnicos, legales, de mercado, tributarios, financieros, etc- que son comúnmente contratados para la estructuración del proyecto  y la financiación, así como otros costos relacionados con gestiones típicas en estos proyectos y que no se enuncian en la variable ARh, como los costos asociados a la consecución de permisos), ya que se escapan de los enunciados en los conceptos reconocidos.
</t>
  </si>
  <si>
    <t>Solicitamos comedidamente considerar la eliminación de la variable F en las fórmulas de liquidación, entre otras, por las siguientes razones:
- Se limitan enormemente las potenciales estructuras de financiación, en la medida en que se fija el equity máximo que estaría en disposición de invertir un inversionista, al limitar el valor acumulado de Equity que se reconoce en las distintas fórmulas de terminación (indicando que no podrá superar el valor que resulte de multiplicar la suma del total de los montos mínimos de los Giros de Equity previstos en la Parte Especial por el factor FAE que se establece en la Parte Especial). Dada esta limitación, difícilmente un inversionistas consideraría invertir cualquier valor que supere el monto antes señalado, ya que no sería reconocido en un evento de terminación; lo que podría inviabilizar el proyecto en caso que el mercado financiero (como ha ocurrido en varios proyectos de 4G) llegase a requerir un equity superior al equity mínimo contractual.  Más aún, genera un incentivo perverso sobre el inversionista, pues si se llegara a requerir de recursos adicionales para cubrir cualquier situación inesperada (por ejemplo ante un evento de suspensión de los desembolsos), a pesar de tener disponibilidad de recursos para inyectar al proyecto bajo la forma de equity, éste estaría inclinado a no inyectar tales recursos, en la medida en que su inversión estaría descubierta en el evento de una terminación anticipada.
- Se incorpora un cálculo teórico de dividendos (variable Divh) que no parece razonable que se emplee como deducción en la fórmula, considerando que la fiduciaria debe tener todos los registros de movimientos de caja debidamente contabilizados. Genera particular preocupación que se materialice un caso en el que el proyecto no haya generado caja suficiente para distribuir dividendos a sus accionistas y se llegue a una situación crítica de terminación anticipada del contrato de concesión, en la que la ANI descuente valores teóricos de distribución de utilidades ficticias que en realidad no se materializaron, deteriorando no sólo la compensación del inversionista sino, afectando la fuente de pago de los financiadores.
- La incorporación de este factor puede generar escenarios de pago por terminación que no correspondan con la realidad de los flujos de recursos efectivamente aportados al proyecto, lo que podría penalizar el valor de la fórmula y poner en riesgo el pago a los financiadores y la recuperación del capital por parte del inversionista.  
Si los costos son efectivamente validados por el interventor y fueron ejecutados, deberían ser reconocidos con independencia de las fuentes que fueron empleadas para su ejecución. Si lo que preocupa a la entidad es terminar reconociendo sobrecostos en la ejecución, un mitigante muy importante es que mediante los esquemas de project finance bajo los cuales se financian este tipo de obras, los contratos EPC se cierran a precio fijo, por lo que en general los sobrecostos son asumidos por el constructor, no por el concesionario.  La curva S de avance de obra es controlada con la curva de pagos por los financiadores a través del ingeniero independiente, figura estándar en este tipo de operaciones.  Más allá de eso, incluso la ANI tiene su propio control a través del interventor.  El mantener esta limitación, dificulta la consecución de un nivel razonable de apalancamiento del proyecto (ya que es altamente probable que los potenciales financiadores castiguen el dimensionamiento de la deuda por este factor), lo que en tal caso no sólo haría más costosas las propuestas (dado el mayor costo del equity) sino incluso podría resultar en la inviabilidad financiera del proyecto (dado que existe el tope de los ingresos que generan los peajes para remunerar adecuadamente las fuentes de financiación y si la mezcla de dichas fuentes se distancia mucho de aquella empleada para la estructuración del proyecto por parte de la ANI, los números no van a cerrar para los potenciales inversores).  Por último, al eliminar el componente F, solicitamos respetuosamente ajustar el componente C para considerar los intereses pagados durante el período de construcción como parte de la variable ARh.</t>
  </si>
  <si>
    <t>Contrato de Concesión - Parte General Numeral 18.3 "Fórmulas de Liquidación del Contrato" tablas variable F</t>
  </si>
  <si>
    <t xml:space="preserve">Teniendo en cuenta que es común que los accionistas de los proyectos busquen financiar parte de los costos de desarrollo de los mismos con “créditos puente” (además de equity), se solicita que para eventos de terminación con anterioridad al inicio de la Fase de Construcción se considere en el componente C de la fórmula, los elementos inherentes al financiamiento que el concesionario pueda conseguir con anterioridad al inicio de la Fase de Construcción.  </t>
  </si>
  <si>
    <t>Contrato de Concesión - Parte General Numeral 18.3 "Fórmulas de Liquidación del Contrato" literal (c) Terminación Anticipada con anterioridad al inicio de la Fase de Construcción</t>
  </si>
  <si>
    <t>Si la terminación se da por una razón no imputable al concesionario, como mínimo debería reconocerse el costo de oportunidad de los recursos inyectados.  En caso que decida mantenerse el equity cómo única fuente reconocida, deberían entonces, en la fórmula para el cálculo de la variable C, ajustarse los componentes de la misma no por IPC, sino por el costo estimado de capital de un inversionista en este tipo de concesiones de infraestructura (ke).</t>
  </si>
  <si>
    <t>Contrato de Concesión - Parte General Numeral 18.3 "Fórmulas de Liquidación del Contrato" literal (c) Terminación Anticipada con anterioridad al inicio de la Fase de Construcción; Variable C</t>
  </si>
  <si>
    <t>En relación con el equema de Soporte de Ingreso solicitamos comedidamente lo siguiente:
- Que se emplee para este proyecto
- Que su aplicabilidad sea desde el inicio del contrato y no desde la terminación de la construcción
- Que su reconocimiento se dé con base en el VPIP, de forma similar a como en el caso de 4G se hacía para el reconocimiento de los DRs (reconociendo implícitamente a través de la tasa de descuento el costo de capital de las fuentes de fnanciación)
Este aspecto es crítico para la consecución de un cierre financiero en el contexto actual, en el que la liquidez es escasa, los tráficos se han visto fuertemente golpeados y no hay una visibilidad clara sobre el horizonte de recuperación.  Sin esta garantía, en este contexto, va a ser muy dificl conseguir el cierre de la financiación de este proyecto.
Por otro lado, se debe tener en cuenta que la asignación del riesgo es asimétrica, en la medida en que si no se alcanza el VPIP el concesionario asume la pérdida, pero por el contrario, si el tráfico crece de forma importante la rentabilidad del inversionista está limitada en la medida en que debe entregar la concesión antes de lo previsto. 
Este es mecanismo con el que se había avanzado de forma importante en los esquemas de asignación de riesgos por parte del Estado y que permitió financiar el programa 4G, que no sólo haría más atractivo el proyecto a inversionistas sino que facilitaría la bancabilidad del mismo</t>
  </si>
  <si>
    <t>Contrato de Concesión - Parte Especial - Tabla de Referencias 1.165</t>
  </si>
  <si>
    <t>Entendemos que el valor de VPIP señalado en esta sección será reemplazado por el valor ofertado por el concesionario.  Agradecemos confirmar nuestro entendimiento</t>
  </si>
  <si>
    <t>Contrato de Concesión - Parte Especial - Tabla de Referencias 1.194</t>
  </si>
  <si>
    <t>En la segunda viñeta de la sección 3.3. (h) (vi) se solicita comedidamente ajustar la redacción para aclarar, que para efectos de VPIP, los recursos aportados por la ANI se contarán desde el momento en que efectivamente fueron aportados, no desde el momento en que se generó el déficit que pretende ser compensado.</t>
  </si>
  <si>
    <t>Contrato de Concesión - Parte Especial - Tabla de Referencias 3.3. (h) (vi)</t>
  </si>
  <si>
    <t>Se solicita comedidamente revisar y ajustar el valor estipulado. No tiene sentido que el valor correspondiente a la compra de tiempo sea prácticamente el mismo correspondiente a un evento sancionatorio (90% del valor máximo de la Multa por no terminación de la Unidad Funcional respectiva); debería ser sustancialmente más bajo, en la medida en que si bien se busca generar el incentivo necesario para que el concesionario termine las obras a tiempo, no tiene la connotación de penalidad que tiene la multa</t>
  </si>
  <si>
    <t>Contrato de Concesión - Parte Especial Numeral 4.10 "Plazo Adicional sin Sanciones para el Concesionario" subsección c</t>
  </si>
  <si>
    <t>Agradecemos si pudiesen especificar el racional empleado para determinar el valor de las tasas de descuento real (TE) a ser empleadas en las formulas C y F para cada una de las Causas de Terminación Anticipada recogidas en la sección 17.2</t>
  </si>
  <si>
    <t>Contrato de Concesión - Parte Especial - Tabla de Referencias 18.3 (e) "Tasas de Descuento Real"</t>
  </si>
  <si>
    <t>Bajo el entendimiento que las tarifas de peajes se ajustan por inflación sobre la tarifa vigente al momento de entrega al concesionario, solicitamos se confirme que el punto de partida serán las tarifas vigentes sin incluir un incremento en términos reales</t>
  </si>
  <si>
    <t xml:space="preserve">Contrato de Concesión - Parte Especial numeral 4.2 "Estructura Tarifaria" </t>
  </si>
  <si>
    <t>Se solicita comedidamente aclarar la razón por la cual, tratándose de garantías bancarias se exige un mayor plazo que el requerido para pólizas de seguro.  Se solicita estandarizar el plazo para ambos instrumentos, manteniendo el plazo establecido para las pólizas.</t>
  </si>
  <si>
    <t>Contrato de Concesión - Parte Especial numeral 7.1 "Valor y Vigencia del Amparo de Cumplimiento" (a) (i) y (ii)</t>
  </si>
  <si>
    <t xml:space="preserve">Dada la coyuntura actual sugerimos modificar el cronograma de la licitación pública para que la Audiencia de Aclaraciones al Pliego y de Condiciones de Riesgo se lleve a cabo en Junio. Además, considerando que se debe hacer un estudio de trafico dada la estructuración del proyecto y demás análisis técnicos, sociales, predios, ambientales en campo, solicitamos mover el cierre de plazo de la licitación pública para Octubre dado que actualmente no se puede cuantificar el tráfico real de la vía y hay restricciones varias para hacer los estudios necesarios de cara a presentar una oferta seria. </t>
  </si>
  <si>
    <t>Pliegos de Condiciones numeral 2.3 "Cronograma de Licitación Pública"</t>
  </si>
  <si>
    <t>Se solicita comedidamente aclarar que las inversiones realizadas en las Unidades Funcionales que revierten durante la vida del contrato se encuentran incluidas en la variable ARh, independientemente de que hayan sido revertidas a la ANI antes de efectuarse la terminación anticipada.</t>
  </si>
  <si>
    <t>Contrato de Concesión - Parte General Numeral 18.3 "Fórmulas de Liquidación del Contrato" tablas variable C</t>
  </si>
  <si>
    <t>Respetuosamente se solicita ajustar la definición del concepto de Cambio Tributario para que  los cambios que pudiesen presentarse asociados al impuesto de renta queden incluidos. Lo anterior con el fin de permitir al Concesionario y a potenciales prestamistas cuantificar y mitigar la incertidumbre asociada a potenciales reformas tributarias.</t>
  </si>
  <si>
    <t>Contrato de Concesión - Parte General Numeral 1.22 "Cambio Tributario"</t>
  </si>
  <si>
    <t>Solicitamos que se aclare que el mecanismo de bandas para la distribución de riesgos con relación a (i) el valor de predios y compensaciones socioeconómicas, (ii) compensaciones socio-ambientales, y (iii) redes, también aplica para las obras que generan puntaje adicional para el concesionario. Lo anterior toda vez que los riesgos siguen teniendo la misma tipología, por lo que la distribución de los mismos debe aplicar de manera equivalente según la capacidad de manejo de la parte que lo asume.</t>
  </si>
  <si>
    <t>Respetuosamente solicitamos ampliar los plazos enunciados en el numeral 3.12 (d), asociados al proceso de notificación y formalización de la toma de posesión por parte de los prestamistas. En particular, solicitamos sean ampliados los siguientes plazos:
- Numeral (iii): plazo de 30 días después de la Notificación de Toma, para plantear la modalidad de toma de posesión
- Numeral (vi): plazo de 45 días después de la Notificación de Derecho de Toma, para que los prestamistas manifiesten si deciden o no ejercer su derecho a la toma de posesión
- Numeral (vii): plazo de 90 días desde la Notificación de Derecho de Toma, para perfeccionar y concretar las condiciones de la modalidad de toma de posesión
Adicionalmente, respecto al numeral (vii), amablemente, solicitamos que el plazo se empiece a contar desde la manifestación por parte de los prestamistas de su intención de ejercer su derecho a la toma de posesión
Finalmente, sugerimos que se suspenda la imposición de Multas y demás sanciones y apremios aplicables durante la formalización del proceso de Toma de Posesión. Esto con el fin de no generar incentivos a no ejercer dicho derecho por parte de los Prestamistas</t>
  </si>
  <si>
    <t>Contrato de Concesión - Parte General Numeral 3.12 "Toma de Posesión por parte de los Prestamistas"</t>
  </si>
  <si>
    <t>Amablemente solicitamos que las licencias ambientales requeridas para iniciar obras en cada unidad funcional sean consideradas como una condición precedente para la firma del Acta de Inicio de Construcción</t>
  </si>
  <si>
    <t>Contrato de Concesión - Parte General Numeral 4.4 "Condiciones Precedentes para el Inicio de la Fase de Construcción"</t>
  </si>
  <si>
    <t>Respetuosamente sugerimos establecer un incentivo para que, ante un escenario de indefinición del valor y la fecha de pago de la liquidación, dicho pago se efectúe en un tiempo razonable. En este sentido, podría considerarse:
1) Definir un plazo incial de negociación y verificación para determinar el valor de liquidación
2) Vencido dicho plazo, y hasta que el valor de liquidación y fecha de pago sean definidos, destinar los ingresos de peaje al pago de las deudas con los prestamistas registrados</t>
  </si>
  <si>
    <t>Contrato de Concesión - Parte General Numeral 18.5 "Pagos en caso de controversia"</t>
  </si>
  <si>
    <t>BRIGARD URRUTIA, 15/05/2020</t>
  </si>
  <si>
    <t xml:space="preserve">De conformidad con lo establecido en la cláusula 5.6.5. del Proyecto de Pliegos
“5.6.5 Conforme a lo establecido en el artículo 2.2.1.2.4.2.6. del Decreto 1082 de 2015, se asignará el 1%, a quienes acrediten el número mínimo de trabajadores con discapacidad, señalados a continuación…”
Entendemos que el porcentaje mencionado en la anterior cita corresponde a 10 puntos (del total de los 1000 puntos). Favor confirmar nuestro entendimiento. </t>
  </si>
  <si>
    <t>PROYECTO DE PLIEGO DE CONDICIONES 
Sección 5.6.5</t>
  </si>
  <si>
    <t>BRIGARD URRUTIA, 15/05/2021</t>
  </si>
  <si>
    <t xml:space="preserve">En el Apéndice Técnico 2 establece que la seguridad vial: "Se trata de la obligación que asume el Concesionario para realizar todas las acciones necesarias para reducir los índices de accidentalidad de la(s) vía(s), tanto en número como en gravedad". 
Solicitamos amablemente aclarar la expresión "necesarias", ya que no es clara la obligación que el Concesionario estaría asumiendo.  
Entendemos que el alcance de las actividades y obras a ser realizadas bajo el contrato de concesión son las delimitadas en el contrato (con base en los diseños que elabore el concesionario), de forma que dicha mención a la palabra "necesarias" no genera ninguna subjetividad para que durante la ejecución del contrato la interventoría o la ANI piden obras o actividades adicionales al amparo de dicha obligación. Favor confirmar que nuestro entendimiento es correcto. </t>
  </si>
  <si>
    <t>El entendimiento es parcialmente correcto, si bien se enmarcan en las acciones definidas en los alcances y Especificaciones Técnicas del Contrato, no se limitan a los Estudios de Trazado y Diseño Geométrico y Estudios de Detalle por cuanto las actividades de Operación y Mantenimiento son relevantes para este propósito. La misma Sección 3.1.5 determina las acciones a las que se refiere la obligación, siendo escencialmente actuaciones preventivas.</t>
  </si>
  <si>
    <t>Apéndice Técnico 2, Sección 3.1.5</t>
  </si>
  <si>
    <t>BRIGARD URRUTIA, 15/05/2022</t>
  </si>
  <si>
    <t>En el Apéndice Técnico 2 se anuncia una lista taxativa de "insumos mínimos". 
Solicitamos amablemente aclarar la expresión "mínimos", ya que no es clara la obligación que el Concesionario estaría asumiendo.</t>
  </si>
  <si>
    <t>Apéndice Técnico 2, Sección  3.3.3.1.4.</t>
  </si>
  <si>
    <t>BRIGARD URRUTIA, 15/05/2023</t>
  </si>
  <si>
    <t xml:space="preserve">Entendemos que, en comparación con los contratos de 4G, para las fórmulas de liquidación contenidas en las secciones 18.3(d) y 18.3(e) fue incluido el componente F, bajo el cual se recnoce la  amortización y los correspondientes intereses del servicio de la deuda. Solicitamos respetuosamente a la entidad confirmar si nuestro entendimiento es correcto, y aclarar las razones que motivaron la inclusión de este cambio en las mencionadas fórmulas de liquidación. </t>
  </si>
  <si>
    <t xml:space="preserve">Parte General secciones 18.3(d) y 18.3(e) </t>
  </si>
  <si>
    <t>BRIGARD URRUTIA, 15/05/2024</t>
  </si>
  <si>
    <t>Solicitamos respetuosamente a la entidad aclarar las razones por la cuales al presente proyecto no le es aplicable el valor VSIi.</t>
  </si>
  <si>
    <t>Parte Especial - Tabla de Referencias a la Parte General</t>
  </si>
  <si>
    <t>GRUPO ORTIZ - SUCURSAL COLOMBIA, 15/05/2020</t>
  </si>
  <si>
    <t>Teniendo en cuenta la situacion actual de salubridad por Covid-19, y ante la imposibilidad para realizar una visita de obra a los tramos a intervenir, solicitamos un aplazamiento en las fechas fechas previstas para apertura del proceso y entrega de ofertas.</t>
  </si>
  <si>
    <t xml:space="preserve">Proyecto de Pliego de condiciones. Numeral2.3 cronograma de la licitación pública
</t>
  </si>
  <si>
    <t>Se solicita unificar la Definición de “Líder” en los documentos precontractuales, toda vez que en el numeral 4.1.5 (v) del Proyecto de Pliego de Condiciones, se establece una definición diferente a la que se establece en el numeral 1.103 del Contrato Parte General.</t>
  </si>
  <si>
    <t>Segun se indica en el numeral 5.5. del Proyecto de Pliego de condiciones; para ser acreedor del puntaje por Factor de Calidad se deberán ofrecer obras adicionales, así como calidad de la mezcla Densa en Caucho Reciclado en el 10% de la longitud total que conforma cada una de las Unidades Funcionales del proyecto. Para lo anterior, solicitamos publicar los documentos técnicos y estudios y diseños que se hayan adelantado para los tramos adicionales que trata este numeral.</t>
  </si>
  <si>
    <t xml:space="preserve">Se informa al interesado que se harán complementaciones al Cuarto de Información de Referencia incluyendo estudios de referencia del tramo Villarrica-Caloto en la Carpeta G y la ubicación georeferenciada de ambos tramos viales. Respecto al uso de mezcla densa en caucho reciclado, los estudios de aplicación en el alcance principal se encuentran en la Carpeta C del Cuarto de Información de Referencia. Se aclara que esta información estará disponible a título meramente informativo acorde con las condiciones de la Sección 1.7 Cuarto de Información de Referencia del Pliego de Condiciones. </t>
  </si>
  <si>
    <t>En cuanto a la obtencion del puntaje por Factor de Calidad; solicitamos aclarar la longitud mínima o volumen mínimo de Mezcla Densa en Caucho Reciclado, teniendo en cuenta que las unidades funcionales tienen datos de longitud de referencia en el Contrato Parte Especial y Apéndice Técnico 1.</t>
  </si>
  <si>
    <t>Los valores de longitud de referencia, tomadas del Apéndice Técnico 1, y la forma de cuantificación del porcentaje se ajustarán en los Pliegos de Condiciones definitivos, en el sentido de definir los porcentajes sobre los tramos de nueva construcción.</t>
  </si>
  <si>
    <t>En cuanto al item "(vi)" del literal "a"; solicitamos modificar la condición permitiendo que los integrantes de una estructura plural puedan aportar mas de un (1) cupo de credito para dar cumplimiento en sumatoria al requisito total establecido en el item "(i)" del mismo literal ($258.300.000.000 Pesos del Mes de Referencia)</t>
  </si>
  <si>
    <t>Proyecto de Pliego de condiciones, numeral 4.3.6</t>
  </si>
  <si>
    <t>Con respecto al Seguro de Obras Civiles, el Contrato Parte General establece que el seguro se tomará para cada Unidad Funcional (UF) y cubrirá los daños que pueda llegar a sufrir la infraestructura de dicha Unidad Funcional, independientemente de la causa que genere el daño. Art 12.8 (a) (i). Al respecto solicitamos modificar la redacción para que la póliza cubra los daños que pueda llegar a sufrir la infraestructura de dicha Unidad Funcional de acuerdo con las condiciones establecidas en el apéndice financiero 3, ya que esta condición dificulta su aseguramiento puesto que en los seguros de daños usualmente hay exclusiones de reaseguro y de ley que no permitirán garantizar la indemnización independientemente de la causa del daño.</t>
  </si>
  <si>
    <t>En el Contrato Parte General se establece que cuando una UF incluya la entrega de infraestructura existente, la póliza de obras civiles deberá amparar las obras existentes, desde la Fecha de Inicio. El valor inicial del seguro de obras civiles corresponderá al valor asegurado que resulte del estudio de pérdida máxima probable. Soliictamos que se permita al Concesionario asegurar el 100% del valor de la infraestructura existente o el valor que resulte del estudio de PML según lo que resulte más conveniente para éste durante la negociación con el mercado asegurador.</t>
  </si>
  <si>
    <t>Contrato Parte GeneralArt 12.8 (a) (ii)</t>
  </si>
  <si>
    <t>Solicitamos que se defina con anticipación lo referente al cubrimiento del Lucro Cesante que no se encuentra definido; o que se especifique si será o no obligatoria la contratación de éste amparo, pues los mercados aseguradores que pretendan asegurar el Lucro Cesante derivado del proyecto, deben asegurar también la parte de daño material, en caso que así sea.</t>
  </si>
  <si>
    <t>Con respecto a la obligación de contar con pólizas en las cuales conste el aseguramiento de vehículos automotores y maquinaria amarilla se sugiere que sea permitido que el Concesionario pueda trasladar ésta obligación al contratista y/o subcontratistas propietarios de dichos bienes, no obstante, la Concesión deberá evaluar la facilidad de obtener dichas certificaciones.</t>
  </si>
  <si>
    <t>en cuanto al apéndice financiero dispuesto para la póliza de Obras Civiles, solicitamos que se permita incluir como asegurados adicionales al Contratista (EPC) así como todos los subcontratistas de la obra con el objetivo de cubrir toda la cadena de producción de la obra y evitar posibles ambigüedades que lleven a los mismos a suscribir pólizas adicionales dando como resultado un doble seguro sobre los mismos bienes.</t>
  </si>
  <si>
    <t>Teniendo en cuenta la situacion actual de salubridad por Covid-19, y ante la imposibilidad para realizar una visita de obra al corredor a intervenir, solicitamos un aplazamiento en la fecha de apertura de</t>
  </si>
  <si>
    <t>BORRADOR PLIEGO DE CONDICIONES.2.3 CRONOGRAMA DE LA LICITACIÓN PÚBLIC</t>
  </si>
  <si>
    <t>UF 3 Corredor 2 Tramo 1 Av Ciudad de Cali- Vía Jamundí Villa Rica Tipo de Intervencion Construcción estructura de pavimento: " Los suelos de subrasante resultan ser materiales poco competentes y corresponden a limos arenosos y arcillosos por lo que es necesario realizar el mejoramiento del material a través un mejoramiento con material seleccionado de 30 cm de espesor, para obtener un CBR de 10%......" . Solicitamos dar presicion a hacer el mejoramiento con material seleccionado. con respecto a la Norma INVIAS 220 Tabla 220-1 Requisito de los materiales para terraplen. Dado que la Norma INV 220 no contempla Material Seleccionado. de igual forma indicar a que parte del terraplen se contempla su utilizacion Cimiento, nucleo o corona.</t>
  </si>
  <si>
    <t xml:space="preserve">Si bien en la especificación 220 del INVIAS, no aparece el término "material seleccionado" si contempla en la tabla 220.1 un suelo seleccionado y dentro de sus caracteristicas debe presentar un CBR minímo de 10%, por lo tanto ese es el material al que se hace referencia como material de mejoramiento. En cuanto a su utilización, este será en la totalidad del terraplén (30cm) que soportará la estructura de pavimento nuevo. Esta información del Cuarto de Información de Referencia según las condiciones de la Sección 1.7 del Pliego de Condiciones, es a título meramente informativo y no constituye obligaciones para el Concesionario. Los Diseños de Detalle a desarrollar por el Concesionario definirán los parámetros de la estructura del pavimento en ccumplimiento de las Especificaciones Técnicas reecogidas en los Apéndices Técnicos. </t>
  </si>
  <si>
    <t>Documento MV-CO2-PV-IF-001-RO ESTUDIO Y DISEÑO DE PAVIMENTO UF 3 CORREDOR 02, LITERAL 12 CONCLUSIONES</t>
  </si>
  <si>
    <t>Documento MV-CO2-PV-IF-001-RO ESTUDIO Y DISEÑO DE PAVIMENTO UF 3 CORREDOR 02 LITERAL 12 CONCLUSIONES. En el proceso de construcción se debe garantizar que la mezcla asfáltica a instalar tenga un módulo mínimo de 2000 Mpa, 800 MPa para la base estabilizada con emulsión asfáltica y de 180 MPa para la subbase. A continuación, se presentan los espesores propuestos para la estructura de pavimento. se muestran el plano de las secciones típicas de la estructura de pavimento propuesta para la calzada sencilla a construir. - Dar claridad en la estructura del pavimento dado que en la tabla 12-2 ESPESORES DE LA ESTRUCTURA NUEVA se tiene BBE-38 con espesor de 25 cm, difiere con lo que se, se presentan los espesores propuestos para la estructura de pavimento. se muestran el plano anexo 7 y diseño geométrico MV-CO2-PV-PL-000-SC-MJ-RO de las secciones típicas de la estructura de pavimento propuesta para la calzada sencilla a construir. BASE GRANULAR TIPO A; e= 0.25 m</t>
  </si>
  <si>
    <t>Documento MV-CO2-PV-IF-001-RO ESTUDIO Y DISEÑO DE PAVIMENTO UF 3 CORREDOR 02 LITERAL 12 CONCLUSIONES. -Diseño Geométrico MV-CO2-PV-PL-000-SC-</t>
  </si>
  <si>
    <t>Documento MV-CO2-PV-IF-001-RO ESTUDIO Y DISEÑO DE PAVIMENTO UF 3 CORREDOR 02 LITERAL 12 CONCLUSIONES. Igualmente difiere la MDC-19; e= 7 cm difiere con lo que se, se presentan los espesores propuestos para la estructura de pavimento. se muestran el plano anexo 7 y diseño geométrico MV-CO2-PV-PL-000-SC-MJ-RO de las secciones típicas de la estructura de pavimento propuesta para la calzada sencilla a construir MDC-25; e= 0.07 m</t>
  </si>
  <si>
    <t xml:space="preserve">Se informa que en este caso se refieren las recomendaciones hacia la base modelada MDC-19 de las memorias, y no sobre los planos de secciones típicas son representaciones conceptuales simplificadas. Esta información del Cuarto de Información de Referencia según las condiciones de la Sección 1.7 del Pliego de Condiciones, es a título meramente informativo y no constituye obligaciones para el Concesionario. Los Diseños de Detalle a desarrollar por el Concesionario definirán los parámetros de la estructura del pavimento en ccumplimiento de las Especificaciones Técnicas reecogidas en los Apéndices Técnicos. </t>
  </si>
  <si>
    <t>Documento MV-CO2-PV-IF-001-RO ESTUDIO Y DISEÑO DE PAVIMENTO UF 3 CORREDOR 02 LITERAL 12 CONCLUSIONES. -Diseño Geométrico MV-CO2-PV-PL-000-SC-MJ-RO</t>
  </si>
  <si>
    <t>En la Planta Perfil MV-CO3-DG-PL-001-MJ.dwg UF 4 corredor 3 ESTUDIO Y DISEÑO GEOMETRICO el perfil se presenta con la sección calzada 7.30 m berma interna 1.0 m berma externa 2.00 m carriles de 3.65 m para la calzada nueva como la existente, como se puede observar. Y un total de 23,20 m para el corredor vial Mientas en el la Planta Perfil MV-CO3-DG-PL-001-RD.dwg UF 4 corredor 3 ESTUDIO Y DISEÑO GEOMETRICO el perfil se presenta con la sección calzada 5,84 m berma interna 1.0 m berma externa 1.60 m carriles de 2.92 m para la calzada nueva como la existente como se puede observar. Y un total de 29,90 m para el corredor vial.Se solicita dar precisión cuál de la sección es la que aplica para este corredor.</t>
  </si>
  <si>
    <t>Planta Perfil MV-CO3-DG-PL-001-MJ.dwg UF 4 corredor 3 ESTUDIO Y DISEÑO GEOMETRICO. MV-CO3-DG-PL-001-RD.dwg UF 4 corredor 3 ESTUDIO Y DISEÑO GEOMETRICO</t>
  </si>
  <si>
    <t>En relación con el cupo de crédito, les solicitamos revisar el valor del cupo solicitado. Bajo nuestro entendido el valor solicitado es excesivo en relación al Valor del Contrato y del Equity a Aportar si comparamos con las prácticas de mercado de este tipo de proyectos. Esto podría limitar el número de oferentes que, a pesar de ser solventes, tengan acceso al Cupo Solicitado.</t>
  </si>
  <si>
    <t>Pliego de Condiciones Sección 4.3.6.</t>
  </si>
  <si>
    <t>En relación con el cupo de crédito, les solicitamos que no se limite el número de cupos de crédito que puedan ser presentados en la medida que la capacidad de obtener cupos de créditos puede demostrarse igualmente mediante varios cupos espedidos por diferentes entidades financieras y cuyo valor total cumpla las espectativas del proceso. Por favor revisen que cada Proponente Individual o Integrante de Estructura Plural pueda presentar un máximo de 3 cupos de crédito específicos que sumen el valor solicitado.</t>
  </si>
  <si>
    <t>En la coyuntura actual generada por el COVID-19, no resulta posible hacer una proyección concreta del tráfico que tendrá el Proyecto. Este aspecto puede hacer inviable la financiación del Proyecto y por ello les solicitamos modificar la Sección 13.2 de la Parte General del Contrato de Concesión en el sentido que el riesgo que asuma el Concesionario incorporando mecanismos que garanticen ingresos de tráfico de forma periódica (por ejemplo Diferenciales de Recaudo).</t>
  </si>
  <si>
    <t>Contrato de Concesión Sección 13.2 Parte General.</t>
  </si>
  <si>
    <t>En la coyuntura actual generada por el COVID-19, no resulta prever los posibles efectos generados por esta Fuerza Mayor en el proyecto. Este aspecto puede afectar gravemente la inviabilidad del Proyecto y por ello les solicitamos modificar la Sección 13.1 de la Parte General del Contrato de Concesión en el sentido de que quede claro que las partes desconocen los posibles efetos que el COV-19 llegue a generar en el proyecto y por lo tanto la firma del contrato se trata de un riesgo no previsto en el contrato, ni por su naturaleza, corresponde asumir al concesionario.</t>
  </si>
  <si>
    <t>Contrato de Concesión Sección 13.1 Parte General.</t>
  </si>
  <si>
    <t>Dado que el reconocimiento de un Evento Eximente de Responsabilidad implica el reconocimiento de que ha habido un evento ageno a la responsabilidad del concesionario que afecta al normal cumplimiento del contrato de concesión. Solicitamos que, para hacer este mecanismo ágil, se aclare que la aceptación por parte del concesionario de lo previsto en la Cláusula 14.2 respecto a Eventos Eximentes de Responsabilidad, no implica ningún tipo de acuerdo respecto a los efectos que dicha situación agena a la responsabilidad del concesionario pueda llegar a generar respecto al numeral 13.1 "Ecuación Contractual".</t>
  </si>
  <si>
    <t>Contrato de Concesión Sección 14.2 Parte General.</t>
  </si>
  <si>
    <t>Solicitamos amablemente que revisen el calendario de Giros de Equity previsto en la medida que se está recargando mucho los giros de equity del primer año de contrato y no necesariamente será necesario aportar tanto equity en ese primer año. Esto afecta de forma muy considerable a la rentabilidad del concesionario y a la liquidez de los accionistas del concesionario de forma que se puede traducir en menos ofertas y ofertas más altas. Tengan en cuenta que de cualquier forma el concesionario y sus accionistas tienen el compromiso irrevocable de aportar el equity necesario para ejecutar el proyecto en función de las necesidades que realmente se vayan dando para el cumplimiento del contrato, y que este compromiso está respaldado.</t>
  </si>
  <si>
    <t>Contrato de Concesión Sección 4.4 Parte Especial.</t>
  </si>
  <si>
    <t>Solicitamos amablemente que revisen el calendario de Fondeos de Cuentas previsto en la medida que se está recargando mucho los giros de equity del primer año de contrato y no necesariamente será necesario aportar tanto equity en ese primer año. Esto afecta de forma muy considerable a la rentabilidad del concesionario y a la liquidez de los accionistas del concesionario de forma que se puede traducir en menos ofertas y ofertas más altas. Tengan en cuenta que de cualquier forma el concesionario y sus accionistas tienen el compromiso irrevocable de aportar el equity necesario para ejecutar el proyecto en función de las necesidades que realmente se vayan dando para el cumplimiento del contrato, y que este compromiso está respaldado.</t>
  </si>
  <si>
    <t>Contrato de Concesión Sección 4.5 Parte Especial.</t>
  </si>
  <si>
    <t>Habida cuenta de que dentro del Factor de Calidad del proceso está ofertar un mejoramiento de algunos tramos de vía, solicitamos que se amplie la franja de terreno que puede ser ocupada para la ejecución del contrato a toda la franja contemplada en el Diagnóstico de Alternativas Ambientales. Esto para evitar posibles problemas prediales y geométricos que hagan inviable ejecutar el proyecto dentro de la franja propuesta.</t>
  </si>
  <si>
    <t>Constructora Conconcreto SA, 15/05/2020</t>
  </si>
  <si>
    <t xml:space="preserve">En lo que respecta al valor definido para el Cupo de Crédito Especifico, solicitamos ajustar toda vez que en proyectos similares se presentan valores por debajo de los propuestos en el presente proyecto, lo que sin duda traería una limitación para los proponentes para poder presentar oferta.      </t>
  </si>
  <si>
    <t xml:space="preserve">Favor establecer mecanismos de compensación claros y acotados en tiempo en caso que, que a pesar de tener el certificado del Ministerio del Interior de no presencia de más comunidades que las definidas en el Apéndice 1, a futuro aparezcan nuevas comunidades que retrasen o impidan la obtención de permisos ambientales. </t>
  </si>
  <si>
    <t>Apéndice Técnico 1 - (ix)</t>
  </si>
  <si>
    <t xml:space="preserve">En la redacción propuesta en el Apéndice Técnico 1, no es claro si la consulta previa con el consejo comunitario Las Dos Aguas de Cascajal fue finalizada por parte de la ANI. Respecto a los impactos que esto pueda traer, favor definir la compensación por la no obtención de la licencia ambiental en caso que la autoridad no acepte las compensaciones establecidas. Debería poder mitigarse, por parte de la entidad concedente, la variación respecto a las compensaciones definidas y las necesidades finales para poder finalizar la obra. </t>
  </si>
  <si>
    <t xml:space="preserve">Favor aclarar el alcance del Mantenimiento Periódico propuesto dentro del alcance de cada Unidad Funcional, toda vez que se entendería que existiese la obligación del concesionario de realizarlo anualmente. Los mantenimientos periódicos o mayores en proyectos similares requieren periodicidades mayores. </t>
  </si>
  <si>
    <t xml:space="preserve">Se aclara que no hay condiciones definidas en los Apéndices Técnicos sobre frecuencias anuales de mantenimientos periódicos. La frecuencia y tipo de los mantenimientos extraordinarios se regirán por lo dispuesto en el Apéndice Técnico Sección 2 6.2. Tipos de Actuaciones de Mantenimiento y serán determinados por el Concesionario según sus Estudios de Detalle y Manual de Operación y Mantenimiento con el fin de cumpliar con los indicadores dispuestos en el Apéndice técnico 4. </t>
  </si>
  <si>
    <t>Apéndice Técnico 1 - (iv)</t>
  </si>
  <si>
    <t xml:space="preserve">En cuanto al cronograma de Licitación Pública y teniendo en cuenta la situación actual a raíz del COVID-19, solicitamos extender el plazo con el fin realizar un análisis más profundo que nos permita tener un conocimiento suficientemente informado de las consideraciones del proceso. </t>
  </si>
  <si>
    <t>Cronograma de Licitación Publica</t>
  </si>
  <si>
    <t>En cuanto a los requisitos establecidos para la acreditación de Capacidad Financiera, solicitamos se permita reemplazar en cualquier momento la persona que acreditó Capacidad Financiera y no señaló su calidad de Líder, inclusive durante todo el proceso de Selección y durante la ejecución del Proyecto, siempre y cuando el nuevo Líder cumpla con los requisitos habilitantes que en su momento el Líder inicial cumplió.</t>
  </si>
  <si>
    <t xml:space="preserve">Proyecto de Pliego de Condiciones -  4.2.1 </t>
  </si>
  <si>
    <t xml:space="preserve">Solicitamos aclarar la acreditación de provisión de recursos de deuda. Se exige cierre financiero con al menos el primer desembolso. No obstante, también se plantea que, para acreditar Experiencia en Inversión, los contratos pueden estar en ejecución. En caso de ser así, los contratos en ejecución, si desembolsos del cierre financiero, no podrán ser acreditados. 
</t>
  </si>
  <si>
    <t>Proyecto de Pliego de Condiciones -  4.2.6 (a)</t>
  </si>
  <si>
    <t>Solicitamos a la entidad revisar los términos propuestos para la acreditación del Cierre Financiero toda vez que se plantea que para acreditar Experiencia en Inversión los contratos seleccionados puede estar en ejecución pero solamente se tendrá en cuenta como monto acreditable el valor desembolsado antes de la Fecha de Cierre y no el valor del Cierre Financiero total.</t>
  </si>
  <si>
    <t>Proyecto de Pliego de Condiciones -  4.2.6 (b)</t>
  </si>
  <si>
    <t>Se solicita a la entidad la revisión del numeral 5.4.5 (b) toda vez que existe la posibilidad de que durante la ejecución del contrato puedan existir situaciones que exijan el cambio de los proveedores de bienes nacionales para garantizar la ejecución del contrato de acuerdo con los términos establecidos.</t>
  </si>
  <si>
    <t>Proyecto de Pliego de Condiciones -  5.4.5 (b)</t>
  </si>
  <si>
    <t>Es de nuestro entendimiento que la no presentación del factor de selección "Apoyo a la Industria Nacional" únicamente conlleva a un puntaje asignado de cero más no al rechazo de la Oferta. Favor aclarar.</t>
  </si>
  <si>
    <t>Proyecto de Pliego de Condiciones -  5.4</t>
  </si>
  <si>
    <t>Es de nuestro entendimiento que la no presentación del factor de selección "Factor de Calidad" únicamente conlleva a un puntaje asignado de cero más no al rechazo de la Oferta. Favor aclarar.</t>
  </si>
  <si>
    <t>Favor aclarar cual es el procedimiento para calcular el porcentaje aportado por cada integrante de una Estructura Plural para la acreditación de Experiencia en Inversión y la escogencia de la planta de personal para la asignación de puntaje adicional referente a "Oferentes con trabajadores en condición de discapacidad"</t>
  </si>
  <si>
    <t>Proyecto de Pliego de Condiciones -  5.6.4</t>
  </si>
  <si>
    <t xml:space="preserve">Favor confirmar el estado actual de las obligaciones ambientales pendientes de cumplimiento. </t>
  </si>
  <si>
    <t>Parte Especial - 3.6 (i)</t>
  </si>
  <si>
    <t>La página 42 de la Parte Especial se deja en blanco intencionalmente?</t>
  </si>
  <si>
    <t>Favor confirmar a qué se refiere la minuta con "protocolos de comunicación", y si los recursos de la Subcuenta Policía de Carreteras los cubren</t>
  </si>
  <si>
    <t>4.1 (t)(ii)</t>
  </si>
  <si>
    <t>Favor aclarar la obligación de vinculación de mano de obra de las comunidades étnicas con quienes se protocolizaron acuerdos de consulta previa, toda vez que no es claro  si dichos compromisos corresponden a la mano de obra contratada para tramos específicos, para UFs específicas o para la totalidad del proyecto</t>
  </si>
  <si>
    <t>En cuanto a la definición propuesta para la puesta a punto, favor acotar:
1. Fecha de la normativa bajo la cual se debe realizar la actualización de señalización
2. Fecha de la normativa bajo la cual se debe realizar la actualización de los sistemas ITS</t>
  </si>
  <si>
    <t>Las condiciones de normas técnicas, incluída la vigencia, se definen en el Apéndice Técnico 3, en particular sobre las partes que atañen la señalización e ITS ver especialmente las Secciones 2.1, 2.2, 4.2 y 4.3 del Apéndice Técnico 3.</t>
  </si>
  <si>
    <t>Apéndice Técnico 1 - (vi)</t>
  </si>
  <si>
    <t>Favor especificar: 
1. Longitudes de los tramos de ciclorruta que deben ponerse a punto en la UF1
2. Longitudes de los tramos de ciclovía que deben ponerse a punto en la UF2</t>
  </si>
  <si>
    <t>Las longitudes de referencia de los tramos en donde ya existe ciclorrutas se inlcluirán en el Apéndice Técnico 1.</t>
  </si>
  <si>
    <t>Favor especificar las condiciones técnicas del puente que debe construirse sobre el Río Bolo en el marco de la UF2</t>
  </si>
  <si>
    <t xml:space="preserve">Las condiciones del puente serán determinadas por el Concesionario para cumplir los parámetros geométricos definidos en la Tabla 11 del Apéndice Técnico 1. Los diseños del puente los podrá descargar en la Carpeta G3 del Cuarto de Información de Referencia. Finalmente, se aclara que esta información estará disponible a título meramente informativo acorde con las condiciones de la Sección 1.7 Cuarto de Información de Referencia del Pliego de Condiciones. </t>
  </si>
  <si>
    <t>En lo que respecta al Plan de Adquisición de Predios, se considera que el plazo para entrega del mismo debe ser posterior al plazo determinado para la entrega de los diseños y del plan de obras, lo anterior para que en el Plan de Adquisición de Predios se puedan plasmar los últimos ajustes de acuerdo con el diseño y plan de obras entregado</t>
  </si>
  <si>
    <t>Apéndice Técnico 7 -(iv)</t>
  </si>
  <si>
    <t>Respecto a los planos prediales, el apéndice 7 podría especificar o referenciar un catálogo de símbolos y objetos, de manera que se pueda estandarizar cartográficamente los elementos más comunes y representativos de los planos prediales en proyectos de infraestructura.</t>
  </si>
  <si>
    <t>Apéndice Técnico 7</t>
  </si>
  <si>
    <t>El literal (e), numeral 5.6 "Notificación de la oferta formal de compra", Capítulo V "Enajenación Voluntaria" del Apéndice Técnico 7 se indica que: “Para efectos de la notificación por aviso de que trata el artículo 69 del Código de Procedimiento Administrativo y de lo Contencioso Administrativo, se efectuará la publicación correspondiente tanto en la página web de la ANI como en la del Concesionario.” 
Sin embargo, el artículo 69 del  Código de Procedimiento Administrativo y de lo Contencioso Administrativo indica: “Cuando se desconozca la información sobre el destinatario, el aviso, con copia íntegra del acto administrativo, se publicará en la página electrónica y en todo caso en un lugar de acceso al público de la respectiva entidad por el término de cinco (5) días, con la advertencia de que la notificación se considerará surtida al finalizar el día siguiente al retiro del aviso".
La interpretación de éste artículo indicaría que la publicación del aviso SOLO debería hacerse en caso que no tenga contacto con el propietario y se desconozca la información (dirección de envío, correo electrónico, fax) del destinatario.
Por otro lado, el mismo artículo indica: “En el expediente se dejará constancia de la remisión o publicación del aviso y de la fecha en que por este medio quedará surtida la notificación personal.”
Así pues, dejaría la puerta abierta a dejar la constancia en el expediente de cuando se remitió el aviso a la información de contacto del propietario, o de cuando se publicó el aviso por no tener dicha información.</t>
  </si>
  <si>
    <t>Apéndice Técnico 7 - (v)</t>
  </si>
  <si>
    <t>Predial Jurídico</t>
  </si>
  <si>
    <t>Considerando la definición de "Predios de beneficio comunitario" del capítulo 8, numeral 8.2 del apéndice técnico 7; y en concordancia con el apéndice técnico 8 "manejo de equipamiento comunitario", el contrato no es claro en la definición de responsabilidades en caso de requerir realizar restitución de infraestructura social afectada por la obra. ¿Dicha restitución se realiza con fondos de la subcuenta predial o está a cargo del concesionario?</t>
  </si>
  <si>
    <t>Apéndice Técnico 7 - (viii)</t>
  </si>
  <si>
    <t>Social - Predial</t>
  </si>
  <si>
    <t>Favor adicionar, en el capítulo de definiciones, la definición de "adjudicación de predios". Se propone la siguiente: 
Es el acto administrativo por medio del cual la entidad pública se desprende de un Predio de naturaleza baldía, en favor de la ANI, cuando se acreditan los respectivos requisitos de Ley, a través de un acto administrativo denominado “Resolución de Adjudicación” y dando cumplimiento a las diferentes disposiciones sobre adjudicación de terrenos baldíos o ejidos, según sea el caso</t>
  </si>
  <si>
    <t>Apéndice Técnico 7 - (ii)</t>
  </si>
  <si>
    <t xml:space="preserve">Favor adicionar, en el capítulo de definiciones, la definición de "Área Remanente". Se propone la siguiente: 
Se refiere a aquella área de un Predio que, de ser considerada como un Área Sobrante, quedaría afectada: en cuanto a su funcionalidad y a su potencial desarrollo, por efectos de lo previsto (i) en el Plan de Ordenamiento Territorial el cual es de obligatorio cumplimiento y acatamiento para las Partes y; (ii) en la normatividad vigente que rija sobre la materia, así como sus modificaciones, aclaración y complementos. </t>
  </si>
  <si>
    <t>Favor adicionar, en el capítulo de definiciones, la definición de "Cesión de Predios". Se propone la siguiente: 
Es el acto jurídico por medio del cual se transfiere el derecho real de dominio de un Predio Requerido de propiedad del Estado a cualquier título, ya sea oneroso o gratuito en favor de la ANI, como entidad adquiriente, en beneficio del Proyecto.</t>
  </si>
  <si>
    <t>Se propone modificar la definición de "Investigación Catastral", teniendo en cuenta que si bien la información requerida para elaborar este informe debe ser obtenida directamente por el concesionario, no le deben ser atribuibles a este las demoras en las respuestas otorgadas por las entidades antes mencionadas. Se entenderá que existe demora en la respuesta cuando se exceda el término dado por la ley para dar respuesta al derecho de petición de información.</t>
  </si>
  <si>
    <t>Favor adicionar, en el capítulo de definiciones, la definición de "Predio". Se propone la siguiente: 
Es la unidad física y jurídica constituida por terreno, construcciones, construcciones anexas, cultivos y especies, necesaria para la completa disposición del Corredor del Proyecto, la cual debe ser adquirida, cedida o adjudicada por el Concesionario, a nombre de la ANI, o puesta a disposición del Concesionario por la ANI o por un tercero, para la ejecución de las obligaciones a cargo del Concesionario derivadas del presente Contrato y con sujeción a lo previsto en el Apéndice Técnico 7.</t>
  </si>
  <si>
    <t>Apéndice Técnico 7 - (iii)</t>
  </si>
  <si>
    <t>Favor adicionar, en el capítulo de definiciones, la definición de "Predio Adquirido". Se propone la siguiente: 
Es el Predio que cumple las siguientes condiciones: (i) en el folio de matrícula inmobiliaria aparece la anotación de que el propietario es la ANI y que el Predio se encuentre libre de gravámenes y limitaciones al dominio, (ii) que se haya radicado la solicitud ante el IGAC para realizar el respectivo desenglobe catastral, (iii) el Concesionario ha pagado al propietario el valor del Avalúo Comercial Corporativo o el valor decretado en la sentencia judicial, según sea el caso, salvo que se trate de Adjudicaciones de Predios o Cesiones de Predios a título gratuito y, (iv) en los casos que resulte procedente, el Concesionario ha cancelado el valor de las Compensaciones Socioeconómicas, en las condiciones establecidas en el Apéndice Técnico 7.</t>
  </si>
  <si>
    <t>Se propone modificar el Literal B del numeral 4.1 del capítulo 4 "Obligaciones Especiales en Materia de Gestión Predial" conforme se expresa a continuación:
En un plazo no superior a los diez (10) Días de recibida la documentación que se describe en este numeral, el Interventor notificará al Concesionario sus observaciones a dicho documento, o en caso en que no existiere pronunciamiento del Interventor en dicho plazo, se entenderá que no existe objeción alguna del Interventor respecto de dicha documentación. Si la interventoría efectuare observaciones a dicho texto, el Concesionario tendrá un plazo de cinco (5) Días para pronunciarse respecto de las observaciones realizadas por la interventoría quien dentro del mismo término deberá pronunciarse frente a la respuesta del Concesionario. Si vencido el plazo anterior, las observaciones persisten el Concesionario tendrá un plazo de diez (10) Días, contados desde la notificación de las observaciones para corregirlas.</t>
  </si>
  <si>
    <t>Apéndice Técnico 7 - (iv)</t>
  </si>
  <si>
    <t>Se propone adicionar, en el capítulo VI "Expropiación Judicial", la siguiente definición de Fuerza Mayor Derivada del Proceso de Expropiación:
Se entenderá que existe fuerza mayor cuando se configure cualquiera de los eventos que se relacionan a continuación
(a) “Periodo de Exclusión 1” o “PE1 u/h”
En el marco del proceso de expropiación judicial, corresponde al periodo comprendido entre el vencimiento del tercer Mes posterior a la solicitud realizada por el Concesionario a la ANI para la emisión de la resolución de expropiación del(os) Predio(s) Requerido(s) y la fecha en la que la ANI profiere la respectiva resolución de expropiación. Durante el PE1 _(h )^(u )el Concesionario quedará relevado de dar cumplimiento a la obligación de acreditar la adquisición del(os) Predio(s) Requerido(s) para la Unidad Funcional respectiva. El plazo previsto en este Contrato para el cumplimiento de esta obligación se entenderá prorrogado por un término igual a aquel del PE1 _(h )^(u ).
(b) “Periodo de Exclusión 2” o “PE2 _(h )^(u )” 
En el marco del proceso de expropiación judicial, corresponde al periodo comprendido entre el vencimiento del tercer Mes posterior a la radicación por parte del Concesionario de la demanda de expropiación del(os) Predio(s) Requerido(s) y la fecha en la que el juez profiere el auto admisorio de la demanda de expropiación. Durante el PE2 _(h )^(u )el Concesionario quedará relevado de dar cumplimiento a la obligación de acreditar la adquisición del(os) Predio(s) Requerido(s) para la Unidad Funcional respectiva. El plazo previsto en este Contrato para el cumplimiento de esta obligación se entenderá prorrogado por un término igual a aquel del PE2 _(h )^(u ).
(c) “Periodo de Exclusión 3” o “PE3 _(h )^(u )”
En el marco del proceso de expropiación judicial, corresponde al periodo comprendido entre la fecha de pago del avalúo del(os) Predio(s) Requerido(s) ordenado en el auto admisorio de la demanda de expropiación, por parte del Concesionario, y la fecha: (i) de ejecutoria de la sentencia de expropiación, en los casos en que la indemnización ordenada en la misma sea igual al pago del avalúo realizado por el Concesionario conforme al auto admisorio de la demanda; (ii) de ejecutoria de la sentencia de expropiación en los casos en que la indemnización ordenada en la misma supere el valor del avalúo pagado por el Concesionario conforme al auto admisorio de la demanda, pero el valor del Predio se encuentre dentro del ciento veinte por ciento (120%) del Valor Estimado de Predios y Compensaciones Socioeconómicas; o (iii) en que la ANI profiere la aprobación a la que hace referencia la Sección 7.2 de la Parte General, en los casos en que el valor de la indemnización ordenada en la sentencia de expropiación sea superior al valor del avalúo pagado por el Concesionario conforme al auto admisorio de la demanda y el valor del Predio sea superior al ciento veinte por ciento (120%) del Valor Estimado de Predios y Compensaciones Socioeconómicas.
Durante el PE3 _(h )^(u )el Concesionario quedará relevado de dar cumplimiento a la obligación de acreditar la adquisición del(os) Predio(s) Requerido(s) para la Unidad Funcional respectiva. El plazo previsto en este Contrato para el cumplimiento de esta obligación se entenderá prorrogado por un término igual a aquel del PE3 _(h )^(u ).</t>
  </si>
  <si>
    <t>Apéndice Técnico 7 - (vi)</t>
  </si>
  <si>
    <t xml:space="preserve">Consideramos que deberían incluirse, en la definición de apéndice técnico, apéndices técnicos para: (i) establecer los indicadores de disponibilidad, (ii) los indicadores de calidad, (iii) los indicadores de niveles de servicio, (iv) los indicadores de construcción para las Unidades Funcionales de Construcción, y (v) las especificaciones para el recibo parcial de unidades funcionales cuando se cumplan ciertos o hitos o indicadores. </t>
  </si>
  <si>
    <t xml:space="preserve">Con respecto al literal F, numeral 3.1 del capítulo III: se considera no conveniente la redacción de esta obligación, por cuanto implica  un compromiso adicional  al concesionario de ejecutar actividades de obra condicionado a los usos de suelo de los inmuebles. Se sugiere que consolide la redacción enfocada a la desarrollabilidad existente al  momento de la intervención con el objeto de garantizar tan solo los accesos existentes. </t>
  </si>
  <si>
    <t>Con respecto al literal L, numeral 3.1 del capítulo III: Se sugiere enfatizar sobre tan solo adelantar los trámites ante el IGAC por cuanto, en la práctica, dicho  requerimiento puede durar años, incluso en muchos de los casos no  se obtiene respuesta frente a la solicitud, lo cual no  puede condicionar el cumplimiento, por parte del  Concesionario, al depender el tramite exclusivamente de la entidad.</t>
  </si>
  <si>
    <t xml:space="preserve">Con respecto al numeral 4.3.c.i.3 del capítulo IV: El estudio de los títulos de  los predios provenientes de segregaciones debe enmarcarse tan solo al alcance de los 20 años, por cuanto  en la práctica conllevaría a generar búsqueda de títulos por demás antiguos y  estudios de títulos robustos no  necesarios para la adquisición. Adicionalmente sobre el segundo aspecto relacionado con la tradición común considerablemente prolongada,  esto implicaría elaborar otro  documento con la misma información del  estudio de títulos. Asimismo, el termino “considerada” es muy  general  y subjetivo lo que podría generar diferencia de criterio de interpretación   con la interventoría lo que implicaría tiempos en la aprobación de insumos.. </t>
  </si>
  <si>
    <t>Con respecto al numeral 4.3.c.i.4 del capítulo IV: El  anexar la cedula de ciudadanía de propietarios y  representantes legales de sociedades pude generar inconvenientes por cuanto en títulos muy antiguos no se protocolizaron dichos documentos, tan solo  se registran los números. Para el  caso de las sociedades donde han cambiado  el  representante legal, es de difícil acceso  el  obtener la copia del documento,  por cuanto  en los certificados de existencia tan solo  obran los datos  mas no la copia de dichos documentos, información no relevante frente al estudio de títulos por cuanto  la identificación idónea del  titular será el número de identificación tributaria NIT, al  poder cambiar en cualquier momento de la negociación al  representante legal  o  incluso  designar para la firma de documentos al suplente u otra persona a través de autorización. Dicho requisito podría afectar los tiempos de consolidación y aprobación de insumo de Estudio de Títulos</t>
  </si>
  <si>
    <t>Con respecto al numeral 4.3.c.ii.1 del capítulo IV: Se sugiere especificar que la actualización de cabida y  linderos  se realice única y  exclusivamente  cuanto la adquisición del  inmueble sea compra total y  no exista coincidencia con la información jurídica técnica y  catastral, por cuanto  en la práctica se ha observado  que la información catastral  en la mayoría de los casos no coincide  con los títulos, lo que implicaría solicitud de actualización en la mayoría de los inmuebles (rurales) generando costos adicionales (levantamientos topográficos, tramites) sobre áreas no requeridas para el proyecto y  atrasos en el cronograma de adquisición.</t>
  </si>
  <si>
    <t>Con respecto al literal C, numeral 4.3 del capítulo IV: Para determinar los Valores comerciales, define el articulo 61 Parágrafo 2 de la Ley 388 de 1997, los factores a tener en cuenta son: La destinación económica del predio en la zona geoeconómica homogénea, localización, características y usos del inmueble, factibilidad de prestación de servicios públicos, vialidad y transporte. No se define que se deben realizar estudios de zonas homogéneas físicas y geoeconómicas. Se entendería pues que las actividades ya las realizó la entidad catastral</t>
  </si>
  <si>
    <t xml:space="preserve">La asunción del riesgo de elusión, en un proyecto que depende 100% de los ingresos por peaje, no puede excluir impactos desconocidos para el concesionario al momento de realizar su oferta. Modificaciones futuras de proyectos (adicionales) pueden impactar el tráfico de un proyecto sustancialmente. Adicionalmente, proyectos en planes de ordenamiento/ RUPP en prefactibilidad son totalmente inciertos en su ejecución por tanto excluir los mismos dentro del concepto de elusión significaría un riesgo ilimitado para el concesionario. Si el Estado en cabeza de la ANI en su estructuración puede dimensionar dichos proyectos menos lo podrá hacer un privado. Se solicita eliminar dichas exclusiones </t>
  </si>
  <si>
    <t>Parte especial - Tabla de referencias . 1.55</t>
  </si>
  <si>
    <t>Favor revisar el % RP al considerase insuficiente para la operación de más de 300 kms</t>
  </si>
  <si>
    <t>Parte especial - Tabla de referencias . 3.4 (f)</t>
  </si>
  <si>
    <t>El plazo para la consecución del cierre financiero en 360 días se considera insuficiente dado la experiencia en los contratos 4G. Favor ajustar según la experiencia del programa anterior</t>
  </si>
  <si>
    <t>Parte especial - Tabla de referencias . 3.8 (a)</t>
  </si>
  <si>
    <t>En caso de una terminación anticipada, los recursos de la subcuenta especial de recaudo y de la subcuenta contingencias servirán para el repago al concesionario de la terminación?</t>
  </si>
  <si>
    <t>Los plazos de 210 días para el plan de trámite ambientales, inventario de redes, plan de traslado de redes es insuficiente según la experiencia del programa 4G. Más aún, los tiempos de aprobación de la interventoría</t>
  </si>
  <si>
    <t>Parte especial - Tabla de referencias . 4.2  (m), 4.2 (o), 4.2 (p)</t>
  </si>
  <si>
    <t>Favor informar sobre el estado de declaratoria de utilidad pública del proyecto</t>
  </si>
  <si>
    <t>Parte especial - Tabla de referencias . 6.2 (b)</t>
  </si>
  <si>
    <t xml:space="preserve">En caso de demora en la entrega de la infraestructura, el estado de la entrega del mismo debe estar cumpliendo con los indicadores o en caso contrario debe remunerarse al concesionario al tener que hacer una puesta a punto </t>
  </si>
  <si>
    <t>Parte especial - Entrega de infraestructura</t>
  </si>
  <si>
    <t>En caso de sobrecosto en la obligaciones ambientales pendientes de cumplimiento favor confirmar que el riesgo es asumido por la ANI</t>
  </si>
  <si>
    <t xml:space="preserve">Al ser un riesgo 100% asumido por el concesionario, por favor detallar los costos previstos en la estructuración de los costos de Predios, Compensaciones socioambientales, y de redes asociados al factor de calidad. </t>
  </si>
  <si>
    <t>Parte especial - Riesgo factor de calidad</t>
  </si>
  <si>
    <t>En caso de que una UF se demore más de lo previsto cómo funcionaría la tabla de porcentajes. Ej. Si la UF3 se termina en el mes 31 se tendría derecho al 47,11% del recaudo acumulado?</t>
  </si>
  <si>
    <t>Parte especial - Porcentaje de Participación</t>
  </si>
  <si>
    <t>Favor comunicar el estado de la resolución de peaje que permite el cobro de la estructura tarifaría</t>
  </si>
  <si>
    <t xml:space="preserve">Debido a que el Coronavirus , medidas como el aislamiento y el levantamiento del cobro del peaje cómo plantea la ANI compensar al concesionario un riesgo que dejó de ser imprevisible en los contratos </t>
  </si>
  <si>
    <t>Parte General- Asunción de riesgos</t>
  </si>
  <si>
    <t>En el cálculo de la retribución no debería descontarse al concesionario los efectos de las demoras en la adquisición predial por causas no atribuible al mismo. Existen demoras por predios baldíos, con problemas de sucesiones que aunque el concesionario realice sus mejores labores de gestión su adquisición no es posible por causas ajenas al mismo</t>
  </si>
  <si>
    <t>Parte Especial-  Cálculo de la Retribución</t>
  </si>
  <si>
    <t>El mecanismo de amigable componedor debe ajustarse para que decida las controversias por mayoría y no por unanimidad. Al ser tres miembros,  el miembro nombrado por la ANI tiende a favorecer los intereses de la misma por tanto el mecanismo no funciona al tener una imposibilidad de tener unanimidad. Solucionar este esquema permitirá una correcta resolución de controversias del  contrato</t>
  </si>
  <si>
    <t>En caso de situaciones imprevisibles y/o EER debe ser automático la suspensión del concesionario del fondeo de subcuentas</t>
  </si>
  <si>
    <t>El uso de la subcuenta MASC debe dejar claro que al momento de tener una controversia los recursos para el pago tanto de los honorarios atribuibles a la ANI y al concesionario serán descontados de ese fondeo. La ANI no podrá limitar el uso de esa subcuenta para el pago de los honorarios para la solución de controversias</t>
  </si>
  <si>
    <t xml:space="preserve">Parte General y Parte Especial </t>
  </si>
  <si>
    <t>En caso de liquidación, los remanentes de las subcuentas ANI deben servir para pagar las obligaciones de la misma bajo liquidación. No es equilibrado para el concesionario tener que esperar 5 años para una liquidación teniendo la entidad recursos disponibles</t>
  </si>
  <si>
    <t>La demora de la ANI en la consecución de los recursos del fondo de contingencias no puede obligar al concesionar a financiar dicha obligación. Al momento, de demoras por parte de la Entidad se debe suspender las obligaciones del concesionario</t>
  </si>
  <si>
    <t>La obras sociales deben ser opcionales para que el concesionario las realice. La obligación del concesionario debe entenderse cumplida al realizar el fondeo de los recursos</t>
  </si>
  <si>
    <t xml:space="preserve">El tiempo estimado de terminación de  cada unidad funcional debe contarse desde el inicio de cada una de ellas. En caso de una UF, tener demoras en su inicio, su fecha de terminación no debe verse afectado </t>
  </si>
  <si>
    <t>Parte General y parte especial 5.2</t>
  </si>
  <si>
    <t>El amparo de calidad y estabilidad de las obras no puede arrancar desde la etapa preoperativa. La estabilidad/calidad el concesionario la debe asegurar sobre las obras que este realice al finalizar la construcción. Por ejemplo, el amparo de calidad/estabilidad de obras en preconstrucción no es aplicable dado que el concesionario se encuentra realizando estudios y diseños junto con las labores de O&amp;M</t>
  </si>
  <si>
    <t>Parte especial- Garantías</t>
  </si>
  <si>
    <t>Favor revisar las formulas de terminación. Al modificar la estructura actual se está afectando la bancabilidad del programa 5G.</t>
  </si>
  <si>
    <t xml:space="preserve">Favor definir la franja que deberá comprar el concesionario en zonas urbanas. </t>
  </si>
  <si>
    <t>Favor definir la franja que deberá comprar el concesionario en zonas rurales</t>
  </si>
  <si>
    <t>Favor definir la franja con la cual el estructurador realizó el presupuesto de adquisición predial tanto en zonas urbanas y rurales</t>
  </si>
  <si>
    <t xml:space="preserve">Los rendimientos de la subcuenta Predios, ambientales y redes deben acrecentar dichas subucuentas. Estos recursos favorecen a la partes para la compensación de riesgos y evitan costos financieros mayores al proyecto. Adicionalmente, la ANI se estaría beneficiando de un fondeo realizado por el concesionario y no por la misma entidad. </t>
  </si>
  <si>
    <t>Mismo comentario anterior con los remanentes de dichas subcuentas. Al ser un riesgo compartido el sobrecostos y el menor uso debería ser igual. El mecanismo planetado desincentiva la optimización del uso de la subcuentas</t>
  </si>
  <si>
    <t>Favor revisar el hecho de que la explotación comercial estpe ligada la retribución. Este mecanismo desincentiva el aprovechamiento de la misma para la partes. El concesionario tendrían que financiar a terceros mientras accede a la retribución.</t>
  </si>
  <si>
    <t>No es equilibrado que el concesionario tenga que asumir el GMF de los usos generados por las subcuentas de la ANI. Es imposible para el concesionario estimar el número de giros que hará la ANI en 29 años de concesión  y el impuesto que deberá asumir. Los recursos de las subcuentas deben utilizarse para asumir el costo del impuesto asociado.</t>
  </si>
  <si>
    <t>Al Concesionario tener que entregar a la ANI
y al Interventor el Cronograma de Adquisición de Predios,
Cronograma de Trabajo Predial, Plan de Trámites Ambientales y Plan
de Redes ajustado que garantice el cumplimiento del nuevo Plan de
Obras del Proyecto está afectando la asunción de riesgos del mismo. La metodología de construcción y los planes de ejecución deben ser libres del concesionario dado que el riesgo de no terminación y las multas asociadas a este están a su cargo.</t>
  </si>
  <si>
    <t>En caso de nueva consultas previas (No previstas en el contrato), dado que la estructuración y el Estado como tal realizó dichas consultas, no debe ser un riesgo del concesionario. Asumir por parte del concesionario el 100% de los costos de gestiones y el 50% de los compromisos es desproporcionado dado que el riesgo debe quedar en cabeza del Estado al poder asumir las obligaciones con comunidades</t>
  </si>
  <si>
    <t>ISA,15/05/2020</t>
  </si>
  <si>
    <t>Considerando los efectos derivados de la crisis ocasionada por el COVID-19, instamos a la Entidad a contrastar los supuestos tenidos en cuenta durante la estructuración del Proyecto frente a los efectos que sobre el mercado de participación privada en infraestructura y el mercado de financiación en general, ha tenido la crisis mundial por la propagación del virus SARS-CoV-2. Sobre este particular, consideramos esencial que la ANI analice con detenimiento las repercusiones que los cambios macroeconómicos de las últimas semanas han tenido sobre los diversos supuestos de la estructuración financiera del Proyecto, y, en últimas, sobre las condiciones financieras de la minuta del contrato de concesión, incluyendo la percepción del riesgo de este negocio.</t>
  </si>
  <si>
    <t xml:space="preserve">General
</t>
  </si>
  <si>
    <t>Siguiendo las buenas prácticas nacionales e internacionales que no sólo han sido implementadas en proyectos recientes como la Primera Línea del Metro de Bogotá y Regiotram de Occidente, sino por la misma ANI en los procesos de contratación de la Cuarta Generación de Concesiones Viales, solicitamos comedidamente a la Entidad que implemente un reglamento de interacción con los interesados en el Proyecto que le permita a cualquier interesado llevar a cabo diversas reuniones individuales con la ANI y/o los estructuradores del Proyecto, en las cuales podamos ahondar la discusión de las principales preocupaciones que actualmente identificamos en la estructura del proceso de selección.</t>
  </si>
  <si>
    <t>Sugerimos respetuosamente contemplar en el cronograma las condiciones de aislamiento que seguramente seguirán vigentes, por ejemplo, previendo reuniones virtuales para el desarrollo de audiencias y, eventualmente, reuniones individuales con los interesados.</t>
  </si>
  <si>
    <t>Por favor aclarar si "correo" significa "la dirección de correo electrónico"</t>
  </si>
  <si>
    <t xml:space="preserve">Pliego de Condiciones
Numeral 2.6.2 (a) - línea 30
</t>
  </si>
  <si>
    <t>Entendemos que la Carta de Presentación Oferta de un Oferente individual extranjero es válida si es suscrita exclusivamente por su apoderado domiciliado en Colombia que es exigido en el Proyecto de Pliego de Condiciones. Por favor confirmar si nuestro entendimiento es correcto.</t>
  </si>
  <si>
    <t>Pliego de Condiciones
Numeral 4.1.6</t>
  </si>
  <si>
    <t>Por favor aclarar qué se entiende por "municipios afectos". Acaso se refiere sólo a los municipios por los que pasa el Proyecto (es decir, en los que el trazado del Proyecto atraviesa) o a los municipios que hagan "frontera" o estén cerca del Proyecto?</t>
  </si>
  <si>
    <t>Pliego de Condiciones
Numeral 5.3.1 - línea 40</t>
  </si>
  <si>
    <t>En este numeral se establece el plazo de 15 días hábiles para la firma del contrato de concesión, sin embargo en el numeral 2.3 - "cronograma" el plazo para dicho trámite es de 19 días hábiles. Sugerimos unificar el plazo en ambas secciones, manteniendo el de 19 días.</t>
  </si>
  <si>
    <t>Pliego de Condiciones
Numeral 9.4.1</t>
  </si>
  <si>
    <t>Luego de analizar en detalle las versiones publicadas de la Parte General y Parte Especial de la minuta de Contrato en relación con el riesgo de tráfico, hemos evidenciado que, reversando la política que había implementado de manera acertada en la Cuarta Generación de Concesiones Viales, la ANI propone asignar completamente los efectos negativos del riesgo de tráfico del Proyecto al Concesionario (pues yendo en contra del principio de asignación simétrica de los riesgos contractuales, dicha asignación al Concesionario sólo comporta las dimensiones negativas del riesgo, en tanto la positiva -aumento del tráfico- es asignada a la ANI, vía la terminación por obtención del VPIP antes del plazo máximo). Lo anterior es sorprendente, no sólo porque no atiende el principio de asignación eficiente de riesgos establecido en el artículo 4 de la Ley 1508 de 2012 y en diversos documentos CONPES, sino porque de la experiencia reciente en este tipo de proyectos (incluyendo la generada por la coyuntura actual) se deriva la necesidad justamente de mejorar de manera sensible el esquema de asignación de este riesgo en los proyectos de 4G, sobretodo en cuanto a la liquidez del Concesionario se refiere. 
En efecto, la asignación de riesgos sin atender los principios de asignación eficiente mencionados anteriormente es –probablemente– el problema más serio al que se ha enfrentado la infraestructura de transporte en nuestro país, la cual explica en buena parte las muchas dificultades a las que actualmente se enfrentan la ejecución de los proyectos, los retos a menudo insuperables en la consecución de financiación, el encarecimiento del costo del dinero con la consecuente afectación en la capacidad del Estado de proveer suficiente infraestructura con los limitados recursos de que dispone, los ambientes excesivamente litigiosos y, en no pocos casos, los fracasos definitivos de muchos proyectos. 
Y es particularmente crítico que justamente ahora, después de evidencias tan relevantes como las enormes dificultades derivadas de la asignación del riesgo de tráfico en proyectos como el de Malla Vial del Meta (que ha conducido prácticamente a la parálisis de ese proyecto), y de –sobretodo– la evidencia de las dramáticas consecuencias de la pandemia del COVID-19 en los tráficos de todos los proyectos viales, la ANI decida plantear este cambio de paradigma que desconoce avances significativos en Colombia en este punto, que han venido evolucionando desde la estructuración no solo de la Cuarta Generación de Concesiones Viales sino de los proyectos de Ruta del Sol. 
La pregunta que surge en estos casos es: ¿qué capacidad tiene un concesionario para mitigar el riesgo de disminuciones de tráfico? Toda vez que esas disminuciones dependen de factores ajenos completamente a la esfera de control del Concesionario, tales como la evolución de la economía global y la colombiana, los problemas de orden público, la mayor o menor oferta de alternativas de transporte por parte del Estado, las políticas adoptadas por el Gobierno para incentivar o desincentivar el uso de los modos de transporte, los desarrollos tecnológicos en aspectos como el teletrabajo, las afectaciones de salud pública por, entre otras causas, brotes infecciosos como el que estamos presenciando, y otros muchos factores que, se insiste, están completamente por fuera del control del Concesionario. Por supuesto que algunos de ellos también están por fuera del control de la ANI (aunque muchos sí los puede administrar como parte del Gobierno que es), pero, como es sabido, los riesgos imposibles de controlar por principio deben estar en cabeza del ente contratante, pues la infraestructura es de su propiedad y está orientada a la prestación de un servicio público. Ejemplo típico de esto es la asunción –por parte de la entidad concedente– del riesgo de daños causados por eventos no asegurables.
Y es relevante resaltar que el resultado de este análisis en proyectos carreteros no depende de si, de acuerdo con el modelo de estructuración respectivo, el proyecto correspondiente es deficitario o superavitario en términos del tráfico esperado, en tanto los proyectos cuyo tráfico esperado es superavitario para el repago de la inversión estimada están expuestos de la misma forma a los factores mencionados. 
Por todo lo anterior, con todo comedimiento pero con el mayor énfasis requerimos a la ANI que revalúe el esquema de asignación del riesgo de tráfico, y que retome el esquema de los proyectos de iniciativa pública de 4G mejorándolo sobre todo en los temas de liquidez.</t>
  </si>
  <si>
    <t>Parte General, Capítulos III y XIII</t>
  </si>
  <si>
    <t>Con relación también con el tratamiento del riesgo de tráfico, solicitamos comedidamente que la ANI modifique el manejo de riesgo de elusión. El esquema diseñado ahora por la entidad parece implicar que, para que ese riesgo sea asumido por la entidad contratante, debe i) corresponder a tránsito por vías “legítimas” que entren en operación con posterioridad a la presentación de la oferta del Concesionario, y ii) el Concesionario está obligado a un suerte de “prueba imposible” para “demostrar” cuáles y cuántos de los vehículos que pasaron por esas vías, hubiesen pasado por las Estaciones de Peaje de la concesión. El sistema es muy poco práctico y deja por fuera las mayores causas de elusión que no son otras que el paso por vías ad hoc (“ilegítimas” en el lenguaje de la minuta). Ahora bien, ninguna de estas estipulaciones se requeriría en el caso en que la ANI reconsidere su posición sobre el riesgo de tráfico, en el sentido señalado en la solicitud anterior.</t>
  </si>
  <si>
    <t>Respetuosamente consideramos que el plazo que establece actualmente la Parte General para la configuración de una Fuerza Mayor ante la demora de trámites o procedimientos que se deben adelantar ante Autoridades Estatales (i.e. dos veces y media el plazo previsto por la Ley Aplicable para dicho trámite o procedimiento) es excesivamente largo. En efecto, no liberar de  responsabilidad contractual al Concesionario (principal efecto de la configuración de un Evento Eximente de Responsabilidad) cuando, por razones no imputables a éste, una Autoridad Estatal se toma más tiempo del previsto por la Ley Aplicable para dar trámite a un procedimiento, no parece respetar la naturaleza misma de la figura de la Fuerza Mayor ni el principio de buena fe. Considerando lo anterior, comedidamente solicitamos a la entidad que dicho plazo sea reducido al previsto por la Ley Aplicable para el trámite respectivo.</t>
  </si>
  <si>
    <t>Parte General, Sección 1.79</t>
  </si>
  <si>
    <t>Parte General, Sección 1.88</t>
  </si>
  <si>
    <t xml:space="preserve">La distribución de los Ingresos por Explotación Comercial desestimulan su obtención pues no alcanza a remunerar directamente la gestión administrativa del Concesionario. Considerando lo anterior y el esquema de administración de las fuentes del Proyecto, sugerimos respetuosamente  mantener el esquema de distribución que la misma ANI implementó en los contratos de la Cuarta Generación de Concesiones Viales. </t>
  </si>
  <si>
    <t xml:space="preserve">Parte General, Sección 1.94 </t>
  </si>
  <si>
    <t>En la Sección 1.112 de la Parte General, la ANI introdujo el concepto de “Sanción”, el cual, según el Contrato, corresponde a una pena pecuniaria que puede imponerse al Concesionario por la ocurrencia de incumplimientos “insubsanables y definitivos” e imputables a éste. No obstante, en ninguna otra sección de la Parte General o la Parte Especial de la minuta se señala cuál es la naturaleza específica de dicho concepto (e.g. qué considera el Contrato como insubsanable o definitivo), cuál es su monto, si se impone por una sola vez para cada incumplimiento o si ocurre de manera sucesiva hasta la terminación del Contrato, ni se explica si la ANI considera que el mismo puede ser concurrente con la imposición de Multas o de la Cláusula Penal y en qué eventos.
En efecto, aún cuando de ciertos apartes del Contrato se puede inferir que la Sanción corresponde a un concepto distinto del de la Multa (Título de la Sección 10.2 de la Parte General y las diferencias de la redacción de la definición de cada término) y que la entidad ha incluido menciones aisladas a dichas “Sanciones” en varias Secciones del Capítulo de Sanciones y Esquemas de Apremio, respetuosamente consideramos que la regulación actual de dicha figura de manera alguna se acerca al nivel de certeza, precisión y objetividad que se exige de mecanismos similares por parte no sólo la Ley y la jurisprudencia arbitral, sino por el mercado de financiación para estructuras tipo project finance (como lo sería este Proyecto). 
Por demás, considerando la estructura del esquema de sanciones y apremios del Contrato (el cual —salvo la mención a la figura de la “Sanción”— es casi idéntico al que utilizó la ANI en la cuarta generación de concesiones viales), la introducción de las “Sanciones” no le aporta a la entidad herramienta adicional alguna que le permita incentivar de manera más eficiente el cumplimiento de las obligaciones del Proyecto, y sí aumenta el nivel de incertidumbre y riesgo de la estructura contractual (entre otras consecuencias, eliminando la utilidad del Límite de Multas).
Por todo lo anterior, comedidamente solicitamos a la ANI eliminar dicha figura del Contrato.</t>
  </si>
  <si>
    <t>Parte General, Sección 1.112</t>
  </si>
  <si>
    <t xml:space="preserve">En las Secciones 1.152 y 2.3(c) de la Parte General se establece la potestad de la ANI de ordenar el inicio de ejecución del Contrato de manera unilateral incluso cuando no se ha verificado el cumplimiento de todos los requisitos que la misma entidad ha establecido en la Sección 2.3 de la Parte General como condiciones contractuales para dicho inicio de ejecución. Esta figura no sólo introduce una abierta contradicción con la estructura y requerimientos que el Contrato trae para comenzar la ejecución del mismo (dentro de la cual es particularmente retador entender por qué la ANI introduce un mecanismo que le permite obviar el cumplimiento de requerimientos para la ejecución del Contrato que la misma entidad consideró lo suficientemente relevantes como para incluirlos ella misma en el texto del Contrato), sino que parece otorgarle una potestad unilateral a la ANI que no está prevista de manera alguna en la Ley para tal propósito.
Considerando lo anterior, solicitamos que la entidad elimine la figura de la Orden de Inicio del Contrato, manteniendo exclusivamente la regulación para la suscripción del Acta de Inicio. </t>
  </si>
  <si>
    <t>Parte General, Sección 1.152</t>
  </si>
  <si>
    <t xml:space="preserve">En la Sección 1.158 de la Parte General y en la Sección 4.2 de la Parte Especial, se señala que las tarifas de peaje que puede cobrar el Concesionario se definirán en la Resolución de Peaje del Proyecto. Sin perjuicio de lo anterior, en ningún aparte de los documentos publicados por la entidad se indica qué tarifas se prevé incluir en la Resolución de Peaje, ni siquiera a título indicativo, como se hizo en 4G.
Esto hace imposible adelantar estimación alguna respecto de la única fuente de ingresos del Proyecto, lo cual, a su turno, impide evaluar la suficiencia de la misma para el repago de las inversiones del Proyecto. </t>
  </si>
  <si>
    <t>Parte General, Sección 1.158</t>
  </si>
  <si>
    <t>Parte General, Sección 1.128</t>
  </si>
  <si>
    <t>La Sección 2.3(b) de la Parte General señala que el Acta de Inicio debe ser suscrita dentro de los 30 días hábiles siguientes a la suscripción del Contrato, siempre que se hayan cumplido los requisitos establecidos en dicha Sección para el efecto. Uno de estos requisitos corresponde a la firma por parte de la ANI del Contrato de Interventoría. Con respecto a la regulación actual que la Parte General trae de dicho requisito:
- Considerando que: i) este tipo de requerimientos tienen como propósito garantizar que desde el día uno de ejecución del Proyecto la entidad esté apoyada por la supervisión integral de la Interventoría, y  ii) el inicio del acompañamiento del Interventor está, a su turno, supeditado a que el Contrato de Interventoría cumpla con los requisitos establecidos por la Ley y el contrato respectivo para iniciar su ejecución; solicitamos a la entidad que este requisito de la Sección 2.3(b) se refiera no sólo a la suscripción del Contrato de Interventoría sino también al inicio de ejecución del mismo.
- En cualquier caso, la suscripción del Contrato de Interventoría es la única obligación precedente para el inicio de ejecución del Proyecto a la cual el Contrato no le establece un plazo máximo para su cumplimiento. Por lo anterior, solicitamos a la entidad que se incluya dicho plazo en la Sección 2.3(b) o se señale de manera expresa si se debe entender que el periodo de 30 días hábiles mencionado en el encabezado de la Sección corresponde al plazo máximo para el cumplimiento de esta obligación.</t>
  </si>
  <si>
    <t>Parte General, Sección 2.3(b)</t>
  </si>
  <si>
    <t xml:space="preserve">El Contrato parece traer una contradicción al tratar la estructura de las Fases de la Etapa Preoperativa del Proyecto, en tanto por un lado señala en la Sección 2.5 de la Parte General que dichas Fases tienen una duración predeterminada (aparentemente distinta de las duraciones estimadas utilizadas en la 4G), para luego indicar que la terminación de las mismas depende exclusivamente del cumplimiento de las condiciones precedentes que el Contrato establece para el inicio de la Fase o Etapa siguiente (e.g. Secciones 4.1 y 9.1 de la Parte General).  Así, del texto del Contrato no es evidente cuál es la consecuencia de la expiración de dichas “duraciones” cuando no se ha satisfecho la totalidad de obligaciones precedentes. 
No obstante, de otros apartes del Contrato entendemos que a pesar de que no se menciona expresamente que las duraciones de las Fases establecidas en la Sección 3.8 de la Parte Especial son estimadas (es decir, que se utilizan exclusivamente para ciertos efectos indicativos, como la vigencia inicial de algunas garantías), en la práctica de la ejecución contractual lo serán, toda vez que al expirar dicha duración sin que se hayan cumplido las condiciones precedentes respectivas, la Fase sigue transcurriendo hasta que dicho cumplimiento ocurra (la consecuencia opuesta — i.e. que se inicia la Fase/Etapa subsiguiente sin el cumplimiento de las obligaciones precedentes— iría en contra de toda la estructura del Contrato). Agradecemos la entidad confirme si nuestro entendimiento es correcto. </t>
  </si>
  <si>
    <t>Parte General, Sección 2.5</t>
  </si>
  <si>
    <t xml:space="preserve">Entendemos del segundo inciso de la Sección 3.3(c) de la Parte General, que la obligación del Concesionario de llevar a cabo las actividades administrativas para la verificación de la adecuada acreditación de los requisitos para el otorgamiento de tarifas especiales diferenciales se refiere exclusivamente a las tarifas diferenciales que están preestablecidas expresamente en la estructura tarifaria contenida en la Resolución de Peajes mencionada en la Parte Especial. Adicionalmente, entendemos que la instalación de tarjetas inteligentes o sus equivalentes tecnológicos de los que trata dicha Sección está supeditada a que las Especificaciones Técnicas del Contrato establezcan expresamente dicha obligación, así como las características específicas de las tecnologías respectivas. Por favor confirmar si los anteriores entendimientos son correctos.
De no ser correctos nuestros entendimientos, y con el fin de garantizar la certidumbre de uno de los aspectos centrales de las fuentes de remuneración del Proyecto, solicitamos atentamente a la ANI modificar esta Sección para indicar justamente que la aplicación de lo ahí previsto está circunscrito explícitamente a los eventos que regule de manera expresa el Contrato. </t>
  </si>
  <si>
    <t>Parte General, Sección 3.3(c)</t>
  </si>
  <si>
    <t>En cuanto a los demás supuestos de hecho que configuran la compensación prevista en la Sección 3.3(h) de la Parte General, consideramos que el plazo de noventa (90) días es excesivamente alto considerando el nuevo contexto del Proyecto y al esquema de remuneración previsto en el Contrato. Por lo anterior, proponemos reducir dicho periodo a treinta (30) días.</t>
  </si>
  <si>
    <t>Parte General, Sección 3.3(h)</t>
  </si>
  <si>
    <t>Técnica y Financiera</t>
  </si>
  <si>
    <t xml:space="preserve">De acuerdo con la Sección 3.5(a)(v) de la Parte General, se podrán descontar de la Retribución del Concesionario las multas o sanciones en firme que otras Entidades Gubernamentales hayan impuesto a la ANI por causas imputables al Concesionario, no sólo cuando el Concesionario reconozca su obligación de pago o el mecanismo de solución de controversias del Contrato la defina, sino también cuando la imputabilidad al Concesionario “haya sido atribuida al Concesionario en virtud de los riesgos, obligaciones, responsabilidades y, en general, el contenido y naturaleza del presente Contrato”.
Este último supuesto parece establecer en cabeza de la ANI una potestad unilateral de atribuir una obligación contractual de pago a cargo del Concesionario sin mediar la anuencia de éste, o, en caso de controversia, la decisión vinculante del mecanismo de solución de controversias previsto en el Contrato para el efecto, lo cual desconoce de manera directa la naturaleza contractual del mecanismo de Descuentos regulado en esta Sección. Por lo anterior, solicitamos atentamente a la entidad se elimine dicho supuesto para la aplicación de Descuentos por concepto de sanciones impuestas a la ANI por otras Autoridades Estatales, dejando exclusivamente aquellos que exigen el acuerdo entre las Partes respecto de la obligación de pago del Concesionario o la decisión del mecanismo de solución de controversias sobre el particular. </t>
  </si>
  <si>
    <t>Parte General, Sección 3.5(a)(v)</t>
  </si>
  <si>
    <t>Parte General, Sección 3.6</t>
  </si>
  <si>
    <t>De acuerdo con lo establecido en la Sección 3.8(a) de la Parte General y en la tabla de la Parte Especial, el Cierre Financiero debe ser acreditado dentro de los 360 días siguientes a la Fecha de Inicio del Contrato, manteniendo, en general, el orden de magnitud que para dicho requisito traían los contratos de 4G. Dicho plazo y su estructura de contabilización desconoce de manera directa las dificultades que la consecución del Cierre Financiero ha presentado en proyectos de 4G, y las consecuencias que dichas dificultades han tenido para el avance adecuado de los mismos. 
Por lo anterior, comedidamente solicitamos se introduzca un esquema similar al que se implementó en el contrato de concesión de la Primera Línea del Metro de Bogotá, según el cual, el plazo del Cierre Financiero sólo empieza a contarse una vez se hayan satisfecho las demás condiciones precedentes para el inicio de la Fase de Construcción (teniendo en cuenta que sin el cumplimiento de dichas condiciones precedentes es improbable que se pueda avanzar con los procedimientos necesarios para llegar a un Cierre Financiero, incluyendo la aprobación por parte del Ingeniero Independiente de la información derivada de la Licencia Ambiental y de los E&amp;D). Bajo dicha estructura, consideramos que plazo total -teniendo en cuenta los plazos de las demás condiciones precedentes a la Fase de Preconstrucción, incluyen del Cierre Financiero- no debe ser menor a un año y medio desde la Fecha de Inicio.</t>
  </si>
  <si>
    <t>Parte General, Sección 3.8(a)</t>
  </si>
  <si>
    <t>En la Sección 3.12(e) de la Parte General, la ANI eliminó una disposición que traía el contrato de la Cuarta Generación de Concesiones Viales, según la cual ante el inicio del trámite de la toma posesión por parte de los Prestamistas se suspendía la imposición de nuevas Multas por un periodo de 60 días o hasta que se notificara que no se tomaba la posición del Proyecto. Dicha medida contribuía a facilitar la toma de posesión, mitigando el riesgo de que los Prestamistas no ejercieran dicha facultad debido a que el avance de los incumplimientos del Concesionario (y especialmente de la continuación ininterrumpida de las Multas) desincentivara la entrada de nuevos sponsors, al no haber un espacio de tiempo que les permitiera subsanar los potenciales incumplimiento del Concesionario anterior. 
Teniendo en cuenta lo anterior, solicitamos se introduzca nuevamente un mecanismo con estas características.</t>
  </si>
  <si>
    <t>Parte General, Sección 3.12(e)</t>
  </si>
  <si>
    <t xml:space="preserve">Teniendo en cuenta que el valor de la Subcuenta Policía Carreteras es por monto agotable, ante el evento que en el transcurso del Proyecto se agoten los mismos y aún reste plazo de ejecución del Contrato, ¿cuáles mecanismos de mitigación tiene previstos la ANI, a sabiendas que el convenio suscrito no sería procedente y más aún, se requiere el apoyo permanente de la Policía? ¿Qué ocurre si los recursos aportados o a aportar en la subcuenta policía de carreteras son insuficientes para atender los requerimientos de ésta? ¿Quién asume el riesgo del mayor costo? </t>
  </si>
  <si>
    <t>Parte General, Sección 3.14</t>
  </si>
  <si>
    <t>La Sección 3.14(e) de la Parte General señala que cualquier retardo del Concesionario en los desembolsos mínimos del Contrato, trae como consecuencia no sólo la aplicación de la Multa correspondiente, sino, además, la aplicación del TDI al monto respectivo desde la expiración del plazo máximo y hasta la fecha efectiva del desembolso. 
Solicitamos que la mención al TDI sea eliminada, en tanto esa figura no sólo corresponde a una medida sancionatoria  que se suma a la Multa prevista para el mismo supuesto de hecho, sino que desconoce los propósitos propios de este tipo de fondeos.</t>
  </si>
  <si>
    <t xml:space="preserve">Solicitamos respetuosamente que se incluyan en el Contrato los plazos aplicables a la ANI y la Interventoría en sus pronunciamientos para el uso de los recursos de la Subcuenta de Compensaciones Socioambientales de los que trata la Sección 3.14(g)(vi)(4) de la Parte General.
</t>
  </si>
  <si>
    <t>Respecto de las inversiones asociadas para adaptación al Cambio Climático de las que trata la Sección 3.14(g) de la Parte General, teniendo en cuenta que las mismas afectarán la infraestructura de propiedad de la ANI que es objeto del Contrato y parecen incorporar ingresos mayores al Concesionario (sociedad cuyo único objeto es la ejecución de dicho Contrato), estimamos necesario que la ANI señale expresamente si las mismas se encuadran dentro de los conceptos de "Obras Complementarias" u "Obras Voluntarias", y si se contabilizan o no para el límite de adiciones previsto en la Ley 1508 de 2012.</t>
  </si>
  <si>
    <t xml:space="preserve">En el numeral iv) del literal g) se especifica que los rendimientos generados por la Subcuenta Compensaciones Socioambientales, la Subcuenta Predios y la Subcuenta Redes acrecerán cada una de dichas subcuentas.
Sin embargo en los numerales siguientes (v, vi y vii) correspondiente a las subcuentas predial, Compensaciones socioambientales y Redes, se especifica que los rendimientos de dichas subcuentas serán trasladados a la Subcuenta Excedentes ANI.
Teniendo en cuenta el propósito y afectación de las mismas, se solicita aclarar que todos los rendimientos de esas subcuentas las acrecerán. </t>
  </si>
  <si>
    <t>Teniendo en cuenta que el valor de la Subcuenta Obras Sociales es por monto agotable, ante el evento que en el transcurso del Proyecto sean insuficientes ante las solicitudes de las comunidades, y siendo la ANI el responsable de la destinación, ¿cuál es el mecanismo de mitigación previsto por la ANI para evitar inconvenientes sociales ante los requerimientos que no puedan ser atendidos?</t>
  </si>
  <si>
    <t>El numeral 4.2 literal s, establece que el Concesionario “deberá realizar a su costo, con el apoyo y bajo la coordinación de ANI, un convenio con las autoridades de tránsito competentes y, acordar con ellas el soporte logístico requerido para prestar el servicio.”, no obstante, se entiende que con el fondeo de la Subcuenta Policía Carreteras ya están cubiertos todos los costos y gastos asociados a la Policía de Carreteras, en tal sentido, se solicita claridad y de ser válida la lectura que se unifique el criterio.</t>
  </si>
  <si>
    <t xml:space="preserve">Parte General, Sección 4.2 </t>
  </si>
  <si>
    <t>Entendemos que si de la aplicación de las medidas de gestión del riesgo de desastre de las que trata la Sección 4.2(ff) de la Parte General (en especial las relacionadas con los lineamientos y directrices emitidas por el Gobierno Nacional para el efecto con posterioridad a la presentación de la Oferta), resultan Intervenciones o actividades no contempladas expresamente en las Especificaciones Técnicas del Proyecto, se aplicará lo previsto en la Sección 4.11(f) de la Parte General. Por favor confirmar si nuestro entendimiento es correcto.</t>
  </si>
  <si>
    <t>Entendemos que la obligación de actualización del Inventario de Activos de la Concesión se trata de años calendario. Por favor confirmar si nuestro entendimiento es correcto.</t>
  </si>
  <si>
    <t>Parte General
Sección 4.2 (bb) 
Sección 4.5(w)</t>
  </si>
  <si>
    <t>Considerando el impacto que las eventuales actualizaciones periódicas del Plan de Aportes al Fondo de Contingencias pueden tener sobre la liquidez de la ANI frente a la ocurrencia de riesgos a su cargo, consideramos pertinente que el Contrato establezca la obligación de la entidad de notificar al Concesionario todas las actualizaciones que, en virtud de los previsto en la Ley 448 de 1998 y el Decreto 1068 de 2015, haya llevado a cabo respecto del cálculo de obligaciones contingentes y de dicho Plan de Aportes.</t>
  </si>
  <si>
    <t>Parte General, Sección 4.3</t>
  </si>
  <si>
    <t>Considerando las limitaciones derivadas de las medidas de aislamiento preventivo por la emergencia del COVID-19 (en especial, la imposibilidad temporal de acceder físicamente al corredor existente), solicitamos que esta exigencia sea modulada considerando dicha restricción o que la ANI gestione protocolos específicos para que los interesados puedan adelantar sin limitación alguna las actividades de campo requeridas para llevar a cabo la debida diligencia requerida sobre el corredor para presentar la Oferta.</t>
  </si>
  <si>
    <t>Parte General, Sección 4.3 (a)</t>
  </si>
  <si>
    <t>El Contrato no señala el procedimiento o efectos derivados de la modificación del Plan de Obras por circunstancias distintas de la ocurrencia de Eventos Eximentes de Responsabilidad o causas imputables a la ANI. Teniendo en cuenta que el Contrato asigna en cabeza del Concesionario los riesgos de diseño y de construcción, parece necesario reflejar la libertad que debe ir acompañada de dicha asignación, en un procedimiento en el que se le de la autonomía a dicho Concesionario de modificar libremente el Plan de Obras (sin sanción alguna o necesidad de acreditar la ocurrencia de un EER),siempre que tal modificación permita la terminación de las Unidades Funcionales con anterioridad a la fecha máxima prevista por el Contrato para su terminación.</t>
  </si>
  <si>
    <t>Parte General, Sección 4.9</t>
  </si>
  <si>
    <t xml:space="preserve">Habiendo revisado los procedimientos previstos en el Contrato para la verificación de las Unidades Funcionales del Proyecto, hemos identificado que en los mismos no se incluyeron los ajustes que sobre dichos textos la ANI está implementado en los contratos de la Cuarta Generación de Concesiones Viales, con el fin de solucionar diversos obstáculos que se han presentado en la ejecución de los mismos. Teniendo en cuenta lo anterior,  solicitamos que dichos ajustes se reflejen en la minuta del Contrato (incluyendo aquellos asociados con las condiciones específicas de verificación y los plazos de cura).
</t>
  </si>
  <si>
    <t xml:space="preserve">Se informa al interesado que la ANI considera que la regulación propuesta para la verificación de las Unidades Funcionales del Proyecto es adecuada y coincide con las necesidades propias de este tipo de proyectos. </t>
  </si>
  <si>
    <t>Parte General, Sección 4.17(i) a Sección 4.17(x)</t>
  </si>
  <si>
    <t>Parte General, Sección 6.1(a)</t>
  </si>
  <si>
    <t>Considerando el avance de los estudios de factibilidad y los diversos factores objetivos que participan en la definición del trazado del Proyecto como parte de los estudios y diseños de detalle, comedidamente solicitamos que la regla contenida en esta Sección sea eliminada, manteniéndose la asignación general de riesgos respecto de las Intervenciones ante cualquier trazado que resulte de unos estudios y diseños de detalle que cumplan con lo exigido en las Especificaciones Técnicas. De lo contrario, se  penalizaría injustificadamente al Concesionario en eventos en los que se verifique que objetivamente y por razones técnicas, es imposible, impráctico o ineficiente adelantar las Intervenciones dentro de la franja establecida por la ANI.</t>
  </si>
  <si>
    <t>Parte General, Sección 6.3 (b)</t>
  </si>
  <si>
    <t>Habiendo revisado los procedimientos previstos en el Contrato para el efecto, hemos identificado que la entidad no incluyó los ajustes que ha implementado en los proyectos de la Cuarta Generación de Concesiones Viales en los textos que regulan la suscripción del Acta de Terminación de UF y el Acta de Terminación Parcial de este Contrato. Teniendo en cuenta lo anterior, solicitamos que dichos ajustes se reflejen en la minuta del Contrato (incluyendo aquellos asociados con los Periodos de Exclusión).</t>
  </si>
  <si>
    <t xml:space="preserve">Se informa al interesado que la ANI considera que la regulación propuesta para la suscrición del Acta de Terminación de Unidad Funcional y el Acta de Terminación parcial es adecuada y coincide con las necesidades propias de este tipo de proyectos. </t>
  </si>
  <si>
    <t xml:space="preserve"> Parte General, 
Sección 7.1(f) a Sección 7.1 (i)</t>
  </si>
  <si>
    <t>De manera análoga a lo solicitado en la observación No. 10 anterior, se solicita comedidamente que se reduzca el plazo que el Contrato prevé para la configuración de una  Fuerza Mayor Ambiental, al que prevé la Ley Aplicable para el procedimiento mencionada en esta Sección.</t>
  </si>
  <si>
    <t>Parte General, Sección 8.1</t>
  </si>
  <si>
    <t xml:space="preserve">En la Sección 10.2(b) de la Parte General se incluye una carga adicional para el Concesionario de pagar mayores costos de interventoría y coordinación durante el Plazo de Cura. El plazo de cura está establecido desde el principio del Contrato y su filosofía es justamente la de evitar sanciones pecuniarias al Concesionario durante ese plazo prudencial. Por estas razones, solicitamos eliminar esas cargas económicas adicionales en contra del Concesionario, pues se convierten en la práctica en unas sanciones que impiden cumplir con las finalidades a las que está destinada la figura.  </t>
  </si>
  <si>
    <t>Parte General, Sección 10.2(b)</t>
  </si>
  <si>
    <t>Los cambios en la redacción de la Sección 10.3(a) de la Parte General –respecto de la de los contratos de 4G–, tienen el efecto, en la práctica, de eliminar la posibilidad de que el Concesionario acepte el incumplimiento y pague la multa sin necesidad de que le inicien proceso. Sugerimos revisar esta modificación, inconveniente para las dos Partes contratantes.</t>
  </si>
  <si>
    <t>Parte General, Sección 10.3(a)</t>
  </si>
  <si>
    <t>El plazo incluido en la Sección 12.4 de la Parte General es extremadamente reducido, teniendo en cuenta el tiempo que normalmente toma la obtención de las garantías para proyectos de esta complejidad. Sugerimos aumentarlo sensiblemente, a por lo menos sesenta (60) días calendario contados a partir de la suscripción del Contrato. .</t>
  </si>
  <si>
    <t>Parte General, Sección 12.4</t>
  </si>
  <si>
    <t>Legal y seguros</t>
  </si>
  <si>
    <t>La asignación parcial (50%) del riesgo de los costos del cumplimiento de los compromisos derivados de nuevas consultas previas (respecto de los cuales el Concesionario está en total imposibilidad de anticipar al momento de hacer su oferta –Secciones 8.1(d) y 13.2(a)(iii) entre otras–), no solamente está en contra del principio de asignación eficiente del riesgo, sino que podría implicar que por esta vía se desconozca la asignación del riesgo de costos por nuevas obras o actividades (modificación de Especificaciones Técnicas) por orden de autoridad. 
Por lo anterior, comedidamente sugerimos que este riesgo sea asignado completamente a la ANI.</t>
  </si>
  <si>
    <t>Parte General, Secciones  8.1(d) y13.2 (a)(iii)</t>
  </si>
  <si>
    <t xml:space="preserve">Como se señaló en observaciones anteriores, en proyectos cuya maduración no se contó con estudios y diseños de detalle (como éste), es relativamente usual que sea imprescindible ajustar el trazado previsto inicialmente por la entidad pública para el cumplimiento de las especificaciones técnicas, debido a que en la ejecución se encuentra que dicho trazado es ineficiente, impráctico o, incluso, imposible de ejecutar. Considerando lo anterior, la asignación de riesgo a la que se refiere esta Sección no solo desconoce tal situación, sino que pone exclusivamente a cargo del Concesionario las consecuencias negativas de esas vicisitudes causadas exclusivamente por el nivel de maduración de la estructuración que adelantó la ANI.  
Lo anterior, no sólo parece ir en contra de lo previsto por los lineamientos de asignación de riesgos previstos en los documentos CONPES aplicables (en especial, el principio de asignación eficiente de riesgos), sino que constituye una asignación asimétrica de los riesgos de diseño y construcción. 
Por todo lo anterior, se solicita nuevamente eliminar esta disposición, y señalar en su reemplazo que la modificación del trazado identificado inicialmente por la ANI no tiene efecto alguno las demás asignaciones de riesgo del Proyecto. </t>
  </si>
  <si>
    <t>Parte General, Sección 13.2(a)(vii)</t>
  </si>
  <si>
    <t>Sugerimos revisar la redacción de la Sección 13.2(a)(viii) de la Parte General, particularmente en cuanto a la referencia al “mercado”. No es claro a qué mercado se alude, si tenemos en cuenta que el riesgo a que esta Sección se refiere es el de variación de cantidades de obra, no a la variación de precios. Similar sugerencia es procedente respecto de la Sección 13(a)(xv).</t>
  </si>
  <si>
    <t>Parte General, Sección 13.2(a)(viii)</t>
  </si>
  <si>
    <t xml:space="preserve">La ANI mantuvo una estipulación que venía de los contratos de 4G en la Sección 13.2(a)(xxiii) de la Parte General en el sentido de que el riesgo de tráfico se entiende asignado al Concesionario solo en cuanto afecte la liquidez. Solicitamos que la ANI aclare cómo se armoniza esto con las demás estipulaciones del Contrato que implican que la asunción del riesgo a cargo del Concesionario es total y no sólo de la liquidez, en el evento en que no decida modificar la asignación del riesgo de tráfico del Proyecto en los términos solicitados en la observación No. 9 de este documento de observaciones. </t>
  </si>
  <si>
    <t>Parte General, Sección 13.2(a)(xxii)</t>
  </si>
  <si>
    <t>Comedidamente solicitamos reconsiderar la asignación del riesgo cambiario prevista en la Sección 13.2(a)(xxvii) de la Parte General. Esto inhibe la posibilidad de financiación en divisas, lo que implica perder una fuente de recursos importante en su magnitud y a menudo conveniente en sus condiciones, lo que abarataría el proyecto para el patrimonio público.</t>
  </si>
  <si>
    <t>Parte General, Sección 13.2(a)(xxvii)</t>
  </si>
  <si>
    <t>En la Sección 13.3 de la Parte General, antes de listar los riesgos a cargo de la ANI, se eliminó el siguiente texto que aparecía en los contratos de 4G: “además de los que le sean asignados en otras partes del Contrato (incluyendo sus Apéndices)”. Ese texto, sí se dejó en la Sección 13.2 antes de listar los riesgos a cargo del Concesionario. Comedidamente solicitamos una explicación de esta asimetría (que luce injustificada) entre las partes contratantes o la inclusión de un texto idéntico en los dos casos.</t>
  </si>
  <si>
    <t>Parte General, Sección 13.3</t>
  </si>
  <si>
    <t>Entendemos que, de acuerdo con las Secciones 6.3(b), 8.1(i), 13.3(f) de la Parte General, entre otras, el riesgo de los mayores costos necesarios para ejecutar obras y, en general, cambios de Especificaciones Técnicas respecto del alcance previsto originalmente en el Contrato, que sean exigidos por cualquier Autoridad Ambiental como requisito para el otorgamiento de la Licencia o de cualquier otro permiso ambiental, es un riesgo a cargo de la ANI. 
En tal sentido comedidamente solicitamos confirmar que nada de lo previsto en otros apartes del Contrato, entre otras Secciones del Contrato pero sin limitarse a ellas, en las 1.101, 1.119, 4.13(b), 8.1(d) segundo inciso, 13.3(c) de la Parte General o cualquier otra estipulación incluida en el Contrato, incluyendo todos sus documentos, tiene el propósito ni produce el efecto de afectar ni modificar en forma alguna la asignación del riesgo a cargo de la ANI descrita en el inciso anterior.</t>
  </si>
  <si>
    <t>Parte General, Secciones 6.3(b), 8.1(i) y13.3 (f)</t>
  </si>
  <si>
    <t>La definición de Cambio Tributario introducido en la Cuarta Generación de Concesiones Viales ha demostrado ser insuficiente para garantizar la aplicación efectiva del principio de asignación eficiente del riesgo, contemplado en el artículo 4 de la Ley 1508 de 2012. Es por esto que este asunto ha sido objeto de avances importantes por parte del Gobierno para proyectos de infraestructura de transporte, como los que se ven reflejados en el Documento CONPES 3961 del 2019. Respetuosamente sugerimos a la ANI que modifique el tratamiento actual de este riesgo en la minuta del Contrato teniendo en cuenta estas importantes evoluciones.</t>
  </si>
  <si>
    <t>Parte General, Capítulo XIII</t>
  </si>
  <si>
    <t>Parte General, Sección 13.3(p)</t>
  </si>
  <si>
    <t>La Sección 13.3(k) de la Parte General, en concordancia con las Secciones 3.14(h)(v)(9) y  3.14(h)(vi)(6) de la Parte General impone una carga al Concesionario desproporcionada y evidentemente injustificada. De acuerdo con esas Secciones, si los aportes previstos son insuficientes, lo cual solo puede ocurrir por que la ANI decide, autónomamente, comprometerse con terceros a hacer pagos por sumas mayores de las que dispone, el Concesionario debe aportar, sin límite, el faltante para posterior reembolso por parte de la ANI. Esto implica una especie de crédito abierto que le da el Concesionario a la ANI, sin límite alguno, para gastos que dependen solamente de la voluntad de la ANI. Esta contingencia financiera es muy difícil de asumir por el Concesionario.</t>
  </si>
  <si>
    <t>Parte General, Sección 13.3(k)</t>
  </si>
  <si>
    <t>Comedidamente solicitamos a la ANI que se elimine lo previsto en la Sección 14.1(a)(iii) de exigir mínimo el 40% de ejecución de la Unidad Funcional para que aplique la compensación especial. Esa estipulación, originaria de los contratos de 4G, nunca ha tenido justificación alguna en tanto el Concesionario no controla en qué estado de avance pueda surgir el Evento Eximente que conlleve a la parálisis de las inversiones. Una de las consecuencias más relevantes de esa estipulación es crear una gran incertidumbre que encarece innecesariamente la financiación.</t>
  </si>
  <si>
    <t xml:space="preserve">Parte General, Sección 14.1(a)(iii) </t>
  </si>
  <si>
    <t xml:space="preserve">Por parecidas razones a las expuestas en la observación anterior, deben eliminarse las restricciones para el pago de la Compensación Especial incluidas en la Sección 14.1(b) de la Parte General. </t>
  </si>
  <si>
    <t>Parte General, Sección 14.1(b)</t>
  </si>
  <si>
    <t>Atentamente solicitamos eliminar la suspensión del pago de la Compensación Especial cuando se llegue al límite de 730 días contenida en la Sección 14.1(e) de la Parte General. Esa estipulación, que fue incluida originalmente en los contratos de 4G, ha demostrado ser impráctica, onerosa, desequilibrada y amenaza poner en riesgo la ejecución de los proyectos. No hay razón alguna para que después de que se han hecho cuantiosas inversiones por parte de un concesionario en una determinada unidad funcional, éste esté condenado a que su flujo de caja, orientado a recuperar esa inversión, incluyendo el servicio de la deuda con los financiadores, desaparezca solo por que un Evento Eximente (que por definición está fuera de su control) se demora más de 730 días en solucionarse. En ciertos casos, esto puede conducir al default en el pago de la deuda, a la insolvencia del Concesionario y, por lo tanto, al fracaso del proyecto, sin que haya mediado culpa ni falta alguna por parte del contratista.
Por demás, la eliminación de este plazo ha sido incorporada por la ANI en diversos contratos de concesión de la Cuarta Generación de Concesiones Viales.</t>
  </si>
  <si>
    <t>Parte General, Sección 14.1(e)</t>
  </si>
  <si>
    <t>Parte General, Sección 14.3</t>
  </si>
  <si>
    <t>En las Secciones 15.1(d)(iii) y (iv) de la Parte General se establece que solo habrá remuneración para los integrantes del Panel de Amigable Composición por caso solucionado. Respetuosamente sugerimos se considere remunerar mensualmente a los amigables componedores pues, para cumplir cabalmente con sus funciones y con la finalidad de esta figura –definida como permanente por la Sección 15.1(a)–, deben recibir una adecuada remuneración. 
Por favor tengan en cuenta que, de manera coherente con esa finalidad, la Sección 15.1(c)(xi) exige de los integrantes del Panel el cumplimiento de obligaciones permanentes y no solo limitadas a la solución de controversias. De hecho, de no desplegar ese esfuerzo permanente en el conocimiento detallado de la evolución del proyecto, los amigables componedores se verán en imposibilidad de resolver de manera pronta e ilustrada las controversias que se le presenten. Como es lógico, esa dedicación y trabajo exige una remuneración proporcional. 
De no incluirse esa remuneración, se corre el riesgo que las personas más idóneas para estas labores se abstengan de aceptar la designación o que no puedan realizar las actividades necesarias para estar permanente actualizados, lo que redundará en la calidad y prontitud de sus decisiones.</t>
  </si>
  <si>
    <t>Parte General, Sección 15.1</t>
  </si>
  <si>
    <t>Respetuosamente solicitamos que se incluya, en la Sección 15.1(f)(vii), la estipulación expresa de que las decisiones del Panel de Amigables Componedores no se suspenden sino que se cumplen y ejecutan mientras se tramita la solicitud de nulidad o rescisión.</t>
  </si>
  <si>
    <t>La inclusión de la causal de terminación anticipada del Contrato por orden de autoridad judicial, en la Sección 17.2(a)(iv), implica que se considera esta causal como imputable al Concesionario. Por favor explicar ¿por qué la ANI asume que toda orden judicial en ese sentido es imputable al Concesionario? De ser un error, se solicita realizar la correspondiente corrección.</t>
  </si>
  <si>
    <t>Parte General, Sección 17 (a)(iv)</t>
  </si>
  <si>
    <t>Parte General, Sección 18.3</t>
  </si>
  <si>
    <t>Parte General, Sección 18.3(c)</t>
  </si>
  <si>
    <t>En los eventos en que el Contrato de Concesión concluya por razones no imputables al Concesionario, con el propósito de responder a la estructura de financiación que soportaría el Proyecto, debería reconocerse el costo de oportunidad de los recursos inyectados. En consecuencia, solicitamos comedidamente que en el cálculo de la variable C no sólo se ajusten sus componentes por la variación del IPC, sino también por el costo estimado de capital para este tipo de proyectos (ke). De adoptarse la observación anterior, dicha actualización deberá considerar un costo análogo para los recursos de financiación complementarios.</t>
  </si>
  <si>
    <t xml:space="preserve">Con la implementación de los protocolos de bioseguridad  que entraron a regir a raíz de la COVID-19, se generarán mayores costos que impactarán las diferentes actividades de construcción,  operación y mantenimiento de la concesión (dotaciones obligatorias a suministrar regularmente  a los trabajadores  para el cumplimiento de protocolos,  aumento en la cantidad de recurso humano a vincular, el cual a su vez debe cumplir las cualidades profesionales que se exijan).  En atención a lo anterior, y dado que no se tiene certeza sobre cuanto tiempo durará la emergencia sanitaria y que además algunos de los protocolos que se implementan actualmente pueden permanecer por tiempo indefinido, se solicita que se incluyan estos factores dentro del modelo de negocio que tiene estructurado la ANI, en tanto los mismos seguramente harán parte de las especificaciones técnicas del Proyecto y, por las condiciones temporales de la Pandemia, no tuvieron cómo ser considerados durante la estructuración financiera y técnica del mismo. Adicionalmente, solicitamos respetuosamente que el Contrato de Concesión señale de manera expresa que cualquier solicitud de implementación de protocolos de bioseguridad más exigentes a los vigentes al modelo de presentación de la Oferta sea considerado como una modificación de las especificaciones técnicas y, por ende, deba ser soportado por la ANI.  </t>
  </si>
  <si>
    <t>Parte Especial, Tabla de Referencias, Numeral 1.165</t>
  </si>
  <si>
    <t>Financiera y Técnica</t>
  </si>
  <si>
    <t>El evento sanitario por coronavirus ha evidenciado que tanto las ARLs como las aseguradoras contemplarán esta nueva realidad y es posible que se incrementen los costos de seguros para la etapa de Operación y Mantenimiento.  En atención a lo anterior se solicita a la ANI indicar si ha considerado dichos efectos sobre los costos del Contrato en determinar las condiciones financieras del Proyecto.</t>
  </si>
  <si>
    <t xml:space="preserve">Las estimaciones de costos de todos los elementos que conforman el modelo financiero son del total resorte del oferente, y no es la ANI responsable de tales supuestos estimaciones. sin perjuicio de lo anterior, se le informa al observador que todas las variables de entrada para estimar los presupuestos oficiales se mueven dentro de rangos de distribuciones de probabilidad que reflejan razonablemente el comportamiento de las variables en el largo plazo.   </t>
  </si>
  <si>
    <t>De mantenerse, las medidas de prevención sanitaria necesariamente afectarán los rendimientos de actividades tanto constructivas de las Unidades Funcionales como de O&amp;M, lo cual se reflejará en el retraso para la culminación de las obras y la dificultad para el cumplimiento de los indicadores, que, a su turno, generará un impacto sobre la retribución del Concesionario si se mantienen las condiciones actuales de la minuta del contrato de concesión. Por lo anterior, se solicita que se realice la revisión de la condiciones contractuales actuales (incluyendo su impacto en la estructura financiera del Proyecto)  y se incluyan estas variables de manera que las condiciones técnicas y financieras del contrato de concesión reconozcan los impactos en la estructura financiera del Proyecto de estos nuevos rendimientos.</t>
  </si>
  <si>
    <t>Considerando que se incrementarán los costos de los rubros para la ejecución de los gestiones ambientales e implementación de los programas sociales, ya que necesariamente se deberán programar mayores jornadas de trabajo con las comunidades, respetuosamente se solicita a la ANI que se consideren estas nuevas condiciones de ejecución y cumplimiento contractual dentro del modelo de estructuración del Proyecto y, por ende, dentro de las variables económicas del Contrato de Concesión.</t>
  </si>
  <si>
    <t xml:space="preserve">Del texo de la Parte Especial, entendemos que el valor del VPIP al que se refiere esta tabla de referencia, será diligenciado considerando el valor de la Oferta Ecónomica del Adjudicatario. Por favor confirmar si nuestro enetndimiento es correcto.  </t>
  </si>
  <si>
    <t>Parte Especial, Tabla de Referencias, Numeral 1.194</t>
  </si>
  <si>
    <t xml:space="preserve">Del segundo bullet de esta Sección, entendemos que para efectos del cálculo del VPIP, los recursos que deba aportar la ANI por la aplicación de mecanismos de compensación a su cargo, se tendrán en cuenta desde el momento en que efectivamente fueron pagados al Patrimonio Autónomo, y no desde el momento en que se causó la obligación de compensación a cargo de la ANI. Por favor confirmar si nuestro entendimiento es correcto, y, de no serlo, solicitamos modificar el texto en ese sentido. kl  </t>
  </si>
  <si>
    <t>Parte Especial, Tabla de Referencias, Numeral 3.3(h)(vi)</t>
  </si>
  <si>
    <t xml:space="preserve">Solicitamos respetuosamente a la ANI señalar cuál fue el procedimiento que implementó para calcular los valores de la variable TE en cada fórmula de liquidación y evento de terminación anticipada del Contrato. </t>
  </si>
  <si>
    <t>Parte Especial, Tabla de Referencias, Numeral 18.3(3)</t>
  </si>
  <si>
    <t xml:space="preserve">En la Sección 3.7(f) de la Parte Especial se indica que cuatro (4) tramos de la infraestructura existente que hará parte del Proyecto no serán entregados para la Fecha de Inicio, sino que la ANI tendrá un plazo que ronda entre doce (12) y dieciocho (18) meses desde el inicio de la Fase de Construcción para su entrega al Concesionario. Adicionalmente, dicha Sección indica que la ANI puede entregar dicha infraestructura en cualquier estado, sin que deba garantizar que la misma cumpla con estándares mínimos de estado para su recepción por parte del Concesionario.
El anterior esquema no parece razonable considerando que los Proponentes presentarían su Oferta para el Proyecto (que incluye el costo de estas Intervenciones) con más de 40 meses de diferencia al momento en el que el Concesionario podrá verificar el estado de la infraestructura y, por ende, determinar con alguna precisión el costo de las Intervenciones específicas sobre los mismos. Por lo anterior, solicitamos respetuosamente que se incluyan estándares mínimos que la ANI deba satisfacer al momento de la entrega de los tramos respectivos y/o se le de la facultad al Concesionario de decidir autónomamente si  recibe o no dichos tramos.
 </t>
  </si>
  <si>
    <t>Por la naturaleza de los tramos definidos en la tabla de la Sección 3.6(f), no se considera procedente la inclusión de condiciones del estado para su entrega. Los tramos de la Variante el Bolo, la intersección La Herradura y la Curva Don Otto son tramos en proceso de expropiación y/o adquisición predial lo cual impide la construcción de los mismos. El tramo de Cali-Candelaria es una vía actualmente en construcción, que se incluye en esta regulación en el caso que la terminación de la construcción sea más tardía que el Acta de Inicio, y de ser así, se le entregaría al Concesionario una calzada recién construida. 
El Concesionario deberá de llevar a cabo la evaluación de la infraestructura existente (obras de drenaje incluidas) y proponer las actuaciones necesarias para su buen funcionamiento cumpliendo las Especificaciones Técnicas, en especial los Indicadores del Apéndice Técnico 4, especialmente los exigibles a la Etapa Preoperativa. 
En el Cuarto de Información de Referencia (carpeta H) se incluirá la información disponible en el acta de reversión de la concesión anterior. Esta información estará disponible a título meramente informativo acorde con las condiciones de la Sección 1.7 Cuarto de Información de Referencia del Pliego de Condiciones.</t>
  </si>
  <si>
    <t>Parte Especial, Sección 3.7(f)</t>
  </si>
  <si>
    <t xml:space="preserve">El Contrato establece que las obras asociadas al Factor de Calidad tienen un tratamiento diferente de como el Contrato asigna los riesgos ambiental, predial, social y de redes respecto de las otras obras.  Muy respetuosamente solicitamos revisar este tema y darles el mismo tratamiento que se le da a estos riesgos para las demás obras del contrato, en tanto esta es la consecuencia necesaria del principio de asignación eficiente de riesgos del que trata el artículo 4 de la Ley 1508 de 2012.
Efectivamente, si la entidad ha considerado adecuado que las Intervenciones principales tengan una asignación de los riesgos prediales, ambientales y sociales determinada, no se entiende por qué dicha distribución cambia para unas Intervenciones con características técnicas similares (como lo son las asociadas con el Factor de Calidad). Es pertinente recordar que la asignación de riesgos no es un juego de suma cero, por lo cual asignar al Concesionario (como reconoce la ANI con la asignación general de estos eventos) riesgos que son administrados más eficientemente por la ANI, termina generando un incremento general del Proyecto innecesario. Lo anterior redunda en mayores costos para la sociedad (usuarios) e indirectamente para la ANI, frente un esquema en el que los riesgos se asignen siguiendo el principio de asignación eficiente. </t>
  </si>
  <si>
    <t>Parte Especial, Sección 3.11.1</t>
  </si>
  <si>
    <t xml:space="preserve">Favor aclarar la forma y el momento en que se realizará el fondeo de esta cuenta.  Entendemos que esta cuenta se fondea al comienzo del contrato con los primeros ingresos por recaudo de peaje hasta completar el monto estipulado en la Parte Especial del Contrato.  ¿Es correcto nuestro entendimiento?  </t>
  </si>
  <si>
    <t>Parte Especial, Sección 4.5 (i)</t>
  </si>
  <si>
    <t xml:space="preserve">Considerando el propósito de la figura de plazo adicional sin sanciones, solicitamos comedidamente que el porcentaje previsto por la Minuta para el cálculo del valor diario de plazo adicional sea reducido sustancialmente. De lo contrario, consideramos respetuosamente que el incentivo buscado por esa figura respecto de la aplicación de la Multa  por no terminación de Unidad Funcional, perdería sus principales efectos. </t>
  </si>
  <si>
    <t xml:space="preserve">Parte Especial, Sección 4.10(c) </t>
  </si>
  <si>
    <t>Considerando que todas las modalidades de garantía previstas en el Contrato de Concesión,  tienen como propósito cubrir los mismos riesgos asegurables, solicitamos que se estandarice la vigencia inicial de todos los intrumentos (en especial, entre la póliza de seguro y la garantía bancaria).</t>
  </si>
  <si>
    <t>Parte Especial, Sección 7.1(a)(i) y  Sección 7.1(a)(ii)</t>
  </si>
  <si>
    <t>Entendemos que las intervenciones se harán sobre las estructuras de paraderos existentes, por lo tanto no está prevista la construcción y mantenimiento de nuevas bahías de paraderos. Favor confirmar si nuestro entendimiento es correcto.</t>
  </si>
  <si>
    <t>No es correcto su entendimiento, el Apéndice Técnico 1 aclara que las bahías de paraderos en las vías existentes hacen parte de la vía y por ende tienen las mismas obligaciones de Intervención, esto no exime que en los Estudios de Trazado y Diseño Geométrico y Estudios de Detalle se planteen nuevos paraderos o modificaciones como consecuencia de las Intervenciones del Apéndice Técnico 1, como medidas de control y mejora para el cumplimiento de los indicadores de accidentalidad de los Apéndices Técnicos 2 y 4, o como consecuencia de las auditorías de seguridad vial exigidas en el Apéndice Técnico 3.</t>
  </si>
  <si>
    <t>Apéndice Técnico 1 - Tabla 5 Nota 3</t>
  </si>
  <si>
    <t>En los tramos en los que se señala que se conserva la geometría existente este es el parámetro que prevalece, y el cumplimiento de las secciones definidas en la Ley 105 de 1993 se deberá aplicar en las Intervenciones que modifiquen la sección vial actual.</t>
  </si>
  <si>
    <t>Apéndice Técnico 1, Sección 4.2</t>
  </si>
  <si>
    <t xml:space="preserve">Teniendo en cuenta que en las tabla 6 del Apéndice Técnico 1 se establece que se conserva la geometría existente y a su vez el Apéndice Técnico 3 establece la obligatoriedad de estructurar e implementar el Sistema de Gestión de la Seguridad y Gestión Integral, en los casos en que producto de la implementación de dicho sistema resulten hallazgos asociados con la geometría existente definida en las tablas en comento y como solución se deba modificar la geometría, ¿qué estándar prevalece  (i.e. se mantiene la geometría o se debe intervenir para implementar las recomendaciones)? </t>
  </si>
  <si>
    <t>El Apéndice Técnico 1 define parámetros de mínimo cumplimiento, entre los que establece conservar la geometrría existente en los tramos de Rehabilitación y Puesta a Punto. Se aclara que esto no exime que se incluyan Intervenciones que modifiquen la geometría, como pueden ser transiciones de cotas, sobreanchos, carriles de incorporación, entre otros, para el cumplimiento de las Especificaciones Técnicas, especialmente en este caso el Manual de Diseño Geométrico para Carreteras, Manual de Consultoría e Interventoría para estudios y diseños y gerencia de proyectos en INVIAS, en lo referente al contenido y alcance de los Estudios de Trazado y Diseño Geométrico y los Estudios de Detalle - Fase III para proyectos de vías, y el Sistema de gestión de seguridad vial, entre otras especificaciones del Apéndice Técnico 3, así como el cumplimiento de los Indicadores de disponibilidad, seguridad, calidad y nivel de servicio del Apéndice Técnico 4, y los requisitos de seguridad vial del Apéndice Técnico 2.</t>
  </si>
  <si>
    <t xml:space="preserve">Se recomienda incluir la nota aclaratoria en la tabla 8, diciendo que las longitudes de las rampas de acceso y las longitudes estimadas son de referencia, ya que estas obedecerán al diseño fase III de las mismas. Apéndice 1 sección 4.2 tabla 8 y 28 </t>
  </si>
  <si>
    <t>El entendimiento es correcto y se aclara que la definición en estas tablas ya es explícita en definir que las longitudes son estimadas.</t>
  </si>
  <si>
    <t>Por favor aclarar si dentro del alcance de operación y mantenimiento de las vías existentes (tabla 11 UF 2) se incluirán los costos asociados a la iluminación.</t>
  </si>
  <si>
    <t>Dentro del alcance de operación y mantenimiento se incluyen los costos de la iluminación. Las obligaciones específicas se incluyen en el Apéndice Técnico 2, especialmente en la Sección 6.3.4. Iluminación.</t>
  </si>
  <si>
    <t>El Apéndice Técnico 1 no prevé la ejecución de obras de mejoramiento de la vía en el tramo de la vía Panorama entre Yumbo y Mediacanoa. Teniendo en cuenta las inundaciones que se han presentado sobre este sector vial en el pasado reciente (junio de 2018 y diciembre de 2011), lo cual en caso de presentarse puede afectar  el tráfico y la estabilidad de la vía,  se solicita que  los efectos de dicho tipo de eventos (menor recaudo y afectación a la infraestructura) sean asignados a la ANI.</t>
  </si>
  <si>
    <t>El Apéndice Técnico 1 define parámetros de mínimo cumplimiento, esto no exime las obligaciones de adelantar los Estudios de Detalle de hidrología, hidráulica y socavación definidos en los manuales aplicables al alcance de Rehabilitación del Apéndice Técnico 3, y adelantar los alcances de construcción de obras de drenaje definidos en los alcances de Rehabilitación de la Sección 6.2 del Apéndice Técnico 1. Además de lo anterior, el control y la gestión de la Operación permiten que el riesgo enunciado se asumido por el Concesionario.</t>
  </si>
  <si>
    <t xml:space="preserve">Teniendo en cuenta que en la tabla 11 del Apéndice Técnico 1 se establece que se debe conservar la geometría existente y a su vez dice que se debe dar cumplimiento de la Ley 105 de 93, ¿qué estándar prevalece en los eventos en que la geometría existente no cumpla con lo exigido para el efecto en la Ley 105 de 1993 (i.e. se mantiene la geometría o de debe intervenir para cumplir con dicha Ley)? </t>
  </si>
  <si>
    <t>Apéndice Técnico 1, Sección 4.3</t>
  </si>
  <si>
    <t xml:space="preserve">Se solicita que se de claridad al alcance y tipología de las obras especiales descritas en la Tabla 14, incluyendo límites de intervención. En lo referente a los retornos viales, solicitamos respetuosamente definir el tipo de vehículo de diseño y la  velocidad de diseño, entre otros aspectos.   </t>
  </si>
  <si>
    <t>Las obras especiales definidas en la Tabla 14 se consideran escenciales para la Operación, en tal sentido los parámetros geométricos deben obedecer a las condiciones de los tramos a los que pertenecen acordes con la Tabla 11 del mismo Apéndice Técnico 1. Los vehículos de diseño no tienen restricciones  excepto las obras que en su nombre se indica que son específicas para motocicletas y biciusuarios.</t>
  </si>
  <si>
    <t xml:space="preserve">Teniendo en cuenta que en las tabla 11 del Apéndice Técnico 1 se establece que se conserva la geometría existente y a su vez el Apéndice Técnico 3 establece la obligatoriedad de estructurar e implementar el Sistema de Gestión de la Seguridad y Gestión Integral, en los casos en que producto de la implementación de dicho sistema resulten hallazgos asociados con la geometría existente definida en las tablas en comento y como solución se deba modificar la geometría, ¿qué estándar prevalece (i.e. se mantiene la geometría o se debe intervenir para implementar las recomendaciones)? </t>
  </si>
  <si>
    <t>Precisar si el alcance solo incluye el acceso y salida del estadio o si también incluye la totalidad del acceso al mismo. (tabla 14)</t>
  </si>
  <si>
    <t>Se consideran las obras solo dentro del Corredor del Proyecto, es decir, se tendrá obligación de Intervenciones adosadas a la calzada del tramo Cali Palmira que permitan mejorar la operación del acceso al estadio.</t>
  </si>
  <si>
    <t xml:space="preserve">El entendimiento es correcto en el sentido que el Concesionario deberá realizar una propuesta de tipo y ubicación soportada en un estudio de análisis de flujo peatonal considerando las necesidades de cada población y del resultado de su interacción con las autoridades locales, tal como lo estipula la Sección 5.5. del Apéndice Técnico 1, por lo que el numero que como minimo debería desarrollar tambien se consigna en dicha sección. Respecto a la distribución de los puentes entre los tramos de la Unidad Funcional se incluirán aclaraciones en el Apéndice Técnico 1, en el entendimiento que los pasos peatonales entre la Avenida Ciudad de Cali y Jamundí exigidos son nuevos.
</t>
  </si>
  <si>
    <t>Apéndice Técnico 1, Sección 5.5</t>
  </si>
  <si>
    <t>En consideración a que la definición de Rehabilitación dada en el Numeral 6.2 (v) difiere de la establecida en la GUÍA METODOLÓGICA PARA EL DISEÑO DE OBRAS DE REHABILITACIÓN DE PAVIMENTOS ASFÁLTICOS DE CARRETERAS (Adoptada mediante Resolución 743 de 2009 del Ministerio de Transporte), documento que hace parte del Contrato de conformidad con el numeral 2.1 del Apéndice Técnico 3, se solicita que se de claridad de cuál definición prevalece.</t>
  </si>
  <si>
    <t>La mencionada guía está orientada a pavimentos asfálticos en carreteras, por lo tanto en su condición de tratar del componente específico de pavimentos en las Intervenciones no se entiende en contradicción con las definiciones de los Apéndices Técnicos que tratan sobre el conjunto de la infraestructura vial.</t>
  </si>
  <si>
    <t>Apéndice Técnico 1, Sección 6.2</t>
  </si>
  <si>
    <t xml:space="preserve">Solicitamos precisar la definición y alcance de "Puesta a Punto" y su diferencia con la de "Rehabilitación". Por favor confirmar si la primera incluye la actualización de la señalización de la vía e ITS.
</t>
  </si>
  <si>
    <t>En la definición de Intervenciones Prioritarias (Sección 6.2 ) hace mención de niveles de servicio definidos para la Etapa Preoperativa establecidos en el Apéndice Técnico 2, y para los cuales se establece un plazo de tres (3) meses. Considerando que para este Contrato no rigen los Niveles de Servicio se solicita que se haga la corrección en la redacción.</t>
  </si>
  <si>
    <t xml:space="preserve">Precisar si todos los procesos de consultas previas ya fueron culminados y corresponden a los relacionados en el Apéndice Técnico 1. Adicionalmente informar a cargo de cual subcuenta se cargarán todos los compromisos derivados de estas consultas. </t>
  </si>
  <si>
    <t>Apéndice Técnico 1, Capítulo IX</t>
  </si>
  <si>
    <t xml:space="preserve">Apéndice Técnico 2 - Numeral 3.3.3.1.3. </t>
  </si>
  <si>
    <t>Teniendo en cuenta que el numeral 3.3.3.2.4. (Paneles LED)  establece los requerimientos de los paneles y también define que son adicionales a los requeridos por la Policía de Carreteras en el numeral 3.3.9.2, el cual no define cantidad de paneles, ¿se debe entender que existe un error de redacción y que los paneles para la Policía hacen parte de los rubros a cubrir por parte de la Subcuenta Policía de Carreteras?
¿Este entendimiento es correcto?</t>
  </si>
  <si>
    <t>Las Secciones 5.7 del Apéndice Técnico 1 y 3.3.3.2.4 del Apéndice Técnico 2 son claras en definir que estos paneles LED no son los mismos para adquisición, entrega y reposición por parte del Concesionario a la Policía de Carreteras para que ésta pueda desempeñar sus funciones. Ahora bien, los equipos que se entregan a la Policía de Carreteras según el convenio y protocolos que se acuerden, estarán cubiertos por la Subcuenta Policía de Carreteras, la cantidad y tipo de equipos tal como lo establece la Sección 3.3.9.2 depende del convenio a suscribir con la Policía de Carreteras y es por eso que esta última Sección no define número de equipos. En este sentido no se encuentran errores de redacción.</t>
  </si>
  <si>
    <t xml:space="preserve">Apéndice Técnico 2 - Numeral 3.3.3.2.4 </t>
  </si>
  <si>
    <t>En la frase: "Garantizar a la Policía de Carreteras, en el momento en que lo requiera, el acceso a los sistemas de comunicación y plataformas informáticas instaladas por el Concesionario relacionadas con el control y seguimiento del tránsito y la seguridad vial" se solicita cambiar la palabra "garantizar" por "Coordinar con .." ya que el uso indebido de los sistemas de comunicación de la concesión pueden afectar los tiempos de atención en la operación.</t>
  </si>
  <si>
    <t>No se acepta su solicitud. A lo largo de las condiciones de Operación y Mantenimiento se definen las herramientas de coordinación con la Policía de Carreteras, como es el acuerdo de convenios y procotolos, así como la implantación de un sistema de comunicaciones que no restringe el uso de capas y usuarios a establecer por el Concesionario, por lo tanto no se entiende necesaria la reiteración de la coordinación en la mencionada frase.</t>
  </si>
  <si>
    <t>Apéndice Técnico 2 - Numeral 3.3.9.1</t>
  </si>
  <si>
    <t>Teniendo en cuenta que el numeral 3.3.9.2, establece que "Además de lo anterior, con los recursos de la Subcuenta Policía de Carreteras el Concesionario deberá proveer: Viáticos o auxilios para el personal de la Policía de Carreteras (…)", y a su vez define que "será determinado conjuntamente entre la Policía de Carreteras, el Concesionario y la Interventoría, acorde con los recursos fondeados", ¿se debe entender que los recursos destinados para los viáticos ya se encuentran cubiertos a través de la Subcuenta Policía de Carreteras?
¿Este entendimiento es correcto?</t>
  </si>
  <si>
    <t>El entendimiento es correcto, los recursos destinados para los viáticos se encuentran en la Subcuenta Policía de Carreteras.</t>
  </si>
  <si>
    <t>Apéndice Técnico 2 - Numeral 3.3.9.2</t>
  </si>
  <si>
    <t>3.3.10. Centro de Control de Operaciones y Sistemas de Comunicación
Teniendo en cuenta que como parte de las obligaciones se establece que "a todo lo largo de la(s) vía(s) deberá implantar un sistema que incluya fibra óptica y sus canalizaciones", se solicita que se informe si esta obligación rige para los tramos en los que tienen Reversión Especial (numeral 3.10 del Contrato Parte Especial)</t>
  </si>
  <si>
    <t>La red de fibra óptica se incluye para soportar el sistema de comunicaciones que se utilizará en la Etapa de Operación y Mantenimiento, por lo cual su utilidad es para los tramos en los que se incluyen obligaciones en esa etapa y no es necesaria para los tramos en los que la Reversión Especial ocurre con la Terminación de la Unidad Funcional. Para esto se diferencian las intervenciones de Puesta a Punto en los alcances del Apéndice Técnico 1, sin embargo para mayor claridad se incluirán notas al respecto en dicho apéndice.</t>
  </si>
  <si>
    <t xml:space="preserve">Apéndice Técnico 2 - Numeral 3.3.10.1 </t>
  </si>
  <si>
    <t xml:space="preserve">Se solicita unificar el periodo de cura para este indicador en  una  (1)  semana </t>
  </si>
  <si>
    <t>Se aclara que el Tiempo Máximo de Corrección no se debe confundir con el Plazo de Cura de la Sección 10.2 de la Parte General. En el entendimiento que la observación es sobre el Tiempo Máximo de Corrección, la solicitud no es procedente porque en la Etapa de Operación y Mantenimiento el Concesionario tiene elementos suficientes para detectar la formación de baches antes del ciclo mensual de medición del indicador, con lo cual es posible atender la corrección en el plazo establecido.</t>
  </si>
  <si>
    <t>Apéndice Técnico  4 Tabla 1 – Indicadores exclusivos para Pavimento Flexible. INDICADOR  E6 
Etapa Preoperativa:
1 semana
Etapa de Operación y Mantenimiento:
24 horas"</t>
  </si>
  <si>
    <t>Se aclara que el Tiempo Máximo de Corrección no se debe confundir con el Plazo de Cura de la Sección 10.2 de la Parte General. En el entendimiento que la observación es sobre el Tiempo Máximo de Corrección. La solicitud no es procedente porque en la Etapa de Operación y Mantenimiento el Concesionario tiene elementos suficientes para detectar daños en la señalización antes del ciclo mensual de medición del indicador, con lo cual es posible atender la corrección en el plazo establecido.</t>
  </si>
  <si>
    <t>Apéndice Técnico  4 Tabla 1 – Indicadores exclusivos para Pavimento Flexible. INDICADOR  E11</t>
  </si>
  <si>
    <t>Se solicita que los costos asociados a los convenios suscritos para el traslado de redes con los propietarios y/o administradores de las mismas sean reconocidos por medio de la subcuenta redes del contrato.</t>
  </si>
  <si>
    <t>Se aclara en el entendimiento que la observación se refiere a la Seccción 3.2.1 (d), dicha sección se refiere a los costos de los procesos de gestión, los cuales deben ser asumidos por el Concesionario, por lo que su solicitud no procede. En cuanto a los costos derivados de los convenios, en línea con lo definido en las Secciones 3.14(g)(vii) y 8.2 de la Parte General, la Subcuenta Redes se destinará al traslado y/o protección de las Redes.</t>
  </si>
  <si>
    <t>Apéndice Técnico 5  Sección 3.1(d) Gestiones con las empresas titulares de las Redes
El Concesionario deberá adelantar, con los propietarios, gestores y/o administradores – según sea el caso- de cada una de las Redes, a su cuenta y riesgo, todos los procesos de gestión requeridos por la Ley Aplicable para acordar y aplicar, mediante los instrumentos respectivos, las condiciones relativas al diseño definitivo, costeo, pago e implementación de la soluciones respectivas, entre ellos, los requeridos en la Sección 3.2.1(e) de este Apéndice."</t>
  </si>
  <si>
    <t>De este texto, entendemos que para iniciar la Fase de Construcción se requiere demostrar la adquisición y/o disponibilidad del 40% de la totalidad de los predios a adquirir en el Proyecto, y no de la primera unidad funcional, como parece señalar la Parte General. Por favor confirmar si nuestro entendimiento es correcto.</t>
  </si>
  <si>
    <t xml:space="preserve">Apéndice Técnico 7
Capítulo II. Definiciones
Numeral 2.6
</t>
  </si>
  <si>
    <t>Entendemos que al hacer referencia al numeral  8.2 (d) de la Parte General del Contrato, se está haciendo es referencia es al  numeral 7.2 (d), toda vez que el numeral 8.2 (d) trata la interferencia con Redes.
Adicionalmente, se solicita aclarar el procedimiento para la aprobación y el reembolso de los recursos que le corresponden a la ANI en el proceso de Adquisición Predial, posterior a la ejecución del 120% de la subcuenta predial. Lo estipulado en el literal f) de la sección 7.2 de la Parte General difiere del proceso definido en el Apéndice Técnico 7, sección 8.3, literal d).</t>
  </si>
  <si>
    <t>Apéndice Técnico 7
Capítulo VIII. Varios
Numeral 8.3 Costos de la Gestión Predial y la Adquisición de los Predios
Literal b) y d) 
pág. 56</t>
  </si>
  <si>
    <t>Durán &amp; Osorio Abogados, 15/05/2020</t>
  </si>
  <si>
    <t>Frente a la necesidad de Licencia Ambiental para cada UF, el alcance del Apéndice Técnico 1 plantea que se debe especificar las UF, tramos y actividades que requieren Licencia Ambiental y las que requieren el Programa de Adaptación de la Guía de Manejo Ambiental, solicitamos a la Entidad confirmar para cada UF si requiere licencia ambiental. Esto con el fin, de poder adelantar con mayor eficacia el trámite de permisos y licencias ambientales necesarias para la ejecución del proyecto.
Adicioalmente, dentro de los documentos del proceso se encuentra un documento de la ANLA con Radicación: 2018103504-2-000 Fecha: 2018-08-01 18:42 - Proceso: 2018103504, el cual señala el análisis para ““Construcción de vía nueva en doble calzada en el tramo comprendido entre la Av. Ciudad de Cali prolongación hasta Jamundí”, sin embargo, al revisar el documento encontramos que no concuerda con ningún tramo y/o UF planteados en el alcance del proyecto. Por lo tanto, solicitamos a la Entidad aclarar si esta respuesta de la ANLA,  se refere expresamente a las UF3 - Vía Bicentenario?</t>
  </si>
  <si>
    <t>Documento ANLA con Radicación: 2018103504-2-000 Fecha: 2018-08-01 18:42 - Proceso: 2018103504</t>
  </si>
  <si>
    <t>Frente a la obligación no. 27 a cargo del Concesionario, deriviada de la consulta previa con el Consejo Comunitario Bocas del Palo, establece el Apéndice Técnico 1 que: “El concesionario o ejecutor del proyecto garantizará la suficiencia de las obras construidas para el manejo de escorrentía: para lo cual se construirán 44 obras hidráulicas (cajones, alcantarillas y puentes). Así mismo, se evaluará la necesidad de obras adicionales. En los puntos de preocupación de la comunidad (zanjón Potrerillo, intersección de la vía nueva con la vía de la comunidad y por el paso de la vía cercana al bosque Colindres) se estipulan las siguientes obras de drenaje: Zanjón Potrerillo: 1 alcantarilla, un puente de 70 metros de luz y 1 box coulvert; en la intersección y el bosque: 5 alcantarillas y 2 box coulvert (uno de 5 x 2 y otro de 1 x 1), en una menor distancia (en promedio menor a los 50 metros estipulados para el resto de las obras de drenaje). Para el caso de la consulta previa”.
Al respecto, solicitamos respetuosamente a la ANI, publicar los documentos correspondientes al diseño y para la identificación de la ubicación exacta de las obras a las que se refiere a obligación en cuestión. Adicionalmente, solicitamos que la Entidad publique los documentos para la localización exacta del puente de 70 metros al que se refiere la obligación y que aclare si el puente está adentro del corredor objeto del contrato. Finalmente, solicitamos a la Entidad que indique si el puente atraviesa en algún punto la UF3, en caso que la respuesta se afirmativa, solicitamos se indique quién responde por los costos derivados de la ejecución del puente?</t>
  </si>
  <si>
    <t>La definición de estas Obras se hizo con los diseños del Cuarto de Información de Referencia (Sección 1.7 del Pliego de Condiciones), y se refiere a cumplir con la construcción de obras de drenaje, protecciones de terraplenes y otras obras adecuadas y acordes con la evaluación de impactos desarrollada durante la consulta previa. Según estos antecedentes, los Estudios de Detalle elaborados por el Concesionario podrán adaptar las soluciones propuestas de drenaje, protecciones, entre otras, que respondan a un adecuado manejo de los impactos, e incluir estas disposiciones dentro del plan de trabajo para la ejecución de los acuerdos y compromisos adquiridos con las comunidades étnicas en los procesos de consulta previa protocolizados. Dicho plan de trabajo contemplará los seguimientos de los acuerdos acordes con la Ley Aplicable, en los que pueda actualizarse el estado del Proyecto y los planteamientos de las Intervenciones a realizar. 
Se aclara que estas obras, incluido el puente en mención, corresponden a las Intervenciones  de la Infraestructura Proyectada del Capítulo IV del Apéndice Técnico 1.</t>
  </si>
  <si>
    <t>Apéndice Técnico 1. Pag 61</t>
  </si>
  <si>
    <t>Social y técnico</t>
  </si>
  <si>
    <t>La sección 7.2.1. del apéndice técnico 1, propone el mejoramiento de las obras que se consideran como obras por Factor de Calidad. Para el caso de la vía “(a) Vía la Herradura – Matapalo”, se indica que es una vía que hace parte de la red terciaria perteneciente al municipio de Palmira, y que está localizada hacia el costado noroeste del casco urbano del municipio, hacia el costado posterior del Aeropuerto internacional ABA. Sobre este tramo encontramos que no se plantea ningún tipo de control e identificamos que es un punto muy crítico de elusión para el tráfico del corredor SUR DE COLOMBIA-MULALÓ-LOBOGUERRERO, cuando entre en funcionamiento el tramo ANI Mulaló-Loboguerrero, pues justamente el sector Mulaló-Pavas está planeado en calzada sencilla y se conectaría a través de la intersección Mulaló con la intersección Cali-Palmira 5 (Palmira-Cerrito en la gráfica), como se muestra a continuación, evitando el paso por el peaje CIAT (CIAT 3).
Teniendo en cuenta lo anterior, consideramos importante que la ANI revise el trazado de la vía y estudie la posibilidad de que la misma se convierta en una vía de elusión.</t>
  </si>
  <si>
    <t xml:space="preserve">Se reitera que la vía la Herradura – Matapalo es terciaria que conecta dos corregimientos rurales del municipio de Palmira, y como tal las Intervenciones corresponden a esa categoría vial y no se pretende llevarla a canalizar el tráfico pesado de larga distancia. Siendo una vía existente los riesgos de elusión pueden ser valorados por el oferente, así como las medidas para gestionarlo, para presentar su Oferta.
</t>
  </si>
  <si>
    <t>Sección 3,3(g)(iv) y Apéndice tecnico 1 factor de calidad 7.2.1</t>
  </si>
  <si>
    <t>De acuerdo con esta sección, los Oferentes deberán verificar las características de los equipos requeridos. En este sentido se solicita a la Entidad suministrar el detalle del equipamiento instalado en la actualidad en las estaciones de peaje y zonas de pesaje existentes, en aras de lograr una verificación integral de la información del proyecto.  Adicionalmente se solicitan los porcentajes de confiabilidad de dichos equipos en la actualidad. Lo anterior, dado que dentro los estudios realizados para la estructuación no se tiene información al respecto.</t>
  </si>
  <si>
    <t>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Adicionalmente, se informa que la entidad que actualmente está cargo de la infraestructura de operación mencionada es el INVIAS.</t>
  </si>
  <si>
    <t>OPERATIVA Y TÉCNICA</t>
  </si>
  <si>
    <t>Dentro de la información revisada en los Apéndices Técincos 1 y 2 , no se encontró la descripción de los sistemas y dispositivos de iluminación. Por lo tanto, solicitamos respetuosamente a la Entidad confirmar si estos dispositivos se van a contemplar en la implementación de sistemas ITS en el corredor. Lo anterior en razón del Anexo 4A, Módulo I, Numeral (viii.3), en donde enuncian los requerimientos mínimos a implementarse en un corredor vial.  De ser afirmativa la respuesta anterior, solicitamos a la Entidad que publique la información correspondiente, pues es necesario conocer las especificaciones, requerimientos y criterios de instalación, entre otros, tal y como lo describen con todos los otros elementos ITS.</t>
  </si>
  <si>
    <t>Sí se incluyen obligaciones de inclusión de iluminación. Las obligaciones específicas se incluyen en el Apéndice Técnico 2, especialmente en la Sección 6.3.4. Iluminación. Se aclara que aparte de estas condiciones y los puntos y tramos específicos que se incluyen en el Apéndice Técnico 1 para la inclusión de iluminuación, no hay restricciones en su definición más allá del cumplimiento de la normativa relacionada en el Apéndice Técnico 3, por lo que bajo estas condiciones podrá ser definida por el Concesionario.
Se aclara que el mencionado Anexo 4A no hace parte del Contrato de Concesión por lo tanto no determina obligaciones para el Concesionario.</t>
  </si>
  <si>
    <t>De acuerdo, a la información de esta sección, solicitamos a la ANI que aclare si las estaciones de pesaje existentes en el proyecto cumplen con estas características requeridas.</t>
  </si>
  <si>
    <t>Las estaciones de pesaje existentes requieren adecuaciones para cumplir con la Sección 5.2 del Apéndice Técnico 1. 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Adicionalmente se informa que el INVIAS es la entidad que actualmente está cargo de la operación de las estaciones de pesaje.</t>
  </si>
  <si>
    <t>ANEXO TÉCNICO 1 ALCANCE DEL PROYECTO-5.2-Estaciones de Pesaje-(iv) Básculas fijas con un ancho que permita el paso de camiones de 6 ejes y una pendiente máxima de las rampas de acceso y salida de tres por ciento (3%).</t>
  </si>
  <si>
    <t>De acuerdo con el Anexo 4A, Modulu I, Numeral (viii.3), se define el siguiente elemento como parte de los sistemas ITS:  Frecuencias moduladas de radio para la administración de la vía misma y de infraestructuras asociadas tales como túneles, puentes y viaductos.  Sin embargo, dentro de los documentos publicados, no se encontró la descripción y los requerimientos de dicho elemento para la totalidad del proyecto. En este sentido, se solicita a la Entidad publicar la información correspondiente.</t>
  </si>
  <si>
    <t>Se aclara que las Especificaciones Técnicas no incluyen la condición de "Frecuencias moduladas de radio para la administración de la vía misma". Al respecto deben considerarse las condiciones definidas en los Apéndices Técnicos en cuanto a los sistemas de comunicaciones para que el Concesionario los defina en los Estudios de Detalle, especialmente según los principios básicos de la Sección 5.4 del Apéndice Técnico 1 "... contempla que el Concesionario(i) tenga capacidad de intercomunicarse de forma inmediata y permanente dentro del Proyecto, esto es entre el(los) Centro(s) de Control de Operación, Áreas de Servicio, las Estaciones de Peaje, y demás instalaciones destinadas a la Operación del Proyecto, (ii) tenga comunicación eficiente y adecuada con los usuarios que además le permita garantizar que se les da un servicio adecuado para cumplir con el Contrato y (iii) tenga la capacidad de transmitir información a la ANI de forma inmediata como se establece en el dicho Apéndice....", y la Sección 3.3.10.1 del Apéndice Técnico 2 "Con objeto de instalar todos los sistemas operacionales dentro de los plazos previstos para ello, el Concesionario deberá implantar un sistema de comunicaciones que cubra las exigencias de este Contrato. Para ello, a todo lo largo de la(s) vía(s) deberá implantar un sistema que incluya fibra óptica y sus canalizaciones, a través del cual se integren todos los elementos de los sistemas de control de tráfico (ITS),...". 
Ahora bien, cabe mencionar que los Apéndices Técnicos contienen disposiciones sobre túneles para el caso que el Concesionario incluya túneles en las Intervenciones aun cuando este no es un alcance obligatorio, que en varios apartes incluye disposiciones sobre radio comunicaciones.</t>
  </si>
  <si>
    <t>TÉCNICO</t>
  </si>
  <si>
    <t>Dentro de las características técnicas descritas en la presenten sección, no se incluye el video para estos dispositivos, por lo tanto, solicitamos a la Entidad revisar la necesidad de este requerimiento y de ser el caso, publicar la información faltante.</t>
  </si>
  <si>
    <t>Las señales de vídeo en esta Sección se refieren al sistema de comunicaciones, y no en específico a los postes SOS. La adopción de sistemas de vídeo, adicional a los requisitos específicos sobre CCTV que se definen en el Apéndice Técnico 2, dependen de las definiciones propias del Concesionario para la vigilancia de la vía y en tal sentido deben ser planteados en los Estudios de Detalle.</t>
  </si>
  <si>
    <t>Dentro de la información publicada, encontramos que los documentos se refieren únicamente a las básculas dinámicas y puesto que no hay referencias a las básculas estáticas, se solicita a la Entidad, que se describan las especificaciones mínimas de éstas, teniendo en cuenta  los equipos existentes en el Proyecto.</t>
  </si>
  <si>
    <t xml:space="preserve">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Se informa adicionalmente que la entidad que actualmente está cargo de la operación de las estaciones de pesaje que conformarán el Corredor del Proyecto es el INVIAS.
</t>
  </si>
  <si>
    <t>Teniendo en cuenta que los equipo de pesaje actuales llevan operando 18 años y no se sabe si han sido actualizados, es necesario conocer la confiabilidad de los equipos, puesto que sin lo anterior, el Concesionario no se podría comprometer con niveles de confiabilidad donde solo tenga un error del 1% con dichos equipos desde un inicio sin haberles hecho algún tipo de intervención y/o actualización. En este sentido, se solicita a la ANI aclar si esta condición de "inicio" se refiere al momento después de terminada la Etapa de Construcción, en caso contrario suministrar la información pertiente. Lo anterior, porque en los estudios de estructuración no se encuentra información sobre la confiabilidad de las básculas.</t>
  </si>
  <si>
    <t>En el Anexo 4A Módulo I, Numeral (viii.3), se define el siguiente elemento como parte de los sistemas ITS: Frecuencias moduladas de radio para la administración de la vía misma y de
infraestructuras asociadas tales como túneles, puentes y viaductos. Sin embargo, dentro de los documentos publicados, no se encontró la descripción y los requerimientos de dicho elemento para la totalidad del proyecto. En este sentido, se solicita a la Entidad publicar la información correspondiente.</t>
  </si>
  <si>
    <t>Se aclara que las Especificaciones Técnicas no incluyen la condición de "Frecuencias moduladas de radio para la administración de la vía misma". Al respecto deben considerarse las condiciones definidas en los Apéndices Técnicos en cuanto a los sistemas de comunicaciones para que el Concesionario los defina en los Estudios de Detalle, especialmente según los principios básicos de la Sección 5.4 del Apéndice Técnico 1 "... contempla que el Concesionario(i) tenga capacidad de intercomunicarse de forma inmediata y permanente dentro del Proyecto, esto es entre el(los) Centro(s) de Control de Operación, Áreas de Servicio, las Estaciones de Peaje, y demás instalaciones destinadas a la Operación del Proyecto, (ii) tenga comunicación eficiente y adecuada con los usuarios que además le permita garantizar que se les da un servicio adecuado para cumplir con el Contrato y (iii) tenga la capacidad de transmitir información a la ANI de forma inmediata como se establece en el dicho Apéndice....", y la Sección 3.3.10.1 del Apéndice Técnico 2 "Con objeto de instalar todos los sistemas operacionales dentro de los plazos previstos para ello, el Concesionario deberá implantar un sistema de comunicaciones que cubra las exigencias de este Contrato. Para ello, a todo lo largo de la(s) vía(s) deberá implantar un sistema que incluya fibra óptica y sus canalizaciones, a través del cual se integren todos los elementos de los sistemas de control de tráfico (ITS),...". 
Ahora bien, cabe mencionar que los Apéndices Técnicos contienen disposiciones sobre túneles para el caso que el Concesionario incluya túneles en las Intervenciones aun cuando este no es un alcance obligatorio, que en varios apartes incluye disposiciones sobre radio comunicaciones.</t>
  </si>
  <si>
    <t>Dentro de la información publicada en el Cuarto de Datos (ANI Estudios y Análisis Adicionales), no se encuentran descritos los sistemas de ilumianción dentro de los elementos de ITS, y a los que hace referencia el documento Anexo 4A Módulo I, Numeral (viii.3). En este sentido, solicitamos incorporar la información correspondiente al cuarto de datos.</t>
  </si>
  <si>
    <t xml:space="preserve">Teniendo en cuenta que al inicio de la operación se utilizarán los equipos con que actualmente cuenta la concesión en la actualidad, equipos que presentan un nivel de disponibilidad del 99%, es de nuestro entendimiento que la UF0 inicia operando con los equipos existentes, independientemente del estado en que se encuentren? Solicitamos a la Entidad aclarar si nuestro entendimiento es correcto. Adicionalmente, solicitamos que se indique si se cuenta con un estudio del estado actual de lo mismos?  Lo anterior dado que se tiene conocimiento de que los equipos fueron instalados hace más de 10 años. En este sentido les pedimos aclarar que pasa ante una falla de dichos equipos en el periodo inicial del contrato. </t>
  </si>
  <si>
    <t>TÉCNICA Y OPERATIVA</t>
  </si>
  <si>
    <t>Teniendo en cuenta lo que establece la sección en cuestión, solicitamos a la Entidad que confirme si los equipos que se tienen actualmente y que serán entregados al concesionario para su operación,  cumplen con estos requerimientos en su totalidad? O se debe entender que se pueden usar durante la Fase Preoperativa así no cumplan con las espcificaciones del Apendice Técnico 2, particularmente las condiciones de Operación y Mantenimiento?  En este sentido, solicitamos a la ANI respetuosamente que aclare la aplicación y el alcance del apéndice en cada Fase del Proyecto.</t>
  </si>
  <si>
    <t>ANEXO TÉCNICO 2 CONDICIONES DE OPERACIÓN Y MANTENIMIENTO-3.3.10.2. -Sistemas de Comunicación-La información que el Concesionario deberá suministrar a la ANI y a la Policía de Carreteras en tiempo real mediante un WEB SERVICES a través de Internet será, como mínimo, la siguiente:
Vehículos por categoría y por sentido en cada estación de peaje, esta información se reportará mínimo una vez por hora (mínimo 24 reportes al Día) y adicionalmente un consolidado diario.
Recaudo por categoría de vehículo por peaje y por sentido (únicamente a la ANI), esta información se reportará mínimo una vez por hora (24 reportes al Día) y un consolidado diario.
Imágenes de todas las cámaras de video instaladas en las vías (entendiendo por tiempo real no menos de 10 cuadros por segundo en las tramas de video, con una resolución de mínimo 320 por 240 pixeles).
Información de accidentes identificados o reportados en la(s) vía(s), dando una tipificación del accidente y el km donde se reporta el mismo, esta información se reportará mínimo una vez por hora (24 reportes al Día) y un consolidado diario.
Información sobre las condiciones meteorológicas en la(s) vía(s), por Unidad Funcional, así como en las estaciones de peaje y el Centro de Control de Operaciones esta información se reportará mínimo una vez por hora (24 reportes al Día) y un consolidado diario.
Mensajes desplegados en los paneles de información fijos, detallando el mensaje y la periodicidad con la que pasa.</t>
  </si>
  <si>
    <t>Respetuosamente solicitamos a la Entidad que se publique en el Cuarto de Datos, la información correspondiente a los tráficos diarios por categoría, por sentido de cada una de las estaciones de peaje de los últimos 5 años,  esto con el objetivo de realizar el dimensionamiento correspondiente.</t>
  </si>
  <si>
    <t>La información de estudios de tráfico puede consultarse en la Carpeta 0A del Cuarto de Información de Referencia. Esta información será a título meramente informativo según la Sección 1.7 del Pliego de Condiciones, De otra parte se precisa que desde la reversión del corredor, la operación de las estaciones de peaje se encuentran a cargo del INVIAS, por lo que la obtención de la información complementaria hará parte de debida diligencia del oferente.</t>
  </si>
  <si>
    <t xml:space="preserve">Teniendo en cuenta la información de la presente sección, se solicita a la Entidad confirmar si la tecnología actual de los peajes cumple con el requerimiento de "Autorización del cargo de la tarjeta débito o crédito por el monto correspondiente". Asimismo, solicitamos que se aclare desde que momento es aplicable dicho requerimiento. </t>
  </si>
  <si>
    <t>OPERATIVA - TÉCNICA Y FINANCIERA</t>
  </si>
  <si>
    <t xml:space="preserve">Teniendo en cuenta que el concesionario opera desde el inicio del Contrato con los equipos instalados en la actualidad, solicitamos a la Entidad publicar la información correspondiente al stock e inventario de partes y repuestos con los que se cuenta en la actualidad para la tecnología instalada. O se debe entender que este requerimiento aplica para el inicio de la Etapa de Operación, se solicita aclarar este punto? </t>
  </si>
  <si>
    <t xml:space="preserve">Se informa al interesado que los peajes actualmente se encuentran en operación dentro del Contrato de APP 1059-2016 de INVIAS. Por lo que le corresponderá al Oferente en su debida diligencia consultar al INVIAS sobre la información actual, así como de las necesidades de adecuación de las estaciones de peaje de acuerdo con las obligaciones consignadas  en la versión de pliegos definitivos </t>
  </si>
  <si>
    <t>Teniendo en cuenta los requerimientos de control a los que se refiere el presente numeral, solicitamos a la ANI confirmar si los equipos que actualmente posee la concesión cumplen con dichos requerimientos? O se debe entender que éste aplica para el inicio de la Etapa de Operación, se solicita aclarar este punto?</t>
  </si>
  <si>
    <t>Teniendo en cuenta la información de la correspondiente sección, solicitamos a la Entidad indicar ¿Cuál es la vida útil remanente de los equipos actualmente instalados?</t>
  </si>
  <si>
    <t>Se informa al interesado que los peajes actualmente se encuentran en operación dentro del Contrato de APP 1059-2016 de INVIAS. Si bien estas estaciones operan con equipos de control de tránsito, estos no cumplen con todas las condiciones de la Sección 3.3.4.5 del Apéndice Técnico 2, por lo tanto se espera que la debida diligencia del Oferente determine las necesidades de adecuación de las estaciones de peaje de acuerdo con las obligaciones consignadas  en la versión de pliegos definitivos .</t>
  </si>
  <si>
    <t>Teniendo en cuenta los requerimientos exigidos en los Apéndices Técnicos y por los indicadores establecidos en el Apéndice Técnico 4, solicitamos a la Entidad que confirme si los equipos que  posee la infrestructura existente cumplen con los mismos? O se debe entender que el cumplimiento de este requerimiento aplica al inicio de la Etapa de Operación, se solicita aclarar este punto?</t>
  </si>
  <si>
    <t xml:space="preserve">Se informa al interesado que los peajes actualmente se encuentran en operación dentro del Contrato de APP 1059-2016 de INVIAS. Si bien estas estaciones operan con equipos de control de tránsito, estos no cumplen con todas las condiciones de la Sección 3.3.4.5 del Apéndice Técnico 2, por lo tanto se espera que la debida diligencia del Oferente determine las necesidades de adecuación de las estaciones de peaje de acuerdo con las obligaciones consignadas  en la versión de pliegos definitivos </t>
  </si>
  <si>
    <t>Al respecto, solicitamos a la Entidad confirmar si éste requerimiento aplica para los peajes unidireccionales</t>
  </si>
  <si>
    <t>Se aclara que la aplicación es análoga en las estaciones unidireccionales por el sentido del flujo, se aclarará en la redacción del Apéndice Técnico 2.</t>
  </si>
  <si>
    <t>Teniendo en cuenta la información correspondiente a este numeral, solicitamos respetuosamente a la ANI que aclare este requerimiento indicando un número mínimo de equipos de control de tráfico a instalar.</t>
  </si>
  <si>
    <t>Esta definición corresponde al Concesionario según desarrolle los Estudios de Trazado y Diseño Geométrico, y los Estudios de Detalle, y su estrategia para cumplir los requisitos de Operación y Mantenimiento. Estas ubicaciones deberán cumplir como minimo lo dispuesto en el numeral 3.3.5.1.Sistema de Control de Tráfico.</t>
  </si>
  <si>
    <t>Dentro de la información publicada, especificamente  en los Apéndices Técnicos 1 y 2, no se encontró la descripción de los sistemas y dispositivos de iluminción. En este sentido, se solicita amablemente a la Entidad que confirme si estos dispositivos se van a contemplar en la implementación de sistemas ITS en el corredor. Lo anterior en razón del Anexo 4A Módulo I, Numeral (viii.3), donde enuncian los requerimientos mínimos a implementarse en el corredor vial. Por lo tanto consideramos necesario que la Entidad publique la información correspondiente para  conocer las especificaciones, requerimientos y criterios de instalación entre otros tal y como lo describen con todos los otros elementos ITS.</t>
  </si>
  <si>
    <t>De acuerdo con la información publicada, se encontró que para los gálibos o sensores de altura se solicita que los mismos sean tipo láser, solicitamos a la Entidad que indique si existen otro tipo de requerimientos mínimos para este elemento? Adicionalmente, solicitamos que confirme si las cantidades requeridas incluyen los gálibos para puentes peatonales y vehiculares?</t>
  </si>
  <si>
    <t>Se informa al interesado que No se tienen requerimientos adicionales referentes a controles de altura a parte de lo definido en la sección 3.3.5.1 Sistema de Control de Tráfico. De otra parte, podrá consultar la información sobre la actual infraestructura en el acta de reversión de la concesión anterior, esta información estará disponible a título meramente informativo acorde con las condiciones de la Sección 1.7 Cuarto de Información de Referencia del Pliego de Condiciones. Finalmente, le corresponderá al Concesionario adelantar los estudios necesarios para la ejecución de las Intervenciones en el nivel de detalle requerido en el Contrato, y cumpliendo con lo dispuesto en los Apéndices Técnicos.</t>
  </si>
  <si>
    <t>Cuarto de Datos ANI
ESTUDIOS Y ANÁLISIS ADICIONALES-3.3.8. -4.4	GENERALIDADES - 4.4.1.1.1	Equipamiento ITS Cielo abierto-Los corredores viales como autopistas para controlar su operación se provee de algunos sistemas como los siguientes:
•	Sistema de telefonía de emergencia (TSOS)
•	Sistema de análisis de tráfico (SAT)
•	Sistema de control de gálibo o altura (SCGA)
•	Sistema de señalización variable (SSV)
•	Circuito cerrado de Televisión (CCTV)
•	Sistema de Medición Ambiental (SMA)
•	Sistema Red de comunicaciones (SCRC)
•	Sistema de pesaje (SPA)
•	Sistema de Comunicaciones de Radio (SCR)</t>
  </si>
  <si>
    <t>Frente a la sección en cuestión, se solicita a la Entidad brindar información más detallada, pues es necesario acotar los condicionantes de este requerimiento para poder identificar la cantidad adecuada de este elemento, ya que las características geométricas del proyecto se realizan en tramos rectos, llanos y zonas con curvas. En este sentido, solicitamos a la ANI confirmar si este punto se tiene que considerar para todo el Proyecto? Adicionalmente, se solicita a la entidad establecer las cantidades mínimas por Unidades Funcionales.</t>
  </si>
  <si>
    <t>Cuarto de Datos ANI
ESTUDIOS Y ANÁLISIS ADICIONALES-4.5.2.1.1-4.5.2 	Sistema de Análisis de Tráfico.  Justificación de equipos-Los equipos se instalarán en la medida de lo posible cumpliendo los siguientes condicionantes:
•	Tramos rectos
•	Tramos llanos
•	Antes de zonas de curvas (500 metros antes).</t>
  </si>
  <si>
    <t>Frente a la sección indicada, se solicitada amablemente a la Entidad hacer claridad sobre la recomendación y la sugerencia, pues se contradicen entre sí, puesto que se recomienda una tecnología no invasiva y abajo se sugiere considerar invasiva.</t>
  </si>
  <si>
    <t xml:space="preserve">Se informa al interesado que los documentos contenidos en el Cuarto de Información de Referencia se suministran únicamente a título informativo, acorde con las condiciones de la Sección 1.7 Cuarto de Información de Referencia del Pliego de Condiciones. No se dislumbra la contradicción mencionada. Finalmente, le corresponderá al Concesionario adelantar los estudios necesarios para la ejecución de las Intervenciones en el nivel de detalle requerido en el Contrato, y cumpliendo con lo dispuesto en los Apéndices Técnicos. Por lo que no procede la solicitu de confirmación y se mantiene la obligación establecida en los Apéndices, especialmente la sección 3.3.5.1. Sistema de Control de Tráfico del Apéndice técnico 2, donde se establecen condiciones minimas. </t>
  </si>
  <si>
    <t>Frente a la sección en cuestión, se solicita a la Entidad indicar cuál sería el requerimiento de las pantallas para las Intersecciones de los Corredores. Adicionalmente, es de nuestro entendimiento que este requerimiento aplica desde el inicio de la Etapa Operativa?</t>
  </si>
  <si>
    <t>Se informa al interesado que los documentos contenidos en el Cuarto de Información de Referencia se suministran únicamente a título informativo. Corresponderá al Concesionario adelantar los estudios necesarios para la ejecución de las Intervenciones en el nivel de detalle requerido en el Contrato, y cumpliendo con lo dispuesto en los pliegos definitivos y sus respectivos Apéndices Técnicos.</t>
  </si>
  <si>
    <t>Cuarto de Datos ANI ESTUDIOS Y ANÁLISIS ADICIONALES-1.1.1.16-Criterios Generales de Ubicación -
Las pantallas de información y señalización e información dinámica tipo LED se instalarán en puntos críticos y a 1 km de una variante.</t>
  </si>
  <si>
    <t>Respecto de este numeral, se solicita a la Entidad que indique y defina si dentro del proyecto se está considerando ls instalación de estaciones de pesaje adicionales a las existentes actualmente.</t>
  </si>
  <si>
    <t xml:space="preserve">Se aclara que la cantidad mínima de estaciones de pesaje fija es la definida en la Sección 3.3 del Apéndice Técnico 1. Los sistemas dinámicos no tienen condiciones mínimas definidas y podrán ser estipuladas por el Concesionario en cumplimiento de la Especificaciones Técnicas, dado que el concesionario tendrá a su cuenta y riesgo el control de la afectación de la estructura de pavimento.
Se informa al interesado que los documentos contenidos en el Cuarto de Información de Referencia se suministran únicamente a título informativo, acorde con las condiciones de la Sección 1.7 Cuarto de Información de Referencia del Pliego de Condiciones. Corresponderá al Concesionario adelantar los estudios necesarios para la ejecución de las Intervenciones en el nivel de detalle requerido en el Contrato, y cumpliendo con lo dispuesto en los Apéndices Técnicos.
</t>
  </si>
  <si>
    <t>Cuarto de Datos ANI
ESTUDIOS Y ANÁLISIS ADICIONALES-4.5.5-Sistema de Pesaje Dinámico Para Vehículos de Carga - 1.1.1.21 	Criterios Generales de Ubicación-
Se instalará puntos de pesaje dinámico en el corredor donde se considere necesario para proteger la infraestructura.</t>
  </si>
  <si>
    <t>La exigencia de estaciones metorológicas además de poder dar información por Unidad Funcional requiere su instalación en cada estación de peaje, siendo ambas condicicones definidas en el Apéndice Técnico 2.
Se informa al interesado que los documentos contenidos en el Cuarto de Información de Referencia se suministran únicamente a título informativo, acorde con las condiciones de la Sección 1.7 Cuarto de Información de Referencia del Pliego de Condiciones.  Se aclara que la numeración de corredores en los estudios del Cuarto de Información de Referencia no es la misma numeración de Unidades Funcionales, para evitar confusiones en su lectura. Finalmente,  Le corresponderá al Concesionario adelantar los estudios necesarios para la ejecución de las Intervenciones en el nivel de detalle requerido en el Contrato, y cumpliendo con lo dispuesto en los Apéndices Técnicos.</t>
  </si>
  <si>
    <t>Cuarto de Datos ANI
ESTUDIOS Y ANÁLISIS ADICIONALES-4.5.6-Sistema de Medición Ambiental-</t>
  </si>
  <si>
    <t>Debido a la configuración del trazado de doble calzada en algunos sectores y la tipología solicitada en este punto, solicitamos respetuosamente a la aclarar el presente requerimiento.  Asimismo, solicitamos que aclare que la conexión de fibra óptica, por la topología solicitada, solo se podrá tener una vez se entreguen todas las UFs. Finalmente, es de nuestro entendiemiento que este requerimiento aplica a partir del inicio de la Etapa operativa, favor confirmar si nuestro entendimiento es correcto?</t>
  </si>
  <si>
    <t xml:space="preserve">Las condiciones son las definidas en la Sección 3.3.10.1 del Apéndice Técnico 2: "Con objeto de instalar todos los sistemas operacionales dentro de los plazos previstos para ello, el Concesionario deberá implantar un sistema de comunicaciones que cubra las exigencias de este Contrato. Para ello, a todo lo largo de la(s) vía(s) deberá implantar un sistema que incluya fibra óptica y sus canalizaciones, a través del cual se integren todos los elementos de los sistemas de control de tráfico (ITS), y que podrá explotar parcialmente previo acuerdo de los términos y condiciones que lo regulen con la ANI. Para la Unidad Funcional 0 no se requiere la utilización de fibra óptica, la operación de la fibra óptica se exigirá al comenzar la Etapa de Operación y Mantenimiento."
</t>
  </si>
  <si>
    <t>Cuarto de Datos ANI
 ESTUDIOS Y ANÁLISIS ADICIONALES-4.5.8	-Sistema de Control Red de Comunicaciones (SCRC)-o	 El tendido de la fibra óptica se realiza a lo largo de la totalidad de la vía, sobre uno de los costados de la vía. Para esto se propone una conexión a través de fibra óptica en anillo con el fin de generar redundancia en la red, empleando fibra óptica de tipo mono-modo teniendo en cuenta la distancia considerada.</t>
  </si>
  <si>
    <t>De acuerdo a las tarifas existentes, consideramos necesario conocer la información del número de vehículos que tienen tratamiento especial o con categorías especiales por cada una de las estaciones de peaje, en este sentido solicitamos amablemente a la Entidad que se publique la información correspondiente. Adicionalmente solicitamos que se indique si estos vehículos tienen algún dispositivo para realizar su verificación en la actualidad. En caso que la respuesta anterior sea afirmativa, se solicita públicar la información correspondiente a las características técnicas de estos.</t>
  </si>
  <si>
    <t xml:space="preserve">La Entidad informa al interesado que en la carpeta 0A se encuentra el estudio de tráfico realizado. De otra parte, se precisa que desde noviembre de 2018 el INVIAS es la entidad que se encarga de la operación de las actuales Estaciones de Peaje.
Las tarifas diferenciales en las categorías especiales se utilizan en las estaciones de peaje de Villarica, Estambul, CIAT, Rozo y Cencar. Para mayor claridad del interesado, puede consultar las resoluciones que actualmente definen las tarifas diferenciales en categorías especiales y que son de acceso público. En estas resoluciones se encuentran los requisitos para el otorgamiento de las tarifas diferenciales. 
Respecto a las tarjetas inteligentes, se informa que desde el año 2006 se adoptaron como mecanismo de identificación para los vehículos beneficiarios de tarifas diferenciales. Por lo tanto su aplicación se deriva del cumplimiento de la Resolución de Peajes correspondiente.
Se informa adicionalmente que en el Cuarto de Información de Referencia (carpeta H), dentro de la información disponible en el acta de reversión de la concesión anterior se encuentran los beneficiarios de tarifas diferenciales gestionados por esa concesión. Esta información estará disponible a título meramente informativo acorde con las condiciones de la Sección 1.7 Cuarto de Información de Referencia del Pliego de Condiciones .
</t>
  </si>
  <si>
    <t>Cuarto de Datos ANI
Cuarto de Datos ANI ESTUDIOS Y ANÁLISIS ADICIONALES--Información de Categorías especiales existentes en cada estación de peaje-</t>
  </si>
  <si>
    <t>Sobre el concepto de que trata el presente numeral, solicitamos respetuosamente que se incluya el recaudo por concepto de sobrantes, con el fin de tener en un único informe con todos los recaudos que se percibieron.</t>
  </si>
  <si>
    <t>CONTRATO PARTE GENERAL-1.152. -“Recaudo de Peaje”-Corresponde al resultado de multiplicar el tráfico efectivo de las Estaciones de Peaje por la tarifa de cada categoría vehicular para un periodo determinado, neto del impuesto al valor agregado, de los valores por contribución al Fondo de Seguridad Vial, de otra sobretasa o similar que tenga destinación diferente al Proyecto o de otros tributos de orden nacional (si se trata de tributos del orden departamental o municipal, se aplicará lo dispuesto en la Sección 3.16 de esta Parte General) que llegaren a imponerse sobre dicho recaudo con posterioridad a la fecha de presentación de la Oferta. El tráfico por categoría de vehículos será verificado por el Interventor.</t>
  </si>
  <si>
    <t>OPERATIVA</t>
  </si>
  <si>
    <t>Amablemente solicitamos a la Entidad informar si en la actualidad existe alguna tecnología para la validación de dicho beneficio, en tal caso, solicitamos se nos informe qué tipo de tecnología es y cuál es su marca y proveedor.  
Si el procedimiento de validación es manual, se solicita a la Entidad el suministro de dicha información y que esta se encuentre actualizada de modo tal que sea confirmado que el beneficiario siga cubierto legalmente por este beneficio.</t>
  </si>
  <si>
    <t xml:space="preserve">Adicionalmente se informa  que en el Cuarto de Información de Referencia (carpeta H), se encuentra la información referente a la operación del recaudo de los vehículos que tienen el beneficio de la tarifa especial. Esta información estará disponible a título meramente informativo acorde con las condiciones de la Sección 1.7 Cuarto de Información de Referencia del Pliego de Condiciones.
De otra parte, se precisa que el concesionario deberá dar cumplimiento de la Resolución de Recaudo Electrónico Vehícular y la interoperabilidad de peajes. </t>
  </si>
  <si>
    <t>CONTRATO PARTE GENERAL-3.3 (c)-Peajes, Tráfico, Derecho de Recaudo e Ingresos por Explotación Comercial -El Concesionario también tendrá la obligación de realizar y asumir los costos de todas las actividades administrativas para verificar la documentación que acredite los requisitos establecidos para el otorgamiento del beneficio de tarifas especiales diferenciales, incluyendo la instalación de tarjetas inteligentes o sus equivalentes tecnológicos, previa la validación de identidad del beneficiario y del vehículo. </t>
  </si>
  <si>
    <t>Teniendo en cuenta la presente sección, se solicita amablemente a la Entidad suminsitar la información de base del tráfico para el cálculo y éste discriminado en sus diferentes categorías tanto normales como especiales y diario.</t>
  </si>
  <si>
    <t>La Entidad informa al interesado que en la carpeta 0A se encuentra el estudio de tráfico realizado que incluye los datos por categoría tarifaria. Esta información estará disponible a título meramente informativo acorde con las condiciones de la Sección 1.7 Cuarto de Información de Referencia del Pliego de Condiciones. De otra parte, se precisa que desde noviembre de 2018 el INVIAS es la entidad que se encarga de la operación de las actuales Estaciones de Peaje.</t>
  </si>
  <si>
    <t>CONTRATO PARTE GENERAL-3.3 (i) (i)-Peajes, Tráfico, Derecho de Recaudo e Ingresos por Explotación Comercial -Para cada trimestre de ejecución del Contrato se deberá calcular, entre el Interventor, el Líder de Proyecto y el Concesionario, la diferencia entre el Recaudo de Peaje que se hubiese producido de haberse aplicado
Página 66 de 268
la estructura tarifaria (debidamente indexada) prevista en la Resolución de Peaje y el Recaudo de Peaje correspondiente a las modificaciones adoptadas por el Ministerio de Transporte, de lo cual se dejará constancia en una acta suscrita dentro de los cinco (5) Días siguientes a la terminación de dicho trimestre. En caso de existir diferencias entre las Partes, éstas acudirán al Amigable Componedor para que resuelva la controversia.</t>
  </si>
  <si>
    <t xml:space="preserve">Solicitamos a la entidad se aclare el procedimiento de cobro electrónico definido por la ANI. Adicionalmente, consideramos importante someter a consideración de la Entidad que van a existir diferentes proveedores de dicho servicio, con lo cual no se podría tener una subcuenta especial, puesto que si el pago electrónico se utiliza en otras concesiones, el dinero no sería recaudo efectivo solamente para esta concesión. Igualmente sucedería al recibir pagos electrónicos de proveedor ya que el procedimiento sería diferente. En este sentido, se solicita a la Entidad que aclare si este tipo de cobro aplica desde el inicio de la Fase de Preconstrucción? </t>
  </si>
  <si>
    <t xml:space="preserve">El procedimiento que allí se refiere es lo desarrollado en la Sección 3.3.4 del Apéndice Técnico 2. Se aclara que esto tiene en cuenta las condiciones de la Ley Aplicable en cuanto a la interoperabilidad y recaudo de peajes IP/REV.
El recaudo de peaje y el correspondiente fondeo de la Subcuenta Recaudo Peaje, inicia con la Operación de la Unidad Funcional 0 desde el Acta de Inicio e incluirá el recaudo proveniente de pagos electrónicos si se encuentra disponible en ese momento.
</t>
  </si>
  <si>
    <t>CONTRATO PARTE GENERAL-3.14 (h) (iv) (2) (ii)-Cuentas y Subcuentas del Patrimonio Autónomo - Subcuenta Recaudo Peaje-El Recaudo de Peaje, generado mediante cobro electrónico, de acuerdo con el procedimiento definido por la ANI.</t>
  </si>
  <si>
    <t>Frente a esta sección, se solicita respetuosament a la Entidad que defina correctamente el concepto "día de operación", es decir, identificar el lapso de las 24 horas que comprenderían el día de operación de las estaciones de peaje y de pesaje del proyecto. Lo anterior, debido a que en la actualidad se maneja el día de operación dependiendo de la concesión con inicio de las 06:00 o 07:00 y se debe indicar esto para definir el proceso de cierre de turno operativo.</t>
  </si>
  <si>
    <t xml:space="preserve">Estas condiciones podrán ser definidas en el Manual de Operación del que trata la Sección 3.2.1. del Apéndice Técnico 2. por lo que la solicitud no procede. </t>
  </si>
  <si>
    <t>CONTRATO PARTE GENERAL-3.14 (h) (iv) (5)-Cuentas y Subcuentas del Patrimonio Autónomo - Subcuenta Recaudo Peaje-El periodo de recaudo corresponderá a los Días transcurridos desde el Día en que se efectuó la última consignación (incluido), hasta el Día anterior a la consignación siguiente.</t>
  </si>
  <si>
    <t xml:space="preserve">Respecto de esta sección, se solicita a la Entidad que se pueda realizar cruce de consignación dentro del mismo mes de recaudo en caso de valores menores o adicionales debido al tipo de operación de consignación de dineros donde entran varios tipos de recaudos, lo anterior mientras no se superen los tres días hábiles de plazo permitido para consignar. </t>
  </si>
  <si>
    <t>CONTRATO PARTE GENERAL-3.14 (h) (iv) (6 y 7)-Cuentas y Subcuentas del Patrimonio Autónomo - Subcuenta Recaudo Peaje-(6) En el caso en que la suma consignada por el Concesionario a la Subcuenta Recaudo Peaje fuere inferior a la que corresponda de acuerdo con lo previsto en este Contrato, el Concesionario pagará intereses moratorios –que se consignarán en la Subcuenta Excedentes ANI– desde la fecha en la que realizó la consignación y hasta el pago de la diferencia, dichos intereses se calcularán conforme a lo previsto en la Sección 3.6(a) de esta Parte General.
(7) En el caso en que la suma consignada por el Concesionario a la Subcuenta Recaudo Peaje fuere superior a la que corresponda de acuerdo con lo previsto en este Contrato, la ANI ordenará el traslado de la diferencia, sin intereses, a la Cuenta Proyecto dentro de los cinco (5) Días siguientes a la verificación de esta situación.</t>
  </si>
  <si>
    <t>CONTRATO PARTE GENERAL-3.14 (h) (iv) (13)-Cuentas y Subcuentas del Patrimonio Autónomo - Subcuenta Recaudo Peaje-Los Sobrantes serán trasladados mensualmente a la Subcuenta Excedentes ANI.</t>
  </si>
  <si>
    <t>Frente a esta sección, solicitamos replantear la administración del recaudo de prepago y por ende la consignación de los dineros por este concepto en esta Subcuenta, debido a la interoperabilidad que debe existir en el proceso de venta y/o consumo del sistema prepagado. En este sentido, existirán transacciones por ventas que hayan hecho otros concesionarios así como transacciones de ventas hechas por el concesionario pero que se utilicen en otras concesiones.</t>
  </si>
  <si>
    <t xml:space="preserve">No se considera necesario modificar la redacción por cuanto se refiere al uso de tiquetes prepagados para este Proyecto, no exclusivamente en recaudos electrónicos IP/REV interoperables. Para este último caso se sigue la Ley Aplicable para esa tecnología.
</t>
  </si>
  <si>
    <t>CONTRATO PARTE GENERAL-3.14 (h) (xii) (2, 3 y 4)-Cuentas y Subcuentas del Patrimonio Autónomo - Subcuenta Tiquetes Prepagados-(2) El beneficiario único de la Subcuenta Tiquetes Prepagados será la ANI.
(3) El Concesionario tendrá la obligación de consignar cada tercer Día el total de los recursos provenientes de la compra o recarga de tarjetas o tiquetes prepagados.
(4) Los recursos disponibles en esta Subcuenta se destinarán única y exclusivamente a sufragar las tarifas de peaje de los usuarios de la vía que hayan aportado previamente las sumas depositadas, para lo cual el Concesionario deberá llevar un control diario detallado de los saldos prepagados de las tarjetas o tiquetes emitidos, así como los usos de dichos saldos en cada Estación de Peaje. La Interventoría verificará en cualquier momento y como mínimo de manera mensual el control diario detallado que lleve el Concesionario sobre los saldos prepagados y los usos de estos saldos.</t>
  </si>
  <si>
    <t>Solicitamos a la ANI que aclare si el Concesionario está obligado a manejar tiquetes prepagados físicos en la operación, ya que existen procesos especiales por temporadas o puentes festivos que ameritan tener en cuenta un proceso para llevarlos a cabo.</t>
  </si>
  <si>
    <t>En las Secciones que tratan los tiquetes prepagados se incluye tanto tarjeta como tiquetes, entonces los tiquetes físicos pueden ser adoptado por el Concesionario los proceeos especiales por temporadas o festivos</t>
  </si>
  <si>
    <t>CONTRATO PARTE GENERAL-3.14 (h) (xii) (5)-Cuentas y Subcuentas del Patrimonio Autónomo - Subcuenta Tiquetes Prepagados-En la medida en que se genere para cada usuario de la vía la obligación de pago de la tarifa de peaje, el Concesionario deberá descontar el importe correspondiente del saldo de la Subcuenta Tiquetes Prepagados y abonar la suma correspondiente a la Subcuenta Recaudo Peaje. Para estos efectos, el Concesionario deberá llevar la relación de los valores descontados de la Subcuenta Tiquetes Prepagados por el pago de tarifas de peaje y la ANI deberá ordenar el traslado de los recursos correspondientes a la Subcuenta Recaudo Peaje como máximo cada tercer (3) Día, de manera análoga a lo establecido en la Sección 3.14(h)(iv)(4) de esta Parte General. El Interventor podrá auditar en cualquier momento estos traslados, para lo cual el Concesionario deberá poner a su disposición el control diario de tarjetas o tiquetes y sus saldos, así como cualquier otra información que razonablemente le solicite el Interventor.</t>
  </si>
  <si>
    <t>La Resolución 883 en su artículo 1 resuelve: "ARTÍCULO 1.- Prorrogar a partir del 12 de marzo de 2019 el régimen de transición establecido en el artículo 33 de la Resolución 546 de 2018 del Ministerio de Transporte, en un (1) año, para que todos Los Concesionarios Viales implementen el Sistema de Recaudo Electrónico Vehicular IP/REV y obtengan su Certificación como Operador". En este sentido, solicitamos a la Entidad indicar si la infraestuctura actualmente cuenta con la certificación como operador? O si see debe entender que este reuqerimiento aplica desde el inicio de la etapa Operativa del proyecto?</t>
  </si>
  <si>
    <t>Se informa al interesado que los peajes actualmente se encuentran en operación dentro del Contrato de APP 1059-2016 de INVIAS para los efectos de confirmar la consulta realizada. Se aclara que la fecha de exigibilidad del Sistema de Recaudo Electrónico Vehicular IP/REV es la definida en la Ley Aplicable.</t>
  </si>
  <si>
    <t>CONTRATO PARTE GENERAL-3.14 (h) (xii) (9)-Cuentas y Subcuentas del Patrimonio Autónomo - Subcuenta Tiquetes Prepagados-Una vez entre en vigencia la Resolución 883 de 2019 del Ministerio de Transporte, o la Resolución que la modifique, complemente o sustituya, la ANI podrá solicitar al Concesionario el giro de los recursos allí consignados al (los) intermediador(es) quien(es) deberá(n) dar cumplimiento a la Ley Aplicable.</t>
  </si>
  <si>
    <t>De acuerdo a la infraestructura entregada y en particular a los equipos de ITS, solicitamos a la ANI indicar cuál será el proceso a seguir si dichos equipos no cumplen con la confiabilidad exigida?</t>
  </si>
  <si>
    <t>CONTRATO PARTE GENERAL-CAPÍTULO IV  - 4.1 (b)-CAPÍTULO IV ETAPA PREOPERATIVA - GENERALIDADES - Condiciones Precedentes para el Inicio de la Fase de Preconstrucción-Con relación a la infraestructura que se entiende entregada por parte de la ANI al inicio del Contrato, el Concesionario deberá haber suscrito el (los) Contrato(s) de Operación y Mantenimiento durante la Etapa Preoperativa o haber expresado la condición de que ejercerá las obligaciones relacionadas de manera directa. Ambas situaciones deberán ser informadas a la ANI mediante Notificación enviada por el Concesionario con anterioridad a la Fecha de Inicio.</t>
  </si>
  <si>
    <t>Al respecto, solicitamos a la Entidad que indique si toda la infraestructura que se recibirá cumple con los indicadores exigidos en los documentos del proceso. En caso que la respuesta anterior sea negativa, solitamos a la ANI que indique cuál es el plazo máximo que tendría el Concesionario para realizar las actualizaciones y/o ajustes correspondientes? O si se debe entender que el cumplimiento de indicadores aplicará a partir del inicio de la etapa Operativa?</t>
  </si>
  <si>
    <t>Se aclara al interesado que los Indicadores definidos para la Unidad Funcional 0 (de acuerdo con el Capítulo 6 del Apéndice Técnico 4) y los valores de aceptación y plazos de corrección para la Etapa Preoperativa han sido establecidos de modo que sea viable su aplicación en los plazos definidos. Se aclara que la Puesta a Punto es una de las intervenciones para lleva a cabo durante la Fase de Construcción, por lo que estas intervenciones se medirán con los Indicadores de la Etapa de Operación y Mantenimiento. Se informa que se incluirán ajustes aclaratorios en el Apéndice Técnico 4 sobre los indicadores aplicables en la Etapa Preoperativa.</t>
  </si>
  <si>
    <t>CONTRATO PARTE GENERAL-CAPÍTULO IV  - 4.2 (a)-CAPÍTULO IV ETAPA PREOPERATIVA - GENERALIDADES - Principales Obligaciones del Concesionario durante la Fase de Preconstrucción-Recibir la infraestructura del Proyecto en concesión, en la fecha que señale la ANI, incluyendo las Estaciones de Peaje, las Estaciones de Pesaje y toda aquella infraestructura asociada, en el estado en el que esta se encuentre sin objeción alguna y asumir, desde su recibo, todas las obligaciones de resultado que se prevén en el presente Contrato y sus Apéndices.</t>
  </si>
  <si>
    <t>Frente a este punto, solicitamos se nos aclare:  (i) Si actualmente existen algunos contratos comerciales  y (ii) Si estos tendrán vigencia una vez ingrese el nuevo Concesionario.</t>
  </si>
  <si>
    <t>CONTRATO PARTE GENERAL-CAPÍTULO XIII - 13.2 - (xx)-CAPÍTULO XIII ECUACIÓN CONTRACTUAL Y ASIGNACIÓN DE RIESGOS - Riesgos asignados al Concesionario-Los efectos favorables y/o desfavorables derivados de los Ingresos por Explotación Comercial derivados de la prestación de los Servicios Adicionales.</t>
  </si>
  <si>
    <t>Después de revisar la información del Cuarto de Datos, no se encontraron diseños de las estaciones de pesaje, CCO y áreas de servicio. En este sentido, se solicita amablemente a la Entidad, publicar la información correspondiente.</t>
  </si>
  <si>
    <t xml:space="preserve">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Se informa adicionalmente que la entidad que actualmente está cargo de la operación de los tramos viales que conformarán el Corredor del Proyecto es INVIAS.
</t>
  </si>
  <si>
    <t xml:space="preserve">APÉNDICE TÉCNICO 1
ALCANCE DEL PROYECTO - CAPÍTULO V INSTALACIONES EN EL CORREDOR DEL PROYECTO </t>
  </si>
  <si>
    <t>Durán &amp; Osorio Abogados, 15/05/2021</t>
  </si>
  <si>
    <t>Frente a las instalaciones en el corredor del Proyecto, no se encontraron coordenas de ubicación de áreas de servicio. Por lo tanto, se solicita a la Entidad, publicar la información correspondiente.</t>
  </si>
  <si>
    <t>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Finalmente, se informa adicionalmente que la entidad que actualmente está cargo de la operación de los tramos viales que conformarán el Corredor del Proyecto es INVIAS.</t>
  </si>
  <si>
    <t>Durán &amp; Osorio Abogados, 15/05/2022</t>
  </si>
  <si>
    <t>Dentro de la información publicada en el cuarto de datos se encontró información de los puentes peatonales existentes. Sin embargo, no se pueden identificar los puentes peatonales a reubicar y tampoco se cuenta con la ubicación de los puentes peatonales nuevos. Es por esto que, amablemente solicitamos a la ANI la publicación faltante.</t>
  </si>
  <si>
    <t>La solicitud no es procedente porque la ubicación de los puentes peatonales debe corresponder con los demás elementos que desarrolle el Concesionario en los Estudios Trazado y Diseño Geométrico y en los Estudios de Detalle, y del propio análisis de ubicación para esos puentes, la cual debe ser acordado con las comunidades del entorno. La planeación debida del Proyecto indica que se debe dotar al Proyecto de puentes peatonales, los cuales se fijan en el Apéndice técnico 1, y se incluyen las condiciones para que las actividades sociales puedan ser abordadas por el Concesionario. 
Se informa que se incluirán ajustes en la redacción de la Sección 5.5 del Apéndice Técnico 1 en especial sobre los alcances de reubicación y de los pasos peatonales en la Intersección Versalles.</t>
  </si>
  <si>
    <t>APÉNDICE TÉCNICO 1
ALCANCE DEL PROYECTO - CAPÍTULO V INSTALACIONES EN EL CORREDOR DEL PROYECTO  numeral 5.5. Puentes Peatonales</t>
  </si>
  <si>
    <t>Durán &amp; Osorio Abogados, 15/05/2023</t>
  </si>
  <si>
    <t>Apéndice Técnico 1, Capitulo VI, numeral 6.2</t>
  </si>
  <si>
    <t>Durán &amp; Osorio Abogados, 15/05/2024</t>
  </si>
  <si>
    <t>La intersección de la Unidad Funcional 1 Acceso Sur Guacarí y la intersección Vía Ingenio Providencia tienen las mismas coordenadas. Por lo tanto, se solicita a la ANI ajustar la información para que corresponda a la ubicación real de cada intersección.</t>
  </si>
  <si>
    <t xml:space="preserve">Se hace la aclaración en el Apéndice Técnico 1 corrigiendo las coordenadas en la Tabla 7.
</t>
  </si>
  <si>
    <t>APÉNDICE TÉCNICO 1
ALCANCE DEL PROYECTO - tabla 7</t>
  </si>
  <si>
    <t>Durán &amp; Osorio Abogados, 15/05/2025</t>
  </si>
  <si>
    <t>Después de revisar la información publicada, consideramos que las coordenadas de la intersección Mulaló de la Unidad Funcional 1 tienen inconsistencias, pues que son muy cercanas a la Intersección Acceso norte Guacarí. En este sentido, se solicita a la ANI ajustar la información para que corresponda a la ubicación real de cada intersección.</t>
  </si>
  <si>
    <t>Durán &amp; Osorio Abogados, 15/05/2026</t>
  </si>
  <si>
    <t xml:space="preserve">Después de revisar la información publicada, consideramos pertinente una verificación por parte de la Entidad a la coordenada final del tramo Cali – Palmira de la UF2, puesto que la coordenada actualmente indicada en el Apéndice Técnico, corresponde a la intersección Rozo y no a Palmira. </t>
  </si>
  <si>
    <t xml:space="preserve">Se hace la aclaración en el Apéndice Técnico 1 corrigiendo la coordenada del punto de Palmira que se ubica al inicio del Paso Nacional Palmira.
</t>
  </si>
  <si>
    <t>APÉNDICE TÉCNICO 1
ALCANCE DEL PROYECTO - tabla 5</t>
  </si>
  <si>
    <t>Durán &amp; Osorio Abogados, 15/05/2027</t>
  </si>
  <si>
    <t>Después de revisar la información de la UF 2, consideramos que las coordenadas de inicio y fin de la Variante el Bolo no concuerdan con la longitud establecida del tramo. Se entiende que las coordenadas corresponden al tramo que no se ha terminado de la variante, sin embargo, esta longitud no coincide con la establecida en el Apéndice Técnico 1 del proyecto, la cual considera un tramo existente para puesta apunto. Por lo tanto, solicitamos a la Entidad aclarar la información, con el fin de no generar contradicciones.</t>
  </si>
  <si>
    <t>Se aclara que la Variante El Bolo incluye Intervenciones tanto en el tramo construido como en el que falta por construir, en tal sentido se incluirán ajustes en el Apéndice Técnico 1.</t>
  </si>
  <si>
    <t>Durán &amp; Osorio Abogados, 15/05/2028</t>
  </si>
  <si>
    <t>Para el tramo Salida Norte Palmira - Intersección Providencia – Intersección El Cerrito – Buga de la Unidad Funcional 1, en los documentos descargados únicamente se encontró diseño en planta de 11 km del corredor que corresponden a Salida Norte Palmira – Intersección Providencia. De acuerdo con las coordenadas de inicio - fin y la longitud establecida en el Apéndice Técnico 1 del proyecto, falta: (i) la información de aproximadamente 30 km del corredor (Intersección Providencia – Intersección El Cerrito – Buga), (ii) así como la información correspondiente a las 7 intersecciones del tramo. En este sentido, se solicita a la Entidad publicar la información faltante en el Cuarto de Datos.</t>
  </si>
  <si>
    <t>Se informa que al tratarse de un tramo existente la información de planos puede consultarse en la Carpeta H dentro de la inforrmación de reversión de la concesión anterior. Por lo que dicha información estará disponible a título meramente informativo acorde con las condiciones de la Sección 1.7 Cuarto de Información de Referencia del Pliego de Condiciones</t>
  </si>
  <si>
    <t>CUARTO DE DATOS ANI</t>
  </si>
  <si>
    <t>Durán &amp; Osorio Abogados, 15/05/2029</t>
  </si>
  <si>
    <t>Frente a la Intersección Parque del Azúcar de la UF1, que tiene como intervención mejoramiento, únicamente se encontró diseño en planta. Por lo tanto, se solicita a la ANI publicar la información faltante en el Cuarto de Datos.</t>
  </si>
  <si>
    <t xml:space="preserve">La información disponible se encuentra en la Carpeta G del Cuarto de Información de Referencia. Esta información estará disponible a título meramente informativo acorde con las condiciones de la Sección 1.7 Cuarto de Información de Referencia del Pliego de Condiciones. </t>
  </si>
  <si>
    <t>Durán &amp; Osorio Abogados, 15/05/2030</t>
  </si>
  <si>
    <t>Frente a la Variante el Bolo de la UF2, no se encontró diseño geométrico del corredor ni de las intersecciones del tramo para construcción. Por lo tanto, se solicita a la ANI publicar la información faltante en el Cuarto de Datos.</t>
  </si>
  <si>
    <t xml:space="preserve">Se incluirá, en el Cuarto de Información de Referencia (carpeta G), la información disponible de la variante El Bolo- Esta información estará disponible a título meramente informativo acorde con las condiciones de la Sección 1.7 Cuarto de Información de Referencia del Pliego de Condiciones. 
Dentro de los Estudios de Detalle que debe desarrollar el Concesionario en la Fase de Preconstrucción se encuentra el estudio de tránsito y transporte, para todos los corredores y tramos de la concesión. Con base en los resultados de dicho estudio, se deberá determinar la solución óptima para los problemas de congestión que se producen en las intersecciones.
</t>
  </si>
  <si>
    <t>Durán &amp; Osorio Abogados, 15/05/2031</t>
  </si>
  <si>
    <t>Para el tramo Cali – Palmira  de la UF2, se encontró diseño geométrico de 17 km y se evidencia que faltan 2 km del corredor en la llegada a Palmira. Tampoco se encontró el diseño geométrico de la intersección Cali- Palmira 6 (Acceso Occidental a Palmira). Por lo tanto, se solicita a la ANI publicar la información faltante en el Cuarto de Datos.</t>
  </si>
  <si>
    <t xml:space="preserve">Se revisará el Cuarto de Información de Referencia, sin embargo se informa que al tratarse de un tramo existente la información de planos puede consultarse en la Carpeta H dentro de la inforrmación de reversión de la concesión anterior. Esta información estará disponible a título meramente informativo acorde con las condiciones de la Sección 1.7 Cuarto de Información de Referencia del Pliego de Condiciones. </t>
  </si>
  <si>
    <t>Durán &amp; Osorio Abogados, 15/05/2032</t>
  </si>
  <si>
    <t>En el tramo Av. Bicentenario – Jamundí (carrera 10) de la UF4, faltan 300 metros del diseño del corredor, de acuerdo con las coordenadas establecidas en el Apéndice Técnico 1 del proyecto. Por lo tanto, se solicita a la ANI publicar la información faltante en el Cuarto de Datos.</t>
  </si>
  <si>
    <t>Se aclara que el trazado de factibilidad de la Unidad Funcional 3, publicado en el Cuarto de Información de Referencia, información que estará disponible a título meramente informativo acorde con las condiciones de la Sección 1.7 Cuarto de Información de Referencia del Pliego de Condiciones;  aprovecha tramos de vías existentes en la zona suburbana de Cali.</t>
  </si>
  <si>
    <t>Durán &amp; Osorio Abogados, 15/05/2033</t>
  </si>
  <si>
    <t>No se encontraron diseños sobre la intersección de la glorieta las Américas de la UF5, de la cual se entiende se plantea la construcción de un paso nivel. En este sentido, se solicita a la ANI publicar la información faltante en el Cuarto de Datos</t>
  </si>
  <si>
    <t xml:space="preserve">Se aclara que el entendimiento de esta Intervención no es correcto. Paso Nivel es un sector intermedio entre la Glorieta Las Américas y Mediacanoa. De otra parte se revisará lo publicado en el Cuarto de Información de Referencia, si procede se incluirá la información solicitada, es importante aclarar que la información estará disponible a título meramente informativo acorde con las condiciones de la Sección 1.7 Cuarto de Información de Referencia del Pliego de Condiciones; </t>
  </si>
  <si>
    <t>Durán &amp; Osorio Abogados, 15/05/2034</t>
  </si>
  <si>
    <t>Para los corredores Vía la Herradura – Matapalo y Vía Villa Rica – Caloto que hacen parte de las obras adicionales del factor de calidad no se encontraron estudios y diseños. Teniendo en cuenta que se trata de tramos de construcción, solicitamos amablemente a la Entidad que aclare si hay información al respecto y de ser así, que la misma sea publicada en el Cuarto de Datos.</t>
  </si>
  <si>
    <t xml:space="preserve">Se aclara que los alcances del Factor de Calidad no son de construcción. Se informa al interesado que se harán complementaciones al Cuarto de Información de Referencia incluyendo estudios de referencia del tramo Villarrica-Caloto en la Carpeta G y la ubicación georeferenciada de ambos tramos viales. Es importante aclarar que la información estará disponible a título meramente informativo acorde con las condiciones de la Sección 1.7 Cuarto de Información de Referencia del Pliego de Condiciones; </t>
  </si>
  <si>
    <t>Durán &amp; Osorio Abogados, 15/05/2035</t>
  </si>
  <si>
    <t>Para todos los corredores con intervención de Puesta a punto (Rehabilitación) unicamente se encontró información cartografica secundaria, y que de acuerdo a los requerimientos técnicos exigidos por la ANI para estudios de factibilidad deben realizarse estudios de topografía, por lo tanto, see solicita a la Entidad complementar en el Cuarto de Datos.</t>
  </si>
  <si>
    <t xml:space="preserve">De forma complementaria para los tramos existentes se incluye en el Cuarto de Información de Referencia (carpeta H), la información disponible en el acta de reversión de la concesión anterior que incluye los planos en planta perfil. Esta información estará disponible a título meramente informativo acorde con las condiciones de la Sección 1.7 Cuarto de Información de Referencia del Pliego de Condiciones. </t>
  </si>
  <si>
    <t>Durán &amp; Osorio Abogados, 15/05/2036</t>
  </si>
  <si>
    <t xml:space="preserve">Se informa al interesado que no se acepta su observación. Los documentos son claros al identificar las coberturas de cada riesgo. En todo caso, se informa al interesado que esta disposición ya se encuentra regulada en la Sección 13.3 (f), por lo tanto no se considera necesario repetirla en esta sección.
</t>
  </si>
  <si>
    <t xml:space="preserve">CAPÍTULO XIII ECUACIÓN CONTRACTUAL Y ASIGNACIÓN DE RIESGOS
13.2 Riesgos asignados al Concesionario
(vii) Los efectos favorables y/o desfavorables derivados de los Estudios de Detalle y Estudios de Trazado y Diseño Geométrico o cualquier otro componente de diseño, así como sus modificaciones, sobre la programación de obra, sobre los costos, y/o en general sobre cualquier situación que pueda verse afectada como consecuencia de su ejecución durante cualquiera de las etapas, entre ellos pero sin limitarse al impacto negativo y/o sobrecosto que el cambio en los diseños pueda generar sobre otros riesgos a cargo de la ANI en los términos establecidos en el presente Contrato. </t>
  </si>
  <si>
    <t>Durán &amp; Osorio Abogados, 15/05/2037</t>
  </si>
  <si>
    <t>Para el tramo Paso Nacional por Palmira de la UF1, no se encontró informe e identificación de las interferencias con redes de servicios públicos. Por lo tanto, se solicita a la ANI publicar la información faltante en el Cuarto de Datos.</t>
  </si>
  <si>
    <t>Para el tramo en cuestión, especialmente para la intersección Versalles referirse a los estudios de la carpeta G1. Se sugiere tener en cuenta la información de la Carpeta F sobre la información de empresas operadoras que cubren esta zona. El uso de la información del Cuarto de Información de Referencia es a título meramente informativo según lo dispuesto en la Sección 1.7 del Pliego de Condiciones.</t>
  </si>
  <si>
    <t>Durán &amp; Osorio Abogados, 15/05/2038</t>
  </si>
  <si>
    <t>Frente a la Variante el Bolo de la UF2, no se encontraron estudios de interferencia con servicios públicos. Por lo tanto, se solicita a la ANI publicar la información faltante en el Cuarto de Datos.</t>
  </si>
  <si>
    <t>Al tratarse de un tramo cuya mayor parte ya está construido, no se identificaron interferencias en los estudios de factibilidad. El uso de la información del Cuarto de Información de Referencia es a título meramente informativo según lo dispuesto en la Sección 1.7 del Pliego de Condiciones.</t>
  </si>
  <si>
    <t>Durán &amp; Osorio Abogados, 15/05/2039</t>
  </si>
  <si>
    <t>Para la Unidad Funcional 3 (Av. Bicientario) únicamente se encontró el informe de interferencia de redes. Sin embargo, no  hay una identificación de las interferencias, tampoco se identifican ni se describen los traslados a realizar ni se presenta un plantemaiento de las intervenciones. Por lo tanto, se solicita a la ANI publicar la información faltante en el Cuarto de Datos.</t>
  </si>
  <si>
    <t xml:space="preserve">Se aclara que el informe de la Avenida Bicentenario, antes prolongación de la Avenida Ciudad de Cali, sí identifica interferencias con Redes. Ahora bien, para mayor claridad se complementará el Cuarto de Información de Referencia con los planos. El uso de la información del Cuarto de Información de Referencia es a título meramente informativo según lo dispuesto en la Sección 1.7 del Pliego de Condiciones.
</t>
  </si>
  <si>
    <t>Durán &amp; Osorio Abogados, 15/05/2040</t>
  </si>
  <si>
    <t>Para el tramo Ye de Villa Rica – Av. Bicentenario de la UF4, que incluye como intervención la construcción de la segunda calzada, no se encontraron hallazgos de las interferencias de las redes, tampoco se identificaron ni se describieron los traslados a realizar ni se presentó diseño de las intervenciones a realizar. Por lo tanto, se solicita a la ANI publicar la información faltante en el Cuarto de Datos.</t>
  </si>
  <si>
    <t xml:space="preserve">Se aclara que el informe se encuentra en la carpeta F4. Ahora bien, para mayor claridad se complementará el Cuarto de Información de Referencia con los planos. El uso de la información del Cuarto de Información de Referencia es a título meramente informativo según lo dispuesto en la Sección 1.7 del Pliego de Condiciones.
</t>
  </si>
  <si>
    <t>Durán &amp; Osorio Abogados, 15/05/2041</t>
  </si>
  <si>
    <t>No existe una descripción clara de las redes con interferencias en la zona donde se proyecta la Intersección Versalles. El Apéndice Técnico 5, indica en su Tabla 1 que hay solamente una red de alcantarillado, pero en los planos suministrados por Acuoccidente, responsable de las redes en ese sector, indica que hay también redes de alcantarillado. En este sentido, solicitamos a la Entidad aclarar y/o complementar la información del Cuarto de Datos.</t>
  </si>
  <si>
    <t>APÉNDICE TÉCNICO 5 INTERFERENCIAS CON REDES - CAPÍTULO II IDENTIFICACIÓN DE REDES POTENCIALMENTE AFECTADAS POR EL PROYECTO. Tabla 1</t>
  </si>
  <si>
    <t>Durán &amp; Osorio Abogados, 15/05/2042</t>
  </si>
  <si>
    <t>El Estructurador confirma la existencia de redes húmedas en sectores dentro de los tramos que componen la UF-3, mediante inspecciones visuales, fotografías y/o videos, este hallazgo no corresponde con lo indicado en la Tabla 2 del Apéndice Técnico 5 donde no se relaciona ninguna interferencia con redes húmedas, lo cual genera incertidumbre a este respecto.  Por lo tanto, se solicita amablemente a la Entidad ajustar la información publicada para que corresponda a la situación real de redes.</t>
  </si>
  <si>
    <t>APÉNDICE TÉCNICO 5 INTERFERENCIAS CON REDES - CAPÍTULO II IDENTIFICACIÓN DE REDES POTENCIALMENTE AFECTADAS POR EL PROYECTO. Tabla 2</t>
  </si>
  <si>
    <t>Durán &amp; Osorio Abogados, 15/05/2043</t>
  </si>
  <si>
    <t>Dentro del texto del informe elaborado por el Estructurador de manera literal se indica lo siguiente: "Según la inspección en campo, por el costado derecho del corredor puede ir presuntamente una red de alcantarillado, pero no se pudo inspeccionar de manera adecuada dada las condiciones del terreno y no se pudo comprobar dado que no hubo respuesta de las entidades prestadoras de servicio público de dicha zona, quedando con la incertidumbre. Para los estudios definitivos se debe realizar una inspección más detallada de la zona". De ser veraz la existencia de esta red, ésta no fue relacionada en el Apéndice Técnico 5 para la UF-4, por lo tanto, se le solicita a la ANI ajustar la información en los documentos para que corresponda a la situación real de redes.</t>
  </si>
  <si>
    <t>APÉNDICE TÉCNICO 5 INTERFERENCIAS CON REDES - CAPÍTULO II IDENTIFICACIÓN DE REDES POTENCIALMENTE AFECTADAS POR EL PROYECTO. Tabla 3</t>
  </si>
  <si>
    <t>Durán &amp; Osorio Abogados, 15/05/2044</t>
  </si>
  <si>
    <t>Dentro del texto del informe elaborado por el Estructurador de manera literal se indica lo siguiente: "Se hizo un estimativo de acuerdo a la longitud del corredor 5 obteniendo 6935 metros lineales tanto de red de acueducto como de alcantarillado, valor que se mayoró con un factor de 1,3 con el fin de tener un factor de seguridad, con el cual la longitud queda en 9016 metros lineales, el número de nodos a retirar y reponer es de 25 en el caso de acueducto y 90 para la red de alcantarillado". De ser adecuadas estas estimaciones, la existencia de estas redes no fue relacionada en el Apéndice Técnico 5 para la UF. Por lo tanto, se le solicita a la ANI ajustar la información en los documentos para que corresponda a la situación real de redes.</t>
  </si>
  <si>
    <t>Se informa que la observación es procedente, y en la Tabla 4 del Apéndice Técnico 5 se agregará el tramo Cencar - Glorieta Las Américas.</t>
  </si>
  <si>
    <t>APÉNDICE TÉCNICO 5 INTERFERENCIAS CON REDES - CAPÍTULO II IDENTIFICACIÓN DE REDES POTENCIALMENTE AFECTADAS POR EL PROYECTO. Tabla 4</t>
  </si>
  <si>
    <t>Durán &amp; Osorio Abogados, 15/05/2045</t>
  </si>
  <si>
    <t>La relación de obras que se incluyeron en el Acta de Hallazgos del informe del Estructurador, corresponde a los tramos incluidos en la Tabla 1 del Apéndice Técnico 5 para la UF-1, lo cual puede generar confusión, ya que si bien el Apéndice Técnico 1 relaciona dos de los tres tramos de Reversión (Salida Palmira – Pradera y Salida Palmira – Candelaria) con la UF-1. Teniendo en cuenta lo anterior, sometemos a consideración de la Entidad que se hiciera esta claridad en el Apéndice Técnico 5, o se incluyera una tabla adicional para los tramos de reversión.</t>
  </si>
  <si>
    <t>Se encuentra pertinente el comentario. Para brindar claridad al respecto, las obras de la Salida Palmira - Pradera y Salida Palmira - Candelaria se relacionan con la firma del Acta de Terminación de Unidad Funcional 1 según la Sección 4.7 del Apéndice Técnico 1, y a su vez la Intersección Sameco se relaciona con con la firma del Acta de Terminación de Unidad Funcional 1. Se considera conveniente incluir la diferenciación de la Obras de Reversión Especial en el Apéndice Técnico.</t>
  </si>
  <si>
    <t>Durán &amp; Osorio Abogados, 15/05/2046</t>
  </si>
  <si>
    <t>En el Apéndice Técnico 1, se incluyen dos tramos de vías adicionales a saber: Vía La Herradura – Matepalo, Villa Rica – Caloto y se indica textualmente lo siguiente: “Los diseños fase II de las obras incluidas en esta concesión, desarrollados por Estructurador Integral del proyecto, podrán tomarse como referencia. Sin embargo, el Concesionario es responsable por la interpretación, revisión, adopción y modificación de estos en la medida que el riesgo de diseño está a su cargo”.  Sin embargo, en la información de diseños consultada en el Cuarto de Datos de la ANI, no se encuentra alguna asociada a estos tramos adicionales. Por lo tanto, se solicita a la ANI publicar la información faltante en el Cuarto de Datos.</t>
  </si>
  <si>
    <t>Se informa al interesado que se harán complementaciones al Cuarto de Información de Referencia incluyendo estudios de referencia del tramo Villarrica-Caloto en la Carpeta G y la ubicación georeferenciada de ambos tramos viales. El uso de la información del Cuarto de Información de Referencia es a título meramente informativo según lo dispuesto en la Sección 1.7 del Pliego de Condiciones.</t>
  </si>
  <si>
    <t>APÉNDICE TÉCNICO 1 ALCANCE DEL PROYECTO  - CAPÍTULO VII ALCANCE DE OBLIGACIONES TÉCNICAS PARTICULARES Y ESPECÍFICAS ADICIONALES DEL CONCESIONARIO. Numerales 7.1 y 7.2</t>
  </si>
  <si>
    <t>Durán &amp; Osorio Abogados, 15/05/2047</t>
  </si>
  <si>
    <t>El Apéndice Técnico 1 indica que para los CCO, Estaciones de Pesaje y Áreas de Servicio, estos deben estar dotadas de los respectivos servicios sanitarios. Sin embargo, al revisar la información publicada, no hay evidencia de diseños hidrosanitarios adicionales, ni se identificó la existencia de éstos diseños dentro de los informes del Volumen de Hidrología, Hidráulica y Socavación. Por lo tanto, se solicita a la ANI publicar la información faltante en el Cuarto de Datos.</t>
  </si>
  <si>
    <t xml:space="preserve">De forma complementaria para los tramos existentes se incluye en el Cuarto de Información de Referencia (carpeta H), la información disponible en el acta de reversión de la concesión anterior que incluye las instalaciones. Esta información estará disponible a título meramente informativo acorde con las condiciones de la Sección 1.7 Cuarto de Información de Referencia del Pliego de Condiciones. 
</t>
  </si>
  <si>
    <t xml:space="preserve">APÉNDICE TÉCNICO 1 ALCANCE DEL PROYECTO  - CAPÍTULO V INSTALACIONES EN EL CORREDOR DE PROYECTO, numerales 5.1 a 5.3 </t>
  </si>
  <si>
    <t>Durán &amp; Osorio Abogados, 15/05/2048</t>
  </si>
  <si>
    <t>En el Apéndice Técnico 1, se incluyen dos tramos de vías adicionales a saber: Vía La Herradura – Matepalo, Villa Rica – Caloto y se indica textualmente lo siguiente: “Los diseños fase II de las obras incluidas en esta concesión, desarrollados por Estructurador Integral del proyecto, podrán tomarse como referencia. Sin embargo, el Concesionario es responsable por la interpretación, revisión, adopción y modificación de estos en la medida que el riesgo de diseño está a su cargo”. Sin embargo, en la información consultada en el Cuarto de Datos, no se encuentra alguna asociada a estos tramos adicionales. Por lo tanto, se solicita a la ANI publicar la información faltante en el Cuarto de Datos</t>
  </si>
  <si>
    <t>2101.                    </t>
  </si>
  <si>
    <t>SACYR CONCESIONES COLOMBIA S.A.S., 15/05/2020</t>
  </si>
  <si>
    <t>Entendemos que la referencia a Contratistas y Subcontratistas implica su inclusión como asegurados en la Póliza de Responsabilidad Civil Extracontractual. Por favor, confirmar.</t>
  </si>
  <si>
    <t>Contrato de Concesión – Parte General / Capitulo XII Garantías y Mecanismos de Cobertura de Riesgos. 12.7. Garantía de Responsabilidad Extracontractual (a)(i)</t>
  </si>
  <si>
    <t>Financiera - Garantías y Seguros</t>
  </si>
  <si>
    <t>2102.                    </t>
  </si>
  <si>
    <t>En relación a los límites requeridos en la Parte Especial - Capítulo VII 4 Responsabilidad Civil para las Fases de Construcción y Etapa de Operación, la determinación de sublímites deberá responder a la práctica habitual del mercado asegurador</t>
  </si>
  <si>
    <t>Contrato de Concesión – Parte General / Capitulo XII Garantías y Mecanismos de Cobertura de Riesgos. 12.7.Garantía de Responsabilidad Extracontractual (a)(iii)</t>
  </si>
  <si>
    <t>2103.                    </t>
  </si>
  <si>
    <t>La cláusula contempla que los seguros cubran cualquier pérdida "independientemente de la causa que lo genere". Las pólizas de seguro, incluso las contratadas en formato Todo Riesgo, están sujetas a exclusiones, además que la cobertura solo actúa cuando hay un daño súbito, imprevisto y accidental en el bien asegurado, por lo que entendemos esta afirmación debería matizarse o eliminarse.</t>
  </si>
  <si>
    <t>Contrato de Concesión – Parte General / Capitulo XII Garantías y Mecanismos de Cobertura de Riesgos. 12.8.Seguro de Daños Contra Todo Riesgo (a)(i)</t>
  </si>
  <si>
    <t>2104.                    </t>
  </si>
  <si>
    <t>Entendemos que cuando la Concesión decide asegurar la Obra por el 100% del valor del Contrato no debería exigirse un PML para la suscripción de las Actas de Terminación por cada Unidad Funcional, pues este sólo sería relevante si el valor asegurado correspondiese al indicado en dicho estudio como máxima pérdida probable. Por tanto, consideramos que el Estudio de Pérdida Máxima Probable debería ser a opción del Concesionario</t>
  </si>
  <si>
    <t>Contrato de Concesión – Parte General / Capitulo XII Garantías y Mecanismos de Cobertura de Riesgos. 12.8.Seguro de Daños Contra Todo Riesgo (a)(iv)</t>
  </si>
  <si>
    <t>2105.                    </t>
  </si>
  <si>
    <t>El Concesionario debería poder trasladar la responsabilidad de contratar esta póliza a los contratistas y/o subcontratistas que aporten los vehículos automotores y/o maquinaria amarilla para la ejecución del Contrato.</t>
  </si>
  <si>
    <t>Contrato de Concesión – Parte General / Capitulo XII Garantías y Mecanismos de Cobertura de Riesgos. 12.8.Seguro de Daños Contra Todo Riesgo (b Seguro de Automotores y Seguro de Equipo y Maquinaria (Maquinaria Amarilla)</t>
  </si>
  <si>
    <t>2106.                    </t>
  </si>
  <si>
    <t>La sección 7.5 (b) (i) trata sobre la vigencia de las coberturas de calidad y estabilidad de las obras de mantenimiento en la etapa de reversión, y no sobre las uinidades funcionales 1 a 5, que desarrollaron el el literal (a) anterior a este que se observa. Esta vigencia se estipula que será desde la finalización de la Etapa de Operación y Mantenimiento y dos (2) años más. Las actividades de mantenimiento se han denominado Unidad Funcional 0, y asi se anota en el siguiente numeral (ii) de está sección 7.5. (b)</t>
  </si>
  <si>
    <t>Contrato de Concesión – Parte Especial / Capitulo VII Garantías. 7.5 Valor y Vigencia para los amparos de todo riesgo obra civil. (b) Fase de Construcción. (i)</t>
  </si>
  <si>
    <t>2107.                    </t>
  </si>
  <si>
    <t>Además de la ANI y el Concesionario deberían tener igualmente condición de asegurados en la póliza de Obra Civil el Contratista y los Subcontratistas así como todos aquellos intervinientes en la construcción o en la operación</t>
  </si>
  <si>
    <t>AF – Póliza de seguros de obras civiles / Carátula - Asegurado</t>
  </si>
  <si>
    <t>2108.                    </t>
  </si>
  <si>
    <t>Rogamos aclaración acerca de cuáles son los otros bienes existentes, distintos a las obras civiles existentes.</t>
  </si>
  <si>
    <t>AF – Póliza de seguros de obras civiles / Sección I - Amparo de Obras Civiles y Otros Bienes Existentes Asegurados por esta Sección</t>
  </si>
  <si>
    <t>2109.                    </t>
  </si>
  <si>
    <t>Confirmar que se trata de una cobertura de contratación opcional por parte del Concesionario</t>
  </si>
  <si>
    <t>AF – Póliza de seguros de obras civiles / Sección I - Amparo de Obras Civiles y Otros Bienes Existentes Asegurados por esta Sección. Lucro Cesante</t>
  </si>
  <si>
    <t>2110.                    </t>
  </si>
  <si>
    <t>AF – Póliza de seguros de obras civiles / Sección II - Amparo de Construcción, Reparación, Rehabilitación y/o Mejoramiento. Lucro Cesante</t>
  </si>
  <si>
    <t>2111.                    </t>
  </si>
  <si>
    <t>Confirmación que se trata de endosos incluidos con carácter orientativo y que podrá prescindirse de aquellos que restrinjan o limiten la cobertura y siempre sujeto a disponibilidad en el mercado asegurador en la póliza de Obra Civil.</t>
  </si>
  <si>
    <t>AF – Póliza de seguros de obras civiles / Endosos</t>
  </si>
  <si>
    <t>2112.                    </t>
  </si>
  <si>
    <t>Los porcentajes de Participación de las Unidad Funcional no suman 100,00% para los siguientes rangos; (i) Desde el Mes 37 hasta el Mes 42; (ii) Desde el mes 43 hasta el Mes 48 y (iii) Desde el Mes 61 hasta el Mes 102.</t>
  </si>
  <si>
    <t>Se informa al interesado que la Entidad realizará el ajuste respectivo.</t>
  </si>
  <si>
    <t>Contrato de Concesión – Parte Especial / Sección 4.1</t>
  </si>
  <si>
    <t>2113.                    </t>
  </si>
  <si>
    <t>Al considerar la secuencia de pasos descrita en el romanito (iv) de la Subcuenta Reacuado Peaje de la Cuenta ANI, en el numeral (4) los Porcentajes de Participación de las Unidades Funcionales para las demás UF deberán normalizarse sobre una base de 1 para poder fondear el 100% de los recursos disponibles de Recaudo de Peaje en el momento de aplicar la cascada.</t>
  </si>
  <si>
    <t>Contrato de Concesión – Parte General / Capitulo II Referencia Sección 3.14 (h) (iv)(2) Parte General Contrato de Concesión</t>
  </si>
  <si>
    <t>2114.                    </t>
  </si>
  <si>
    <t>Considerar el Porcentaje de depósito Especial a transferir el 30% del total del Recaudo del Peaje</t>
  </si>
  <si>
    <t xml:space="preserve">Se informa al interesado que la observación no se considera procedente, ya que la estimación de los recursos netos para el proyecto (descontando el porcentaje mencionado) resultan suficientes para la ejecución adecuada del proyecto. </t>
  </si>
  <si>
    <t>Contrato de Concesión – Parte General / Sección 4.5 (h) Subcuenta Depósito Especial del Recaudo</t>
  </si>
  <si>
    <t>2115.                    </t>
  </si>
  <si>
    <t>Confirmar si la Estructura Tarifaria es la vigente de conformidad con la circular Externa No. 001 de 15 de enero de 2020 de INVIAS</t>
  </si>
  <si>
    <t>Se informa al interesado que su entendimiento es correcto.</t>
  </si>
  <si>
    <t xml:space="preserve">Contrato de Concesión – Parte Especial / Sección 4.2 (a) </t>
  </si>
  <si>
    <t>2116.                    </t>
  </si>
  <si>
    <t>Considerar que se reconozca el Soporte de Ingresos en este proyecto</t>
  </si>
  <si>
    <t xml:space="preserve">Contrato de Concesión – Parte General / Sección 3.4 (b) </t>
  </si>
  <si>
    <t>2117.                    </t>
  </si>
  <si>
    <t>Teniendo en cuenta la incidencia positiva en la demanda del proyecto por la entrada de operación del proyecto Mulaló - Loboguerrero, solicitamos un escenario donde se contemple: (i) la entrada en operación del proyecto en 2029 y (ii) no entra en operación.</t>
  </si>
  <si>
    <t>Dichas estimaciones corresponden al oferente, para lo cual podrá tomar los estudios del Cuarto de Información de Referencia en las condiciones de la Sección 1.7 del Pliego de Condiciones.</t>
  </si>
  <si>
    <t>Estudio de Tráfico y Demanda</t>
  </si>
  <si>
    <t>2118.                    </t>
  </si>
  <si>
    <t xml:space="preserve">Por favor anexar línea de PIB que se utiliza en el modelo. </t>
  </si>
  <si>
    <t>En la carpeta 0AI dentro del capítulo 7 se incluye la estimación de crecimiento del PIB. Se aclara que el Cuarto de Información de Referencia es a título meramente informativo, en las condiciones de la Sección 1.7 del Pliego de Condiciones.</t>
  </si>
  <si>
    <t>2119.                    </t>
  </si>
  <si>
    <t>Con relación al factor de desplazamiento de la ley de fatiga de las mezclas asfálticas en la metodología Shell, ¿es obligatorio considerar el valor de 2 para este factor de desplazamiento, tal y como aparece en los diseños de pavimento realizados por el Consorcio Estructuración Iceacsa – Bonus, o se puede adoptar otro valor de entre los que aparecen en la tabla 5.2.2 de la Guía metodológica para el diseño de obras de rehabilitación de pavimentos asfálticos de carreteras?</t>
  </si>
  <si>
    <t>Se informa al interesado que los documentos contenidos en el Cuarto de Información de Referencia se suministran únicamente a título informativo según se define en la Sección 1.7 de los Pliegos de Condiciones. Corresponderá al Concesionario adelantar los estudios y diseños necesarios para la ejecución de las Intervenciones en el nivel de detalle requerido, y con los supuestos que de acuerdo con su la experticia estime; en el Contrato para cumplir con lo dispuesto en los Apéndices Técnicos.</t>
  </si>
  <si>
    <t>Apéndice Técnico 3 / Capítulo II Apartado 2.1 (a) (v)</t>
  </si>
  <si>
    <t>2120.                    </t>
  </si>
  <si>
    <t>Se revisarán las descripciones en las Tablas 5 y 11 para aclararlas en los documentos definitivos. Se menciona que los puntos con coordenadas de inicio y fin de cada tramo y Unidad Funcional permiten evitar dichas confusiones de nombres.</t>
  </si>
  <si>
    <t>Apéndice Técnico 1 al Contrato de Concesión. Alcance del Proyecto</t>
  </si>
  <si>
    <t>En relación con lo anterior, en la tabla 11 del apartado 4.3 del mismo documento, se observa el mismo error para la denominación de la Intersección Cali-Palmira 3 (Palmira-El Cerrito).</t>
  </si>
  <si>
    <t>Finalmente, en la referida tabla 11, entendemos que la segunda columna debería hacer referencia al tramo Ye de Villa Rica-Intersección Cali-Palmira 5 (Palmira-El Cerrito), en lugar del tramo Ye de Villa Rica-Intersección Acceso Sur Palmira.</t>
  </si>
  <si>
    <t>Por favor confirmar nuestro entendimiento.</t>
  </si>
  <si>
    <t>2121.                    </t>
  </si>
  <si>
    <t>Por favor, confirmar que los costos derivados del inventario de redes no podrán ser asumidos con los recursos de la subcuenta redes.</t>
  </si>
  <si>
    <t>Contrato de Concesión – Parte General / Sección 4.3</t>
  </si>
  <si>
    <t>2122.                    </t>
  </si>
  <si>
    <t>La definición de obras menores (1.119 Parte General del Contrato) incluye las obras o actividades derivadas de la(s) nueva(s) consulta(s) previa(s) con las comunidades étnicas y/o afrodescendientes ubicadas dentro del área de influencia directa del Proyecto, que son necesarias para la ejecución del Proyecto.</t>
  </si>
  <si>
    <t xml:space="preserve">Contrato de Concesión – Parte General / Sección 1.119 / Sección 8.1 (d) </t>
  </si>
  <si>
    <t>El costo de estas actividades entendemos debiera quedar asumido pues al 100% con los recursos de la subcuenta obras menores por definición.</t>
  </si>
  <si>
    <t xml:space="preserve">No obstante, en el apartado 8.1 (d) se especifica: </t>
  </si>
  <si>
    <t xml:space="preserve">En cualquier momento durante la ejecución del Contrato, el Concesionario deberá llevar a cabo, bajo el liderazgo de la ANI, la(s) nueva(s) consulta(s) previa(s) con las comunidades étnicas y afrodescendientes que sean certificadas por Autoridad Estatal competente o reconocidas mediante fallo judicial en firme en el área de influencia del Proyecto con posterioridad a la apertura del Proceso de Selección. </t>
  </si>
  <si>
    <t>Los costos que se generen como consecuencia de la Gestión Social y Ambiental para adelantar esta(s) nueva(s) consulta(s) previa(s) serán asumidos en su totalidad por el Concesionario. Los compromisos derivados de dichos acuerdos que sean protocolizados serán asumidos por las Partes en proporciones iguales (cincuenta por ciento 50%).</t>
  </si>
  <si>
    <t>Se deduce de este párrafo que únicamente se asignaran a la cuenta de obras menores el 50% de los acuerdos protocolizados con nuevas consultas previas con comunidades étnicas.</t>
  </si>
  <si>
    <t>Por favor confirmar el porcentaje de reparto de estos trabajos.</t>
  </si>
  <si>
    <t>2123.                    </t>
  </si>
  <si>
    <t>¿Podrán ser asumidas con cargo a la subcuenta policía de carreteras aquellas medidas destinadas al mantenimiento de la operatividad del tráfico durante el desarrollo del contrato, caso de barreras, señalización vertical y horizontal provisionales, operarios señalizadores, etc.?</t>
  </si>
  <si>
    <t>Contrato de Concesión – Parte General / Sección 3.14</t>
  </si>
  <si>
    <t>2124.                    </t>
  </si>
  <si>
    <t xml:space="preserve">A nuestro entender, las obras menores serán abonadas por la ANI con los fondos de la subcuenta obras menores, la cual no será dotada de fondos por el concesionario. Por favor confirmar si nuestro razonamiento es correcto. </t>
  </si>
  <si>
    <t>Contrato de Concesión – Parte General / Sección 19.1</t>
  </si>
  <si>
    <t>Para el caso de las obras sociales, el abono por la ANI será desde la subcuenta obras sociales, correspondiendo en este caso el aporte de fondos a cargo del concesionario, según se deduce del apartado 4.5 (j) de la parte especial del modelo de contrato.</t>
  </si>
  <si>
    <t>Por favor confirmar nuestro entendimiento</t>
  </si>
  <si>
    <t xml:space="preserve">Contrato de Concesión – Parte Especial / Sección 4.5 (j) </t>
  </si>
  <si>
    <t>2125.                    </t>
  </si>
  <si>
    <t>Para la subcuenta cambio climático, entendemos que su funcionamiento está condicionado a la financiación por una entidad cooperante, no siendo responsabilidad del concesionario su dotación de fondos.</t>
  </si>
  <si>
    <t>Se aclara al interesado, que su entendimiento es correcto y tal y como está descrito en la sección 3.14(g)(ix), se creará con fuentes diferentes a las descritas para la retribución del proyecto (Aportes ANI, recaudo de peaje, explotación comercial y otras definidas en la Parte Especial como fuente de retribución)</t>
  </si>
  <si>
    <t xml:space="preserve">Contrato de Concesión – Parte General / Sección 3.14 </t>
  </si>
  <si>
    <t>En caso de no ser correcto nuestro entendimiento, por favor indicar el programa de fondeo de esta subcuenta.</t>
  </si>
  <si>
    <t>2126.                    </t>
  </si>
  <si>
    <t xml:space="preserve">En virtud de lo dispuesto por la Sección 1.8 del Pliego de Condiciones y teniendo presente las restricciones generales a la movilidad motivadas por la situación de emergencia sanitaria causada por el COVID-19, se solicita la concesión de una prórroga de 2 meses para la fecha de ‘Cierre del plazo de la Licitación Pública’, contemplada actualmente para el 06/08/2020. </t>
  </si>
  <si>
    <t xml:space="preserve">Pliego de Condiciones / Sección 2.3 </t>
  </si>
  <si>
    <t>En el sentido que la ejecución de los estudios, diseños, obras e intervenciones son especialidad del Concesionario, la responsabilidad sobre las obras de túneles deberá recaer sobre el Privado, sin embargo, en la medida que existe un gran nivel de incertidumbre frente a las especificaciones geológicas en las intervenciones para túneles, y que el CONPES 3760 propone un sistema de bandas que le permitiría a la ANI establecer un mecanismo de compensación que aliviane el impacto en las inversiones, se regula en el Contrato Parte General la responsabilidad compartida sobre los túneles con soporte parcial, que resultan ser los más extensos y sobre los que mayor incertidumbre geológica existe. Sin embargo, se precisa que durante la estructuración del proyecto, y dadas las condiciones del mismo, NO se identificó la necesidad de ejecutar túneles, por lo que en la Parte Especial no se hace referencia a las actividades de excavación, presoporte y soporte en las que la ANI asumirá sobrecostos compartidos.</t>
  </si>
  <si>
    <t>La entidad efectuará un ajuste en la Sección 19.6(b)(4) del Contrato Parte General con el fin de permitir el retiro del Líder bajo determinadas condiciones específicas, el cual será publicado con los documentos definitivos del proceso de selección en el SECOP.</t>
  </si>
  <si>
    <t xml:space="preserve">La Entidad realizará las modificaciones que se consideren necesarios por causa del COVID19 los cuales serán publicadas con el Pliego de Condiciones Definitivo. </t>
  </si>
  <si>
    <t>Teniendo en cuenta que los Sobrantes son recursos que no podrían ser considerados como remanentes o rendimientos, surge la necesidad de definirlos en un nuevo concepto. Lo anterior teniendo en cuenta que se requería contar con una disposición contractuales específica para en el manejo y destinación de estos recursos, en atención a las lecciones aprendidas del programa 4G</t>
  </si>
  <si>
    <t xml:space="preserve">Se le aclara al observador que ni los contratistas ni los subcontratistas se incluyen en la cobertura en calidad de asegurados, lo que no quiere decir que cualquiera de sus actos carezca de cobertura. Todo lo contrario, todo caso de estos, incluido el dolo estará amparado como quiera que al no tener la calidad de asegurados, no tiene aplicación la restricción de que trata el artículo 1055 del Código de Comercio. sin perjuicio de lo anterior, los contratistas y subcontratistas diferentes al concesionario o contratista principal que si detenta la calidad de asegurado, podrán suscribir seguros para amarar su propio interés asegurable, sin invalidar la cobertura de responsabilidad civil. Se le recuerda al observador que lo que determina un doble seguro no es el aseguramiento del bien sino la concurrencia de interés asegurable, y que todo interés asegurable, aun recayendo sobre el mismo bien es objeto de aseguramiento; ver artículos 1083 y 1084 del Código de Comercio. 
De otra parte, en cuanto a la inclusión de prestamistas o financiadores en calidad de beneficiarios, debe tenerse encuentra que la infraestructura que desarrolla y opera el concesionario corresponde con los denominados bienes de uso público universal o bienes públicos del territorio, y su uso pertenece a todos los habitantes. El titular del derecho de dominio es la Nación y, en general, las entidades estatales correspondientes ejercen facultades especiales de administración, protección, control. Estos bienes se encuentran determinados por la Constitución o por la ley (art. 63 Superior).4° y están sujetos a un régimen jurídico por virtud del cual gozan de privilegios tales como la inalienabilidad, inembargabilidad e imprescriptibilidad, que los colocan por fuera del comercio. por esta razón no es legal que la indemnización sea subrogada a cosa hipotecada o dada en prenda para radicar en ella derechos de un acreedor del concesionario, que no tiene titularidad del bien como lo exige el artículo 1101 del Código de Comercio, con ocasión de eventuales indemnizaciones derivadas del daño amparado por el seguro, que en todo caso debe destinarse a su reconstrucción y recuperación y jamás al pago de las deudas del concesionario con sus prestamistas.  </t>
  </si>
  <si>
    <t>Los deducibles que establece el Decreto 1082 son mínimos de ley no es potestativo de la ANI ni del concesionario modificar el reglamento legal.</t>
  </si>
  <si>
    <t>Sin embargo considerando que la estructuración del proceso de selección y del proyecto en su totalidad se llevó con anterioridad a la ocurrencia de la declaratoria del Estado de Excepción por Emergencia Económica y Social por parte del Gobierno Nacional mediante el Decreto 417 del 17 de marzo de 2020, la matriz de riesgos del proceso no contempla la totalidad de los efectos e impactos generados con ocasión de los Decretos Legislativos, así como de los demás actos administrativos de las diferentes entidades estatales que han sido expedido durante dicho periodo de excepción y cuya vigencia perdura con posterioridad a la declaratoria de emergencia, con lo cual, la matriz no se ajusta a una realidad jurídica, económica y financiera del país, razón por la cual la totalidad de los documentos del proceso de selección deben ser objeto de revisión y ajuste a los Decretos Legislativos y actos administrativos expedidos y vigentes.</t>
  </si>
  <si>
    <t xml:space="preserve">Se informa al interesado que no se acepta su observación. Esta es tan solo una de las formas a través de las cuales el Oferente puede acreditar Experiencia en Inversión. Se informa al interesado que de acuerdo con lo establecido en la Sección 4.2.10 (a), el Oferente también podrá presentar una certificación emitida por la entidad acreedora o su representante o una copia del prospecto u offering memorándum  junto con copia del aviso de oferta o su equivalente. </t>
  </si>
  <si>
    <t>La entidad realizará los ajustes pertinentes, eliminando la sección señalada en su observación, este cambio será incluido en la minuta que se publicará en Pliego de Condiciones Definitivo.</t>
  </si>
  <si>
    <t xml:space="preserve">Se informa al interesado que su entendimiento no es correcto, el Anexo No. 3 deberá ser  presentado cuando se acredite la Experiencia en Inversión y/o Capacidad Financiera a través de matriz, sociedad controlada o sociedad controlada por la matriz del Oferente o Integrante del Oferente y deberá ser suscrito de acuerdo con lo señalado en el Pliego de Condiciones y en el referido anexo. </t>
  </si>
  <si>
    <t xml:space="preserve">
De acuerdo con lo establecido por el artículo 1 del Decreto 537 de 2020, las audiencias públicas que deban desarrollarse en procesos de selección podrán adelantarse a través de medios electrónicos durante el tiempo que dure la Emergencia Sanitaria decretada por el Ministerio de Salud y Protección Social, garantizando el acceso a los proponentes, entes de control y cualquier ciudadano interesado. Teniendo en cuenta lo anterior, y en la medida en que la Emergencia Sanitaria continúe y/o se mantengan las restricciones de aglomeraciones decretadas por el Gobierno Nacional, la audiencia podrá realizarse a través de medios electrónicos.
En todo caso, aun cuando la referida audiencia se lleve a cabo de forma presencial, con el fin de permitir el acceso a personas que puedan verse limitadas para participar de forma directa, se informa al interesado que la audiencia será transmitida a través de un webinar cuyos datos de acceso serán publicados con la debida antelación.</t>
  </si>
  <si>
    <t xml:space="preserve">De acuerdo con lo establecido por el artículo 1 del Decreto 537 de 2020, las audiencias públicas que deban desarrollarse en procesos de selección podrán adelantarse a través de medios electrónicos durante el tiempo que dure la Emergencia Sanitaria decretada por el Ministerio de Salud y Protección Social, garantizando el acceso a los proponentes, entes de control y cualquier ciudadano interesado. Teniendo en cuenta lo anterior, y en la medida en que la Emergencia Sanitaria continúe y/o se mantengan las restricciones de aglomeraciones decretadas por el Gobierno Nacional, la audiencia podrá realizarse a través de medios electrónicos.
En todo caso, aun cuando la referida audiencia se lleve a cabo de forma presencial, con el fin de permitir el acceso a personas que puedan verse limitadas para participar de forma directa, se informa al interesado que la audiencia será transmitida a través de un webinar cuyos datos de acceso serán publicados con la debida antelación.
</t>
  </si>
  <si>
    <t>De acuerdo con lo establecido por el artículo 1 del Decreto 537 de 2020, las audiencias públicas que deban desarrollarse en procesos de selección podrán adelantarse a través de medios electrónicos durante el tiempo que dure la Emergencia Sanitaria decretada por el Ministerio de Salud y Protección Social, garantizando el acceso a los proponentes, entes de control y cualquier ciudadano interesado. Teniendo en cuenta lo anterior, y en la medida en que la Emergencia Sanitaria continúe y/o se mantengan las restricciones de aglomeraciones decretadas por el Gobierno Nacional, la audiencia podrá realizarse a través de medios electrónicos.
En todo caso, aun cuando la referida audiencia se lleve a cabo de forma presencial, con el fin de permitir el acceso a personas que puedan verse limitadas para participar de forma directa, se informa al interesado que la audiencia será transmitida a través de un webinar cuyos datos de acceso serán publicados con la debida antelación.</t>
  </si>
  <si>
    <t xml:space="preserve">Se informa al interesado que no se acepta su observación. Teniendo en cuenta que el poder otorgado al apoderado común deberá contar con presentación personal de los otorgantes y aceptantes de acuerdo con lo previsto por la ley.  
La exigencia del requisito de presentación personal de los poderes especiales, se exige con base en lo señalado en el artículo 5 del Decreto Ley 019 de 2012.  </t>
  </si>
  <si>
    <t>Se solicita eliminar el requisito de presentar junto con la oferta traducciones oficiales al español, atendiendo a recomendaciones como las de Colombia Compra Eficiente (Circular Externa No. 17 de 11 de febrero de 2015), conforme a la cual el proponente puede presentar con la oferta una traducción simple al castellano y, de resultar adjudicatario, deberá presentar la traducción oficial al castellano de los documentos presentados en idioma extranjero.</t>
  </si>
  <si>
    <t>La obligación referida al retorno Estambul es que se debe facilitar los movimientos de devolución a Cali en la distancia operativamente más cercana al peaje de Estambul. de otra parte, La ubicación exacta podrá ser definida por el Concesionario en los Estudios de Trazado y Diseño Geométrico y Estudio de Detalle, teniendo en cuenta lo exigido en el Apéndice Técnico 1.</t>
  </si>
  <si>
    <t>Se aclara que "insumos mínimos" son los exigibles al Concesionario. Sin embargo este podrá incluir más insumos a su cuenta y riesgo si a su juicio son necesarios para el total cumplimiento de las obligaciones de Operación y Mantenimiento. La expresión debe interpretarse en el contexto de la Sección que trata de las ambulancias y se definen las dotaciones con las que debe contar cada ambulancia.</t>
  </si>
  <si>
    <t xml:space="preserve">Se informa que en este caso se refieren las recomendaciones hacia la base modelada BBE-38 de las memorias, y no sobre los planos de secciones típicas son representaciones conceptuales simplificadas. Esta información del Cuarto de Información de Referencia según las condiciones de la Sección 1.7 del Pliego de Condiciones, es a título meramente informativo y no constituye obligaciones para el Concesionario. Los Diseños de Detalle a desarrollar por el Concesionario definirán los parámetros de la estructura del pavimento en cumplimiento de las Especificaciones Técnicas reecogidas en los Apéndices Técnicos. </t>
  </si>
  <si>
    <t>El Decreto 1082 de 2015, Artículo 2.2.1.2.3.1.9. Suficiencia de la garantía de seriedad de la oferta. Numeral 1 admite que para presupuestos entre 1 y 3 millones de SMMLV, como lo es este proyecto, la entidad admita garantías de seriedad de al menos el 2,5% y la cifra de 79.000 millones cumple con el requisito de ley.  No se acepta la observación.</t>
  </si>
  <si>
    <t>Se aclara que en las obras del Factor de Calidad la geometría, propuesta para el tipo de intervención definida, se ajusta a la franja de las carreteras existentes, por este motivo los estudios sobre las vías de Factor de Calidad no contemplaron diagnósticos de alternativas.</t>
  </si>
  <si>
    <t>El entendimiento es correcto. Es de notar que en el alcance de Puesta a Punto se incluye lo definido para Rehabilitación.</t>
  </si>
  <si>
    <t xml:space="preserve">Si bien el entendimiento es correcto porque se enmarca en la atención mecánica de emergencia y la obligación es explícita en atender "averías básicas", se considerará que el comentario procede en lo referente a aclarar a cargo de quien esta los costos de reparaciones mayores fijados en la Sección 3.3.3.1.3. del Apéndice Técnico 2, razón por la cual el ajuste se publicará en la versión definitiva de los Pliegos Definitivos. </t>
  </si>
  <si>
    <t xml:space="preserve">Se informa al interesado que los documentos contenidos en el Cuarto de Información de Referencia se suministran únicamente a título informativo, acorde con las condiciones de la Sección 1.7 Cuarto de Información de Referencia del Pliego de Condiciones. Corresponderá al Concesionario adelantar los estudios necesarios para la ejecución de las Intervenciones en el nivel de detalle requerido en el Contrato, y cumpliendo con lo dispuesto en los Apéndices Técnicos. Por lo que no procede la solicitud de confirmación y se mantiene la obligación establecida en los Apéndices, especialmente la sección 3.3.5.1. Sistema de Control de Tráfico del Apéndice técnico 2, donde se establecen condiciones minimas. </t>
  </si>
  <si>
    <t xml:space="preserve"> De manera general La Entidad se permite aclarar que se considera que lo descrito en la observación en caso de ocurrir cumpliría con condiciones asociadas a un  Evento de Fuerza Mayor y/o Evento Eximente de Responsabilidad los cuales ya están regulados expresamente en el contrato al igual que las compensaciones asociadas a los mismos. Lo anterior en la medida en que los cierres financieros usualmente están asociados al cumplimiento de condiciones precedentes para el Inicio de Etapa de Construcción y por lo que consecuentemente, se pueden considerar eventos paralelos. </t>
  </si>
  <si>
    <t xml:space="preserve">Se informa al interesado que en caso de que se materialice el riesgo por elusión, la ANI reconocerá una compensación por menor Recaudo de Peaje si la circunstancia se mantiene por más de 90 días contados desde el Día que se declare formalmente la Elusión por parte de la ANI través de la expedición del acto administrativo correspondiente.
</t>
  </si>
  <si>
    <t xml:space="preserve">Se aclara al interesado que en caso que la ANI tenga observaciones, las Partes podrán solicitar la corrección correspondiente, la cual se reconocerá o descontará – actualizada con la variación del IPC– en la Retribución inmediatamente siguiente de la Unidad Funcional respecto de la cual se haya identificado el error. </t>
  </si>
  <si>
    <t xml:space="preserve">La definición de Recaudo de Peaje incluida en el contrato es clara en la parte especial respecto a que el VPIP está calculado con los recursos que se encuentren consignados en la subcuenta Recaudo Proyecto. </t>
  </si>
  <si>
    <t>Se le informa al interesado que en el  Apéndice Técnico 2,  Sección 3.3.9, se establecen los procedimientos relativos a la Policía de Carreteras en los cuales se incluyen las las funciones asignadas a la ANI,.</t>
  </si>
  <si>
    <t>Se aclara que esta disposición aplica únicamente para los ingresos por Explotación Comercial, los cuales usualmente son poco significativos o inmateriales para este tipo de Concesiones. Para el caso de los Ingresos por Peajes se  definirá con base en el estudio de tráfico que entregue un especialista técnico que se escoja entre las Partes,por tanto nunca tomará el valor de 0.Por tal motivo no observación no procede.</t>
  </si>
  <si>
    <t>Se informa al interesado que de acuerdo con la sección 13.2 (a) (iii) de la parte general del contrato el riesgo a cargo del concesionario recae únicamente sobre los acuerdos de nuevas consultas previas protocolizadas durante la ejecución del contrato. En el caso de las consultas previas desarrolladas durante la fase de estructuración, los acuerdos ya están incorporados dentro del alcance del contrato y por lo tanto se convierten en una obligación sobre lo concertado en los términos definidos en el contrato.</t>
  </si>
  <si>
    <t>Durán &amp; Osorio Abogados Asociados, 22/05/2020</t>
  </si>
  <si>
    <t>Entendemos que varios Fondos de Capital Privado pueden respaldar la participación de un mismo Oferente o un mismo Integrante de la Estructura Plural. En este caso, entendemos que cada uno de los fondos puede presentar de forma independiente su Compromiso Irrevocable de Inversión y que la suma de dichos Compromisos Irrevocables de Inversión es la que debe dar como mínimo el valor establecido en el numeral 4.3.6(a)(i) del Pliego de Condiciones (y por lo tanto no se exigirá que cada uno de los Compromisos Irrevocables de Inversión sea por el valor establecido en dicho numeral 4.3.6(a)(i)). 
Adicionalmente, entendemos que ocurre lo mismo con el valor autorizado por el comité de inversiones para aportar como capital al SPV (numeral 4.6.2(d)). Así, en caso de que se presenten varios Compromisos Irrevocables de Inversión para respaldar a un mismo Oferente o Integrante de Estructura Plural, el valor autorizado deberá corresponder como mínimo al valor comprometido en el Compromiso Irrevocable de Inversión de dicho Fondo de Capital Privado y no al establecido en el numeral 4.3.6(a)(i) del Pliego de Condiciones.
Les agradecemos confirmar nuestro entendimiento. En caso que nuestro entendimiento no sea correcto, solicitamos modificar el Pliego de Condiciones aclarando: (i) que es posible que un Integrante de la Estructura Plural presente respaldo de varios Fondos de Capital Privado a través de varios Compromisos Irrevocables de Inversión; (ii) que, en este caso, los Compromisos Irrevocables de Inversión deban sumar entre ellos como mínimo el valor establecido en el numeral 4.3.6(a)(i) del Pliego de Condiciones -y por lo tanto no se exigirá que cada uno de los Compromisos Irrevocables de Inversión sea por el valor establecido en el numeral- y (iii) que la regla establecida en el numeral (ii) anterior aplica también al valor autorizado por el comité de inversiones para aportar como capital al SPV, al que se refiere el numeral 4.6.2(d) del Pliego de Condiciones.</t>
  </si>
  <si>
    <t>Proyecto de Pliego de Condiciones
Numerales 4.6.1 y 4.6.2(d)</t>
  </si>
  <si>
    <t>Financiera Jurídica</t>
  </si>
  <si>
    <t>Proyecto de Pliego de Condiciones
Numeral 1.3.41</t>
  </si>
  <si>
    <t>Proyecto de Pliego de Condiciones
Numeral 1.3.41 y 4.4.2(a)</t>
  </si>
  <si>
    <t>Proyecto de Pliego de Condiciones
Numeral 4.4.1</t>
  </si>
  <si>
    <t>Proyecto de Pliego de Condiciones
Numeral 4.4.2(a)(ii)</t>
  </si>
  <si>
    <t>Solicitamos que se permita como unico condicionamiento en el Compromiso Irrevocable el que se adjudique el Contrato al Oferente o Integrante de la Estructura Plural que se está respaldando. Lo anterior teniendo en cuenta que la inversión no será necesaria en caso que a quien se está respaldando no resulte adjudicatario.</t>
  </si>
  <si>
    <t>Proyecto de Pliego de Condiciones
Numeral 4.6.2 ( e)</t>
  </si>
  <si>
    <t>Proyecto de Pliego de Condiciones
Numeral 4.6.8(d)</t>
  </si>
  <si>
    <t>Durán &amp; Osorio Abogados, 26/05/2020</t>
  </si>
  <si>
    <t>Cuarto de Datos, Carpeta =AI281; Direccionamiento dentro del DataRoom es: 5G&gt;N_Malla_vial_Valle_ACP&gt;0&gt;0A&gt;0AI&gt;0AI2&gt;0AI27&gt;0AI27&gt;0AI281</t>
  </si>
  <si>
    <t>En el capítulo 3 del documento referido se presentan los indicadores que le aplicarán al Concesionario para cada UF. Por su parte, el capítulo 6 indica que para la UF0 "Se hará la medición de los Indicadores a partir de la suscripción del Acta de Inicio u Orden de Inicio" y la tabla 4 del mismo capítulo señala el valor para ponderar cada Indicador para efectos del cálculo del Índice de Cumplimiento por UF. Sin embargo, consideramos que la tabla no es lo suficientemente clara y no se tiene más elementos para distinguir los indicadores que aplican desde la Etapa Preoperativa y los que aplican desde la Oeración y Mantenimiento. En este sentido, solicitamos amablemente a la Entidad ajustar la información del Apéndice Técnico 4 aclarando que indicadores se aplican para cada Etapa. Sugerimos que para mayor claridad de los Interesados y, posteriormente del Concesionario y de la Interventoría, se tenga una tabla con los Indicadores que se miden durante la Etapa Preoperativa y una tabla distinta para los Indicadores que se medirían durnate la Etapa de Operación y Mantenimiento.</t>
  </si>
  <si>
    <t>Apéndice Técnico 4: Indicadores de disponibilidad, seguridad, calidad y nivel de servicios</t>
  </si>
  <si>
    <t xml:space="preserve">Favor ajustar la referencia que se hace en la Sección 4.5(i)(i) del Contrato Parte Especial a la Parte General en la medida en que la sección citada no existe. </t>
  </si>
  <si>
    <t xml:space="preserve">Contrato Parte Especial - Sección 4.5(i)(i) </t>
  </si>
  <si>
    <t xml:space="preserve">Frente a lo establecido en la Tabla de Referencias de la Parte Especial del Contrato en la Sección 3.14(h)(iv)(2) que reglamenta la Subcuenta de Recaudo Peaje de la Cuenta ANI y específicamente con lo que se refiere a los recursos provenientes del Recaudo de Peaje, entendemos que en primer lugar se debe fondear la Subcuenta de Depósito Especial con el 37.38% del total del Recaudo de Peaje, en segundo lugar, se hace el fondeo de la subcuenta de la UF 0 creada dentro de la Subcuenta de Recaudo de Peaje con el 20.33%sobre la misma base. En tercer lugar, se debe hacer el fondeo de la Subcuenta de Contingencias hasta alcanzar el valor establecido en la Parte Especial y, finalmente, con los recursos remanentes despues de hacer los primeros tres fondeos, se debe fondear las Subcuentas creadas para las demás UF dentro de la Subcuenta de Recaudo de Peaje. En este sentido paras la UUFF -distintas de la cero (0)-, les pedimos aclarar cual será la base de calculo. </t>
  </si>
  <si>
    <t>Contrato Parte Especial - Sección 3.14(h)(iv)(2) de la Tabla de Referencias</t>
  </si>
  <si>
    <t>KMA CONSTRUCCIONES S.A.S.,26/05/2020</t>
  </si>
  <si>
    <t>Contrato Parte General.
CAPITULO II                                 SECCION 2.1 OBJETO</t>
  </si>
  <si>
    <t xml:space="preserve">Contrato Parte General.
-CAPÍTULO VII ETAPA PREOPERATIVA - GESTIÓN PREDIAL                               SECCION 7.4 a)  (i)                  - CAPÍTULO VIII ETAPA PREOPERATIVA - GESTIÓN SOCIAL Y AMBIENTAL, REDES, OTROS                          SECCION 8.1 ( e )                        SECCION 8.2 (i)    </t>
  </si>
  <si>
    <t>Capítulo XII Aspectos en materia de Garantías y Mecanismos de Cobertura de Riesgos
Observación: Para este aparte, merece la pena una Revisión al clausulado de cara a situaciones como el del COVID-19. Teniendo en cuenta lo anterior, es importante revisar e incluir como garantía las calificaciones que deben acreditar las compañías reaseguradoras que respaldan las garantías que respaldan el proyecto, abriendo así la posibilidad de participación de más compañías reaseguradoras.</t>
  </si>
  <si>
    <t>Contrato Parte General.
CAPÍTULO XII GARANTÍAS Y MECANISMOS DE COBERTURA DE RIESGOS</t>
  </si>
  <si>
    <t>Financiera Seguros</t>
  </si>
  <si>
    <t>Contrato Parte General.
CAPÍTULO III ASPECTOS ECONÓMICOS DEL CONTRATO SECCION 3.4 Obtención del VPIP (d)</t>
  </si>
  <si>
    <t>SECCION 3.14 Cuentas y Subcuentas del Patrimonio Autónomo
Observación: Teniendo en cuenta que la ANI es la propietaria de los recursos remanentes en las subcuentas, ¿cuál es la razón del cambio en cuanto a la disposición final de los recursos sobrantes en algunas subcuentas de la fiducia del proyecto, siendo necesario que todos los recursos puedan ser invertidos en el marco de la ejecución del mismo? 
Conforme lo anterior, no guarda sentido la modificación a la distribución de riesgos previstos en los contratos 4G, y por lo tanto, en el evento en que se generen excedentes de las subcuentas los mismos debería ser compartidos con el concesionario o en su defecto el mayor valor debe ser asumido en su totalidad con la ANI a efecto de tener una relación jurídica más equitativa.</t>
  </si>
  <si>
    <t>Contrato Parte General.
CAPÍTULO III ASPECTOS ECONÓMICOS DEL CONTRATO SECCION 3.14 Cuentas y Subcuentas del Patrimonio Autónomo</t>
  </si>
  <si>
    <t>Contrato Parte General.
CAPÍTULO VIII ETAPA PREOPERATIVA - GESTIÓN SOCIAL Y AMBIENTAL, REDES, OTROS</t>
  </si>
  <si>
    <t>Contrato Parte General.
CAPÍTULO X SANCIONES Y ESQUEMAS DE APREMIO</t>
  </si>
  <si>
    <t>Contrato Parte General.
CAPÍTULO X SANCIONES Y ESQUEMAS DE APREMIO    SECCION 10.4 (b)</t>
  </si>
  <si>
    <t>Contrato Parte General.
CAPÍTULO X                                       SECCION 17.2 Causales de Terminación Anticipada del Contrato</t>
  </si>
  <si>
    <t>Apéndice Técnico 6 Numeral 4.1. y 4.4</t>
  </si>
  <si>
    <t xml:space="preserve">Apéndice Técnico 6 Numeral 5.4 </t>
  </si>
  <si>
    <t>Contrato Parte General.
CAPÍTULO VIII ETAPA PREOPERATIVA - GESTIÓN SOCIAL Y AMBIENTAL, REDES, OTROS SECCION 8.1 (d)</t>
  </si>
  <si>
    <t>Financiera Riesgos</t>
  </si>
  <si>
    <t>Contrato Parte General.
CAPÍTULO XIII ECUACIÓN CONTRACTUAL Y ASIGNACIÓN DE RIESGOS SECCION 13.2 - 13.3</t>
  </si>
  <si>
    <t>SBI COLOMBIA, 26/05/2020</t>
  </si>
  <si>
    <t xml:space="preserve">Como personas jurídicas interesadas en el proceso licitatorio indicado en la referencia y estando dentro de los términos establecidos por la Agencia Nacional de Infraestructura (en adelante la "Entidad" o la "ANI"), respetuosamente presentamos y ponemos a su consideración las siguientes observaciones al proyecto de pliego de condiciones: 
Señores ANI, el proyecto de pliego de condiciones dispone en el Apéndice Técnico 1 Alcance "Caracteristicas Geométricas y Técnicas de Entrega de cada Tramo para vías a cielo abierto Unidades Funcionals", Requisitos Técnicos: Cumplimiento de especificaciones Ley 105 de 1993 (s/n); para el caso especifico de los sectores con intervenciones en tramos urbanos - si el trazado y la Franja debe cumplir lo dispuesto en el POT municial y contar con la aprobación de la autoridad municipal en tramos urbanos, Por lo anterior requierimos que nos hagan entrega del respectivo documento POT de cada uno de ellos como se lista a continuación: 
</t>
  </si>
  <si>
    <t>SENDA, 27/05/2020</t>
  </si>
  <si>
    <t>Se solicita a la Entidad ampliar en al menos dos (2) meses el plazo para el Cierre de la Licitación Pública fijado actualmente para el 18 de septiembre de 2020, sustentado en la extensión del Estado de Emergencia por el COVID-19 reglamentado por la Presidencia de la República hasta el 31 de agosto de 2020, del cual se derivan una serie de consecuencias que dificultan gravemente que los oferentes puedan destinar recursos técnicos y humamos para presentar ofertas competitivas e idoneas, especificamente por las restricciones de movilidad de personas y vehículos que impide que los interesados puedan realizar una visita a los sitios de las obras, para evaluar y/o complementar la información suministrada por la ANI (estudio de tráfico, diseños entregados, información técnica y estado actual de la vía), actividad que se hace supremamente indispensable para lograr la viabilización financiera, técnica y jurídica del proyecto.</t>
  </si>
  <si>
    <t>Aviso Modificatorio Nº 2 de 15/05/2020</t>
  </si>
  <si>
    <t>Respecto del literal a (iv) del numeral 4.1.5 y el literal d (i) del numeral 4.3.4. que mencionan la forma de acreditar la experiencia en Inversión a traves de estructuras plurales y el patrimonio neto mínimo, repectivamente, hacemos notar a la Entidad la importancia que han tenido los fondos de Inversión para viabilizar financieramente las concesiones de 4G, misma que tendrán para el actual programa 5G, importancia que deriva en esquemas concesionales donde los fondos de inversión se comprometen a la aportación de altos porcentajes de fondos propios en las sociedades concesionarias, dejando a los socios constructores porcentajes de participación pequeños, asumiendo el riesgo de construcción al completo.
En numerosas ocasiones y debido a su estructura jurídica singular, estos fondos no pueden acreditar la experiencia en inversión por el monto y las formalidades exigidas en los pliegos de condiciones, razón por la cual se solicita a la Entidad:
- Modificar el literal a (iv) del numeral 4.1.5 permitiendo que los miembros que no son Líder de la estructura plural también sean considerados a los efectos de cumplimiento de los requisitos habilitantes relativos a experiencia en inversión.
- Modificar el literal d (i) del numeral 4.3.4.requiriendo un Patrimonio Neto mínimo a $50.000.000.000.</t>
  </si>
  <si>
    <t xml:space="preserve">
En el evento de que la observación anterior no sea tenida en cuenta, se solicita a la Entidad disminuir el porcentaje de transferencia del total del recaudo de peaje durante la fase de preconstrucción del 37,28% al 10% y durante la fase de construcción del 37,28% al 15%.
</t>
  </si>
  <si>
    <t>En línea con las observaciones anteriores y en atención al literal (h).(iv).(2).iv.3 del numeral 3.14. se solicita a la Entidad eliminar la exigencia de fondear la Subcuenta de Contingencias con la totalidad del flujo resultante una vez se han satisfecho los fondeos descritos en los numerales anteriores y dejando como fecha máxima 690 días desde la fecha de inicio fijada en el literal (i) del numeral 4.5.</t>
  </si>
  <si>
    <t>John Laing, 207/05/2020</t>
  </si>
  <si>
    <t>Sugerimos que la TDI debería replantearse según las condiciones actuales de mercado y de financiación, el perfil de riesgo del Proyecto (100% tráfico) y la situación actual de riesgo país y COVID. Consideramos que una TDI del 6,6% en términos reales, es decir cerca del 10% nominal, no refleja la situación actual del sector de infraestructura ni los riesgos que deberá asumir el inversionista.</t>
  </si>
  <si>
    <t>KMA CONSTRUCCIONES S.A.S., 27/05/2020</t>
  </si>
  <si>
    <t>APÉNDICE TÉCNICO 1 - ALCANCE DEL PROYECTO</t>
  </si>
  <si>
    <t>Hemos notado a lo largo del Apéndice Técnico 1 que se pretende dar solución desde el punto de vista de mejoramiento, con la velocidad de diseño y radios de curvatura, de varios tramos dentro del proyecto global. Dentro de los tramos que hemos detectado, entre otros, se encuentran:
- Corrección Curva “Don Otto” (calzada izquierda, dirección Palmira-Buga)
- Mejoramiento Tramo Villa Rica Caloto. Velocidad de operación existente (60 Km/h)
- Mejoramiento Tramo Matapalo- La Herradura. Velocidad de operación existente. 50 km/h en zona rural. 30 km/h en zona urbana
Teniendo en cuenta lo anterior, hacemos notar que para mejorar las condiciones existentes de las vías mencionadas y demás es necesario llevar a cabo una mayor compra predial, la cual necesariamente encarece el proyecto y limita la posibilidad de ejecutar las obras a un ritmo mucho más efectivo y ágil para cumplir con los plazos contenidos en el contrato. 
En ese sentido, solicitamos eliminar el requerimiento de velocidad de operación de las vías mencionadas y las demás que le competan a efectos que el proyecto sea más económico para el estado y más ágil en el término de su ejecución por parte del concesionario. En su defecto, se puede mitigar tal situación con que se disminuya la velocidad de diseño para las “curvas existente” actuales, toda vez que en algunos casos su velocidad actual es de Cero (0) kms/hora.</t>
  </si>
  <si>
    <t xml:space="preserve">De acuerdo con la Tabla 5 – Unidades funcionales del proyecto y demás apartes del Apéndice Técnico 1, se establece dentro de la Unidad Funcional 2 la intervención del Tramo Cali-Palmira.
Así mismo, dentro de la Tabla 11 – Características Geométricas y técnicas para vías a cielo abierto UF2, se evidencia que la vía tiene 2 calzadas de 2 carriles, pero verificado los planos se puede notar que ésta es una vía de 2 calzadas de 3 carriles
En ese sentido, solicitamos hacer las correcciones o aclaraciones pertinentes. </t>
  </si>
  <si>
    <t>APÉNDICE TÉCNICO 1 - ALCANCE DEL PROYECTO
6.2. (iv)</t>
  </si>
  <si>
    <t>De acuerdo con la Tabla 5 – Unidades funcionales del proyecto y demás apartes del Apéndice Técnica 1, se establece dentro de la Unidad Funcional 2 la intervención del Tramo Cali-Candelaria, incluyendo la Puesta a Punto y Mantenimiento Periódico de las dos calzadas.
En ese sentido, solicitamos confirmar que el Concesionario recibirá para el Tramo Cali-Candelaria una Doble Calzada completamente construida.</t>
  </si>
  <si>
    <t xml:space="preserve">Una vez revisados los documentos del Cuarto de Referencia, no encontramos los Estudios y Diseños Fase II de los Tramos La Herradura-Matapalo y Villa Rica Caloto.
En ese sentido, solicitamos que los mismos sean publicados a efectos de tener certeza y conocimiento de la documentación técnica, así como reiteramos que tanto la compra de predios como el traslado de redes, deben ser un riesgo compartido entre el público y el privado, tal como lo es para todas las Unidades Funcionales. Lo anterior, teniendo en cuenta que el riesgo debe ser asignado a quien esté en la mejor capacidad de administrarlo, y consideramos que mal haría la entidad cuando ha administrado estos corredores por más de 20 años, proponer que los interesados en participar al parecer sean quienes puedan tener mayor información y conocimiento que la ANI (antes INCO). </t>
  </si>
  <si>
    <t>ODINSA SA, 28/05/2020</t>
  </si>
  <si>
    <t>La división de tramos de las Unidades Funcionales mostrados en la Tabla 5 no coinciden con los mostrados en las tablas de "Características Geométricas y técnicas de Entrega de cada Tramo para vías a cielo abierto" de las unidades funcionales 1 y 2, Tabla 6 y 11 respectivamente.
Favor aclarar.</t>
  </si>
  <si>
    <t>Favor incluir las coordenadas inicio y fin para cada subtramo del "Paso Nacional por Palmira" de acuerdo con la Tabla 6</t>
  </si>
  <si>
    <t>Favor aclarar si las vías incluidas en la Tabla 9 son adicionales a las vías incluidas en los tramos de la Tabla 6, toda vez que al revisar estos sectores se encuentra que el "Paso Nacional El Sonso" cuenta con una vía adicional a la doble calzada existente, el "Paso Nacional San Marcos" es un par vial y en el "Paso Nacional Yotoco" no se observa una vía adicional.</t>
  </si>
  <si>
    <t>En la carpeta A123116 hacen falta los archivos correspondientes al ortofotomosaico (formato *.ecw)
Favor indicar su ubicación en el cuarto de información de referencia</t>
  </si>
  <si>
    <t>Cuarto de información de referencia</t>
  </si>
  <si>
    <t>De acuerdo con la Tabla 12 del Apéndice técnico 1, la intersección La Herradura hace parte de la UF 2, sin embargo en el numeral 3.6 (f) del Contrato Parte Especial, se menciona que esta intersección hace parte de la UF 1. 
Favor aclarar.</t>
  </si>
  <si>
    <t>Apéndice técnico 1 - Contrato parte especial</t>
  </si>
  <si>
    <t>Del numeral 3.6 (f) se entiende que para las obras faltantes de la variante El Bolo y la rectificación de la Curva "Don Otto" la ANI hará entrega de los predios requeridos para dichas obras y no harán parte de la subcuenta predios. 
Favor confirmar nuestro entendimiento.</t>
  </si>
  <si>
    <t>El numeral 3.6 (f) establece la entrega de la infraestructura para las obras de la rectificación de la curva "Don Otto". Teniendo en cuenta que esta curva se localiza en el tramo El Cerrito - Buga, el cual se entrega con la firma del Acta de inicio.
Solicitamos aclarar que infraestructura se entregará para esta obra.</t>
  </si>
  <si>
    <t>Favor incluir las coordenadas de las obras especiales de la UF 2 (Tabla 14).</t>
  </si>
  <si>
    <t>De acuerdo con el índice publicado en el Cuarto de información de referencia, la carpeta A31202 corresponde a los planos de localización general, sin embargo en esta carpeta está el índice de planos y no la localización general. 
Favor indicar en que carpeta se pueden encontrar estos archivos o incluirlos de NO estar en el Cuarto de información de referencia.</t>
  </si>
  <si>
    <t>Favor incluir dentro de la Tabla 15, los sectores en donde aplican las bermas de 1.6 m. de ancho, de acuerdo con los diseños de Factibilidad mostrados en los planos planta-perfil, secciones transversales y secciones típicas, en los cuales se estipula que para zona urbana el ancho de las bermas es de 1.6 m.</t>
  </si>
  <si>
    <t>En la carpeta A313106 hacen falta lo archivos "000023.ecw", "000024.ecw" y "000027.ecw". 
Favor indicar en que carpeta se pueden encontrar estos archivos o incluirlos de NO estar en el Cuarto de información de referencia.</t>
  </si>
  <si>
    <t xml:space="preserve">El archivo comprimido que se localiza en la carpeta A413106 se encuentra vacío. 
Favor publicar esta información descomprimida. </t>
  </si>
  <si>
    <t>En la carpeta A5131106 hacen falta los archivos correspondientes a las ortofotos de la unidad funcional 5 (formato *.ecw)
Favor indicar en que carpeta se pueden encontrar estos archivos o incluirlos de no estar en el Cuarto de información de referencia.</t>
  </si>
  <si>
    <t>Las coordenadas de la Tabla 30 y la Tabla 32 están transpuestas (la Norte debe ser la Este y viceversa).
Favor confirmar nuestro entendimiento.</t>
  </si>
  <si>
    <t>Se solicita eliminar el radio mínimo de 40 m. exigido en la Tabla 31 para el tramo Matapalo – La Herradura (Factor de calidad) y considerar radios existentes debido a que se presentan radios menores, sobre todo en zonas urbanas, que implicarían afectaciones prediales y sociales que no han sido objeto de estudio en la estructuración del proyecto.</t>
  </si>
  <si>
    <t>En el numeral 4.7 se hace referencia al numeral 3.1 de la Parte Especial como: "3.1 Reversión Especial", este numeral no coincide pues hace referencia a "3.1 Identificación de las Partes".
Favor corregir.</t>
  </si>
  <si>
    <t>Ápendice técnico 1</t>
  </si>
  <si>
    <t>Se solicita confirmar si el alcance de las intervenciones presentado en la estructuración (Tabla 6, 11, 15, 19, 23, 26, 27) cumple y cuenta con la aprobación de la autoridad Municipal.</t>
  </si>
  <si>
    <t>Se solicita revisar el tiempo máximo establecido de corrección del indicador E15 de un (01) mes a tres (03) meses. Esta solicitud se hace teniendo en cuenta que algunos de los requerimientos mencionados como los descritos para barreras y juntas de dilatación y superficies de pintura de puentes metálicos son actividades que requieren mas de un mes para su planeación y ejecución.</t>
  </si>
  <si>
    <t>Ápendice técnico 4</t>
  </si>
  <si>
    <t>De acuerdo con el índice del Cuarto de Información de Referencia, en la carpeta H se encuentra información sobre puentes peatonales, estas carpetas se encuentran vacias.
Favor indicar en que carpeta se pueden encontrar estos archivos.</t>
  </si>
  <si>
    <t>De acuerdo con el índice del Cuarto de Información de Referencia, la carpeta 0AI28  contiene la información del tráfico del proyecto, esta información no se encuentra disponible para descarga.
Favor indicar en que carpeta se pueden encontrar estos archivos.</t>
  </si>
  <si>
    <t>POWERCHINA INTERNATIONAL GROUP LTD, 28/05/2020</t>
  </si>
  <si>
    <t>El Cuarto de datos publicado en el link https://anionline-my.sharepoint.com/:f:/g/personal/cdatosani02_ani_gov_co/EslXe6ayJ55PiZWYrSYGc24B367_s7v1-Bp-wOEyEKefcQ?e=XWfQDi. presenta problemas para su descarga completa. ¿Es posible que se permita que una persona debidamente autorizada puede copiar la información directamente de la fuente en las oficinas de la ANI?</t>
  </si>
  <si>
    <t>La información que contiene el índice de documentos depositados en el cuarto de datos NO esta contenida en su totalidad. Para caso de ejemplo por favor revisar en el sharepoint la carpeta H141111, la cual se encuentra vacía vs la información que dice contener en el índice. Favor subir la información completa de todas las carpetas que señala el índice tener.</t>
  </si>
  <si>
    <t>No se encuentra la información del estudio de tráfico contenida en la carpeta 0AI28.</t>
  </si>
  <si>
    <t>No se encuentra la información relacionada con los datos del estudio año 2020 y la proyección de tráfico  promedio diario dividida o especificada por categoría de vehículos (I, II, III, IV,V,VI, VII) de acuerdo con la resolución de categorización de vehículos. Por tal razón no es posible hacer cálculos de ingresos previstos por concepto de peaje. 
Se solicita respetuosamente presentar esta información de la siguiente manera: TPD usado para el calculo de ingreso del modelo financiero de la ANI, especificado por peaje y por categoría (I, II, III, IV, V, VI, VII y especiales)</t>
  </si>
  <si>
    <t>Estudio de tráfico</t>
  </si>
  <si>
    <t xml:space="preserve">La información del valor de la tarifa de peaje por categoría no coincide entre la relaciona en el estudio de tráfico y la contenida en la presentación .ppt del cuarto de datos. 
</t>
  </si>
  <si>
    <t xml:space="preserve">La parálisis y el desaceleramiento de la economía dado el coronavirus han impacto actualmente el crecimiento del PIB del país. Inclusive para el futuro no esta aún definido el impacto que tendrá este evento. El impacto en la economía se ve reflejado en el cancelamiento y/o aplazamiento en la entrada de proyectos de todos los sectores, incluyendo infraestructura de transporte. 
Se puede evidenciar en el estudio de tráfico que la proyecciones tienen en cuenta la dinámica económica, de infraestructura y poblacional de la región del Valle del Cauca. Tanto así que las proyecciones de tráfico están basadas en el PIB (tabla 7.2 Estimación del crecimiento del PIB). 
Dado que el panorama actual y futuro del PIB en Colombia es incierto, se solicita respetuosamente mitigar el riesgo comercial (asignado 100% al privado) con la inclusión de un ingreso mínimo garantizado por concepto de peajes que tenga en cuenta esta situación.
</t>
  </si>
  <si>
    <t xml:space="preserve">No se encuentra en los pliegos de condiciones, ni en le contrato parte general y parte especial, ni en los anexos técnicos, la definición del alcance de las obras del factor de calidad. Solo se señala que el alcance es mejoramiento y rehabilitación. Sin embargo, dentro de esos conceptos caben muchos tipos de intervenciones que no están definidos. Solicitamos por favor definir detalladamente las intervenciones y el alcance a realizar en cada una de las obras objeto del factor de calidad. 
Por otro lado, en el cuarto de datos, carpeta G5 (faltan archivos), solo es posible encontrar los diseños de la vía Villa Rica - Caloto. Favor poner a disposición los diseños para la vía Herradura - Matapalo. 
Igualmente se solicita informar en detalle sobre el estado actual de las vías objeto del factor de calidad. Caso contrario no es posible presupuestar que obras y que presupuesto se deben destinar a esta infraestructura a efectos de elegir el ofrecimiento en la propuesta. 
</t>
  </si>
  <si>
    <t>Factor de Calidad</t>
  </si>
  <si>
    <t>Amablemente solicitamos nos aclaren si solo se necesita aportar el certificado de existencia y representación legal de las firmas de auditoria cuando quien aporta la experiencia sea una persona jurídica nacional, y para el caso de personas jurídicas extranjeras con firmas de auditoria extranjeras no es necesario dicho certificado.</t>
  </si>
  <si>
    <t>Pliego de condiciones sección 4.3 Capacidad financiera subsección 4.3.1. inciso 4.</t>
  </si>
  <si>
    <t>Respetuosamente solicitamos que los documentos provenientes del extranjero puedan ser entregados en copia simple y posteriormente en caso de que el proyecto sea adjudicado a la empresa se puedan presentar los documentos debidamente legalizados o apostillados según el caso, tomando en cuenta el corto tiempo para procesar los diferentes documentos y la crisis mundial del COVID-19 que ha generado retrasos en la mayoría de los países en su diferentes trámites. Con esto se busca que durante el transcurso de la licitación y evaluación de los proponentes los documentos puedan surtir todos los procesos para que sean legalizados o apostillados</t>
  </si>
  <si>
    <t>Pliego de condiciones sección 6.4 Documentos otorgados en el exterior subsección 6.4.1. legalización</t>
  </si>
  <si>
    <t>Amablemente solicitamos a la ANI nos permita realizar las traducciones por medio de los traductores oficiales de la notarias en China, que son quienes realizan las traducciones cuando se presentan documentos para el proceso de legalización, pues de lo contrario el proceso se tornaría más complejo al tener que realizar igualmente la traducción en China para llevar a cabo el proceso de legalización y posteriormente nuevamente una traducción con el traductor oficial registrado en Colombia. Tomando en cuenta el proceso por el que atraviesan los documentos durante la legalización, diferentes entidades tanto chinas como colombianas certifican la veracidad de los documentos y de quienes los suscriben.</t>
  </si>
  <si>
    <t>Pliego de condiciones sección 6.4 Documentos otorgados en el exterior subsección 6.4.3. Traducción</t>
  </si>
  <si>
    <t>Respetuosamente solicitamos nos aclaren si el  integrante de una estructura plural que aporte el criterio de nomina en condición de discapacidad solo debe tener el 25%, pero no necesariamente tiene que listarse o indicar que se trata de un líder de la estructura plural, simplemente debe acreditar dicho porcentaje de participación.</t>
  </si>
  <si>
    <t xml:space="preserve">Pliego de condiciones sección 8.8 Criterios de desempate subsección 8.1.1 literal (i) </t>
  </si>
  <si>
    <t>Amablemente solicitamos a la ANI nos permita demostrar la situación de control mediante los estados financieros de las empresas o los estatutos en donde se indica la participación accionaria de las empresas. Esto en vista que el documento equivalente al certificación de existencia y representación legal en china no contiene la información necesaria para poner en evidencia la situación de control</t>
  </si>
  <si>
    <t xml:space="preserve">Pliego de condiciones Sección 4.4. Acreditación de requisitos habilitantes subsección 4.4.2 literal (a) romanilla (ii) </t>
  </si>
  <si>
    <t>CCI, 28/05/2020</t>
  </si>
  <si>
    <t>Una vez revisado el objeto de la minuta de contrato publicada en la licitación del proyecto Nueva Malla Vial del Valle del Cauca, se puede observar el siguiente alcance:
“El presente Contrato de concesión bajo un esquema de asociación público privada de Iniciativa Pública en los términos de la Ley 1508 de 2012, tiene por objeto el otorgamiento de una concesión para que de conformidad con lo previsto en este Contrato, el Concesionario, por su cuenta y riesgo, lleve a cabo el Proyecto. El alcance físico del Proyecto se describe en la Parte Especial y en el Apéndice Técnico 1”.
En lo que respecta a este alcance, queremos llamar especial atención sobre la expresión señalada, habida cuenta que la entidad establece que el tipo de contrato objeto de adjudicación para los proyectos del programa 5G, incluyendo la Nueva Malla Vial del Valle del Cauca, es el de concesión.
Esta figura, consistente en pactar un contrato de concesión -que se encuentra definido en el numeral 4° del artículo 32 de la Ley 80 de 1993- pero vinculándolo a los esquemas de asociación público-privadas regulados en la Ley 1508 de 2012, puede generar una inconveniente interferencia de regímenes jurídicos aplicables al contrato, como explicamos a continuación.
Si bien es cierto que el artículo 2° de la Ley 1508 señala que se entienden incluidos dentro de los esquemas de asociación público-privada los contratos de concesión tipificados en la Ley 80 de 1993, lo cierto es que, por las particularidades de las definiciones y características previstas en la ley 80 para el caso de los contratos de concesión, y en la ley 1508 para las asociaciones público-privadas, se trata de dos categorías contractuales diferentes, con características propias y, por ende, no son equiparables.
Lo primero que resaltamos, es que después de revisar los antecedentes legislativos y varias decisiones jurisprudenciales de la Corte Constitucional (Sentencias C-346 de 2017 y C-207 de 2019) que interpretaron la ley 1508 de 2012, se puede concluir que la voluntad del legislador fue crear una nueva clase de contrato estatal distinta de los tipos contractuales contenidos en las leyes 80 y 105 de 1993, para el desarrollo de infraestructura de transporte. En efecto, cuando se revisa el artículo primero y siguientes de la Ley de APPs, se puede identificar que la relación contractual particular, referida a la vinculación de capital privado a través de APP, cuenta con elementos determinantes de un negocio jurídico diferenciado de otros tipos contractuales.
A modo de ejemplo, se pueden referenciar algunas características de las APP que la diferencian del contrato de concesión consagrada en Ley 80, entre ellas: (1) se trata de un contrato que vincula capital privado para la provisión de bienes públicos y sus servicios relacionados; (2) se debe realizar una asignación y transferencia eficiente de los riesgos; (3) se determinan mecanismos de pago condicionados a la disponibilidad de la infraestructura y sus niveles de servicio; y, (4) el monto de inversión debe ser superior a seis mil (6.000) SMMLV.
En materia de riesgos, la diferencia existente entre una APP y un contrato de concesión no es un tema menor. Bajo la ley 80, los concesionarios asumen la ventura del proyecto, habida cuenta que no existe un parámetro claro sobre la forma como se debe efectuar la asignación de las contingencias. Si se revisa el numeral 4 del artículo 32 de la referida ley, se podrá observar que el contratista asume la ejecución por su cuenta y riesgo, sin que se defina algún criterio para realizar la distribución de los riesgos.
En el caso de las APP, el artículo 4 de la Ley 1508 señala con claridad suficiente que la asignación de los riesgos debe realizarse bajo la premisa de eficiencia, para lo cual deberá analizarse cuál de las partes está en mejor capacidad de administrarlos. Sobre el particular, el referido artículo 4 ordena:
“(…) Los esquemas de Asociación Público-Privada se podrán utilizar cuando en la etapa de estructuración, los estudios económicos o de análisis de costo beneficio o los dictámenes comparativos, demuestren que son una modalidad eficiente o necesaria para su ejecución.
Estos instrumentos deberán contar con una eficiente asignación de riesgos, atribuyendo cada uno de ellos a la parte que esté en mejor capacidad de administrarlos, buscando mitigar el impacto que la ocurrencia de los mismos pueda generar sobre la disponibilidad de la infraestructura y la calidad del servicio”.
En ese orden de ideas, la premisa normativa aplicable hoy en el país para la asignación de riesgos en materia de vinculación de capital privado para la provisión de infraestructura pública es la continua y eficiente prestación del servicio. Por ende, los riesgos se deben asignar a la parte que, a través de medidas de administración y mitigación, garantice la prestación del servicio bajo estándares de disponibilidad y calidad.
En virtud de lo anterior, en una concesión de Ley 80, es posible hacer una transferencia total de riesgos al privado, pero en las asociaciones público-privadas no es factible en atención a lo dispuesto en el artículo 4° de la Ley 1508 de 2012.
Es importante mencionar que en este sentido se ha pronunciado la Corte Constitucional, como se puede verificar en los siguientes apartes de la sentencia C-200 de 2012:
“De otro lado, sobre el concepto de desarrollo del objeto por el concesionario “bajo su cuenta y riesgo”, la Corte ha señalado que hace referencia a la asunción del riesgo del fracaso o éxito por el concesionario, sin perjuicio del mantenimiento del equilibrio económico del contrato, de conformidad con los principios generales de la contratación estatal”.
Fusionar el régimen jurídico aplicable a los contratos de concesión definidos en la Ley 80 de 1993 con el régimen legal de las asociaciones público- privadas establecido en la Ley 1508 de 2012, es antitécnico, y puede generar problemas en la interpretación judicial de los contratos, como ya ocurrió en el laudo arbitral de la Malla Vial del Meta contra la ANI, en donde los árbitros aplicaron indistintamente criterios normativos de la Ley 80 de 1993 con parámetros consagrados en la Ley 1508, para resolver las controversias.
Por lo anterior, sugerimos que la denominación de los contratos del programa 5G, sea, para cada caso “contrato de asociación público-privada de iniciativa pública (o privada) en los términos de la Ley 1508 de 2012”. De esta manera se enfatiza en la existencia de un contrato de colaboración entre el Estado y el sector privado, y no solamente una concesión de la entidad pública para que un particular ejecute el proyecto por su cuenta y riesgo.</t>
  </si>
  <si>
    <t>Régimen jurídico de los proyectos de asociación público-privada</t>
  </si>
  <si>
    <t>En oportunidad reciente, el gremio manifestó la importancia de incorporar en los contratos 5G los acuerdos logrados en las mesas de trabajo entre la ANI y la CCI en asuntos relacionados con el procedimiento de verificación de entrega de unidad funcional, la gestión y adquisición predial y la retribución del concesionario.
Estas mejoras efectuadas a la minuta del programa 4G es la respuesta a una serie de problemáticas que han sido puestas en conocimiento de la entidad y que se han presentado durante la ejecución de los proyectos de concesión del modo carretero.
Sea esta la oportunidad para reiterar la necesidad de ajustar el proyecto de minuta del programa 5G, para que se reflejen los ajustes en las materias mencionadas y que son de vital importancia para la bancabilidad de los proyectos. Para los anteriores efectos, adjuntamos a la presente el anexo que recoge los acuerdos mencionados y que son el resultado del trabajo mancomunado de la ANI y el gremio de la infraestructura.</t>
  </si>
  <si>
    <t>Ajustes a la minuta en materia de retribución, gestión y adquisición predial</t>
  </si>
  <si>
    <t>Jurídica Predial</t>
  </si>
  <si>
    <t>Un gran avance de las minutas del programa de cuarta generación fue la inclusión de casos especiales de fuerza mayor en materia ambiental, redes y predial. A su vez, en los referidos proyectos las partes acordaron una regulación particular que define los presupuestos para su configuración, su alcance y el trámite contractual para su reconocimiento.
En tal sentido, sugerimos que se replique no solo esta buena práctica, sino que se extienda los tipos de eventos que pueden ser invocados como casos de fuerzas mayores especiales. Al respecto, mencionamos algunos sucesos que pueden ser incorporados a las minutas, como eventos de fuerza mayor: (i) Demoras en los trámites administrativos antes las entidades encargadas de aspectos prediales, entre ellas: la Sociedad de Activos Especiales, la Unidad de Restitución de Tierras, el Instituto Geográfico Agustín Codazzi, la Agencia Nacional de Tierras, las Oficinas de Registro e Instrumentos Público y Notarias.
En este asunto, se ha observado demoras excesivas en los procesos que se adelantan en dichas entidades, muchas veces asociados a la carencia de personal y a la falta de capacitación de funcionarios y contratistas en temas relacionados con proyectos de infraestructura.
(ii) Traslado de redes de servicios públicos e infraestructura de transporte de hidrocarburos.
En esta materia son varios los aspectos que inciden en el avance de los proyectos de asociación publico privada y que implican dilaciones injustificadas en los trámites, situaciones que, muchas veces, resultan ajenas al actuar de los contratistas. Entre los eventos que hemos identificados, señalamos los siguientes: (i) la ausencia de un catastro de redes en el país impiden conocer a ciencia cierta la existencia de infraestructura y redes de servicio públicos, las cuales no se encuentra en las bases de datos de las mismas empresas: (ii) La existencia de monopolios naturales en algunos servicios públicos han generado dificultades al momento de adelantar acercamientos y definir los diseños y los costos del traslado y protección de las redes; (iii) En muchos casos, las empresas de servicios públicos son renuentes en suministrar información sobre las redes, lo que ha implicado tiempos excesivos para lograr la suscripción de convenios; (iv) en los eventos en que los costos y el traslado o protección de los activos es responsabilidad de las empresas de servicio públicos, las intervenciones pueden tardar más de los esperado o es muy factible encontrarse con la negativa del operador o dueño de la red a efectuar la intervención sobre la red.
(iii) Consultas previas en proyectos de infraestructura
En lo concierne a este asunto, hemos evidenciado que la ausencia de una ley estatutaria que regule de manera adecuada el ejercicio del derecho fundamental a la consulta previa ha conllevado a una inseguridad jurídica sobre la materia y se ha configurado como un cuello de botella de la mayor relevancia a la hora de ejecutar los proyectos.
En algunas oportunidades esa incertidumbre jurídica ha implicado una suspensión de las obras de forma prolongada y sin que resulte imputable a la entidad y al ejecutor del proyecto. Al respecto, se pueden mencionar algunos proyectos que fueron afectados por procesos consultivos: • Córdoba- Sucre: una comunidad pidió adelantar consulta previa cuando el proyecto se encontraba avanzado en ejecución. En este caso, la Corte Constitucional definió que era procedente consultar nuevamente con la comunidad.
• Mulaló – Loboguerrero: algunas comunidades pidieron adelantar consultas previas, que implicaron un largo período de negociaciones.
• Cesar – Guajira: aunque se trató de una iniciativa privada, fue un proyecto que terminó anticipadamente por la presión de los pobladores para reubicar estaciones de peaje y por fallos judiciales en acciones de tutela que ordenaron adelantar consultas previas con varias comunidades.
• Conexión Norte: el Tribunal Superior de Antioquia resolvió suspender el avance del proyecto hasta que el contratista realizará la consulta previa con la comunidad étnica de Puerto Triana.
• Ruta del Sol 3: la existencia de comunidades en la Sierra Nevada de Santa Marta implicó adelantar procesos de consulta previa que tardaron más de dos años.
En ese orden de ideas, insistimos una vez más en la importancia de incorporar en la minuta de los contratos parte de esta casuística como eventos constitutivos de fuerza mayor especial, la cual podrá contar con una regulación objetiva que facilite su reconocimiento, tal y como acontece con las fuerzas mayores de las secciones 7.4 (a)(i), predial, 8.1 (e), ambiental, y 8.2. (i), redes, del contrato estándar del 4G (Todas estas fuerzas mayores incorporan como regla objetiva el paso del tiempo, una vez se han adelantado los respectivos trámites, sin que se pueda concretar un determinado resultado u obtener respuesta por parte de la entidad responsable. Esta regla facilita el reconocimiento de la fuerza mayor, porque posibilitan su configuración, siempre que medie la debida diligencia, sin entrar en la discusión sobre el carácter imprevisible o no del evento).</t>
  </si>
  <si>
    <t>Fuerzas mayores contractuales</t>
  </si>
  <si>
    <t>De otra parte, sometemos a consideración de la entidad la posibilidad de ajustar los alcances de las actividades de seguimiento de las futuras interventorías a los proyectos de infraestructura, teniendo en cuenta que en la actualidad los interventores de la ANI efectúan el control y seguimiento a una gran variedad de materias y tal situación ha representado varias dificultades para el avance de las obras.
Nuestra amable solicitud tiene sustento en los mandatos previstos en el artículo 83 de la Ley 1474 de 2011, el cual establece el siguiente alcance:
“La supervisión consistirá en el seguimiento técnico, administrativo, financiero, contable, y jurídico que sobre el cumplimiento del objeto del contrato, es ejercida por la misma entidad estatal cuando no requieren conocimientos especializados. Para la supervisión, la Entidad estatal podrá contratar personal de apoyo, a través de los contratos de prestación de servicios que sean requeridos.
La interventoría consistirá en el seguimiento técnico que sobre el cumplimiento del contrato realice una persona natural o jurídica contratada para tal fin por la Entidad Estatal, cuando el seguimiento del contrato suponga conocimiento especializado en la materia, o cuando la complejidad o la extensión del mismo lo justifiquen. No obstante, lo anterior cuando la entidad lo encuentre justificado y acorde a la naturaleza del contrato principal, podrá contratar el seguimiento administrativo, técnico, financiero, contable, jurídico del objeto o contrato dentro de la interventoría”.
En principio, las actividades de seguimiento a los diferentes asuntos que se ejecutan en el marco de un proyecto de APP son responsabilidad del equipo de supervisión de la entidad, lo que implicará que sea la entidad la llamada a realizar este tipo de actividades de control y vigilancia. En el caso de la ANI, es importante resaltar que se trata de una entidad pública que cuenta con equipos de supervisión integrados por profesionales de las distintas materias, entre ellas, social, ambiental, jurídica y riesgos, lo que permite concluir que la agencia cuenta con el personal idóneo para realizar por sí misma el seguimiento a todas las actividades diferentes a las de orden técnico.
En ese orden de ideas, conforme a los lineamientos del artículo 83 de la Ley 1474 de 2011, no existiría justificación para que sobre las mismas actividades se hagan dos veces el mismo tipo seguimiento, salvo por los temas técnicos, habida cuenta que la ANI ha contratado personal de apoyo para la supervisión de los proyectos, de conformidad con la parte final del primer inciso del citado artículo:
“(…) Para la supervisión, la Entidad estatal podrá contratar personal de apoyo, a través de los contratos de prestación de servicios que sean requerido”.
Así las cosas, carecería de razón suficiente, como lo exige el segundo inciso del artículo 83, contratar nuevamente el seguimiento y vigilancia de las diferentes actividades que se ejecutan en los proyectos.
Por lo anterior, la propuesta concreta de la CCI es que las interventorías sean contratadas únicamente para adelantar el seguimiento y supervisión de los aspectos técnicos de los proyectos, excluyendo los jurídicos y financieros.</t>
  </si>
  <si>
    <t>Alcance técnico de la interventoría</t>
  </si>
  <si>
    <t>Una sugerencia que planteamos como consecuencia de la pandemia por COVID 19, es una revisión del clausulado relacionado con las garantías y mecanismos de cobertura de riesgos, previstos en la parte general, especial y los apéndices financieros. Al respecto, es importante mencionar que el mercado asegurador y reasegurador podría sufrir algunos reajustes y reestructuraciones teniendo en cuenta los riesgos que se han evidenciado a partir de la ocurrencia de una pandemia.
En tal sentido, sería recomendable revisar aspectos como:
1. Las calificaciones que deben acreditar las compañías reaseguradoras que respaldan las garantías que se expiden para asegurar las obras del proyecto y las actividades del proyecto. Lo anterior, permitiría una mayor participación del número de reaseguradoras (Es importante señalar que esta sugerencia tiene por objeto ampliar la participación de las reaseguradoras, habida cuenta que, como nos lo han señalado varios afiliados, en el mercado local es posible que las reaseguradoras, en sus contratos automáticos de reaseguro, no cuenten con la capacidad financiera para respaldar los proyectos de un programa 5G. Por lo anterior, eliminando una barrera de entrada al mercado de Reaseguro Facultativo, se podría aumentar la participación, siempre que no vaya en contravía de lo definido por la Superintendencia Financiera de Colombia respecto del Registro de REACOEX.). 
2. Se solicita señalar con claridad el período máximo de la etapa de reversión, teniendo en cuenta los costos de la prima de las pólizas.
3. En cuanto a los valores de los amparos de la garantía de cumplimiento, se sugiere reducir los montos establecidos, teniendo en cuenta los altos costos que representan para los proyectos y las limitaciones patrimoniales que podría generar este tipo de cuantías en el mercado asegurador.
4. Permitir a los concesionarios que puedan asegurar el 100% del valor de la infraestructura existente o el valor que resulte del estudio de PML (Sección 12.8 (a) (ii) del Contrato Parte General). De igual manera, si el contratista puede asegurar las obras por el 100% del valor del Contrato, no debería exigirse un PML para la suscripción de las Actas de Terminación por cada Unidad Funcional, toda vez que el mismo sólo cobra relevancia cuando el valor asegurado corresponde al indicado en dicho estudio como máxima pérdida probable.
5. En el caso de la póliza de Responsabilidad Civil Extracontractual, es necesario definir los sublímites mínimos aceptados para que haya uniformidad en la búsqueda de cotizaciones. Por ejemplo, en algunas coberturas, como remoción de escombros o gastos de extinción al 100%, no es normal que se otorgue ese tipo de amparos.
6. Teniendo en cuenta que las compañías aseguradoras, que amparen el lucro cesante, deben asegurar también la parte del daño material, se sugiere establecer lo referente al cubrimiento del Lucro Cesante que no aparece definido o, por lo menos, se especifique si será o no obligatoria la contratación de este amparo.
Para este efecto sería importante contar con la opinión del gremio que agremia al sector asegurador.</t>
  </si>
  <si>
    <t>Sugerencia en materia de garantías y mecanismos de cobertura de riesgos</t>
  </si>
  <si>
    <t>Otro aspecto que sugerimos revisar, y que resulta de la mayor relevancia para facilitar la financiación de los proyectos, es el relacionado con la asignación del riesgo regulatorio por cambios tributarios o en la normatividad general a los contratistas.
Esta sugerencia de asignación podría ir en contravía de una distribución eficiente del riesgo, toda vez que el contratista no ejerce ningún grado de control y carece de mecanismos de mitigación frente a la facultad del Estado para emitir normas vinculantes, ya sea mediante leyes o actos administrativos. Así mismo, la incertidumbre frente a los futuros cambios legislativos y los impactos asociados a una nueva regulación, hacen imposible cuantificar cualquier potencial costo y la posibilidad de internalizarlo en el proyecto para mitigarlo.
Ahora bien, si el riesgo se asigna al público, es claro que dicha parte se encuentra en mejor capacidad para administrarlo, por cuanto es el Estado quien ejerce la facultad normativa y cuenta con los mecanismos para controlarlo o mitigarlo. En ese orden de ideas, si la entidad retiene el riesgo por cambio normativo, se daría cumplimiento al principio de la asignación eficiente, en caso contrario, trasladarlo al privado, se podría desconocer los mandatos del artículo 4 de la Ley 1508 de 2012.
Con ocasión de lo mencionado anteriormente, la CCI recomienda que este riesgo se asigne al asociado público, incluso en materia tributaria, por cuanto, se reitera, el privado no puede ejercer mecanismos de administración o mitigación del riesgo regulatorio.</t>
  </si>
  <si>
    <t>Riesgo regulatorio</t>
  </si>
  <si>
    <t xml:space="preserve">A continuación, nos referiremos algunos aspectos puntuales de la minuta respecto de los cuales realizamos algún tipo de sugerencia o planteamos una inquietud:
(i) VPIP (Sección 3.4. (d)): en la sección referida se establece que, si a la Fecha de Terminación de la “Etapa de Operación y Mantenimiento” el Concesionario no ha obtenido el VPIP, la ANI no reconocerá al concesionario el saldo no devengado por concepto de VPIP, en consecuencia, para este caso en particular, la entidad no ofrece garantía que mitigue los efectos causados por la no obtención del VPIP. 
Teniendo en cuenta que los Soporte de Ingresos se calculan anualmente, quisiéramos conocer cuáles serían los casos en los que no se podría obtener el VPIP al finalizar la etapa de operación y mantenimiento.
(ii) Recursos remanentes en subcuentas (Sección 3.14.): en los proyectos de cuarta generación los recursos remanentes de algunas subcuentas se distribuían entre las partes al momento de liquidarla, correspondiendo a los concesionarios el 60%. Sin embargo, para el programa 5G, se observa que la ANI será la propietaria de los remanentes de las subcuentas.
Con ocasión de la modificación que hemos señalado, queremos conocer las razones del cambio sustancial en cuanto a la disposición de los recursos sobrantes en algunas subcuentas de la fiducia del proyecto.
(iii) Plazo adicional sin sanciones para el concesionario (Sección 4.10 (b) (iii)): En la Parte General del Contrato de Concesión tipo se incluye la Sección 4.10 (b) (iii) mientras que en la Parte General del Contrato de Malla Vial del Valle del Cauca no está incluida esta cláusula. ¿Se prevé en las siguientes Iniciativas Privadas no incluir la cláusula? ¿Cuál es el motivo de tener la cláusula en un contrato y en el otro no?
(iv) Generalidades de la gestión predial (Sección 7.1. (f) (i)): La descripción de Predios Ofertados incluye los Predios en Cesión y en Adjudicación. ¿Es correcta la descripción? Posteriormente, se refleja la definición por separado para Predios en cesión y en adjudicación y da la impresión de repetirse la información.
(v) Generalidades de la gestión predial (Sección 7.1. (f) (iii)): en la sección relacionada se incorpora la tabla de porcentaje (%) de predios ofertados o adquiridos por UF, en ese sentido, queremos conocer ¿si el cálculo se realiza con base en unidades de predios independientemente de su área y criticidad en el proyecto?
(vi) Gestión social y ambiental: en materia de gestión social y ambiental, planteamos las siguientes inquietudes ¿Los costos asociados a la gestión y compromisos serán diferentes a los usados a través del sistema de bandas? Si hay ahorros en la gestión socioambiental respecto al fondeo de la subcuenta ¿podrían usarse en los costos asociados a los compromisos adquiridos con las comunidades por parte del Concesionario? y ¿la cláusula aplicará para cualquier consulta previa posterior a la etapa de preconstrucción o tiene una temporalidad definida?
</t>
  </si>
  <si>
    <t>Inquietudes y sugerencia en relación con aspectos puntuales de la minuta</t>
  </si>
  <si>
    <t>(vii) Multas y Sanciones (Capítulo X): en la medida en que el término “Sanción” no está definido, ¿Existe alguna diferencia entre sanciones y multas? ¿Existe un límite a la imposición de sanciones al concesionario por parte de la ANI?
(viii) Procedimiento para informar al concesionario el inicio del plazo de multas (sección 10.4. (b)): En 5G no se define el procedimiento por medio del cual la ANI informa al concesionario del inicio del periodo de multas, ni el procedimiento por medio del cual el concesionario puede dar contestación, ¿este iniciaría entonces automáticamente vencido el plazo de cura?
(ix) Soporte de ingresos y riesgo de tráfico (Sección 13.2. (a) (xvii)): ¿En qué escenario podría el concesionario tener un efecto desfavorable por la variación en el tráfico si el VPIP estará respaldado por el soporte de ingresos, y además podría extenderse el plazo de la concesión y el reconocimiento del Soporte de Ingresos? ¿La sumatoria en pesos constantes del soporte de ingresos (SI) es equivalente al VPIP? Dado que Malla Vial del Valle no tiene SI no se puede evidenciar dicho cálculo.
(x) Inhabilidad sobreviniente y terminación anticipada (Sección 17.2 (a)(iii): En aquel caso de que ocurra una inhabilidad sobreviniente y los prestamistas decidan no proceder con la “Toma de Posesión” no se debería terminar el Contrato de Concesión.
La sugerencia es definir un mecanismo de cesión que garantice la continuidad del proyecto y de la prestación del servicio.
(xi) Fondeos de las subcuentas predial y redes: De conformidad con lo establecido en el literal (a) y (c) de la sección 4.5. de la Parte Especial del contrato, los concesionarios deberán efectuar los fondeos en las subcuentas predial y redes respectivamente, en los montos y en las fechas determinadas en dichos literales. Sin embargo, amablemente solicitamos estudiar la posibilidad de extender los términos para efectuar los desembolsos, teniendo en cuenta que son fondeadas con mucha anticipación y representan mayores costos financieros para la ejecución del proyecto.
(xii) Fondeos de la subcuenta interventoría en la etapa de reversión: En relación con el literal (d), sección 4.5, de la Parte Especial del contrato, resultaría importante aclarar si durante la etapa de reversión se deben seguir realizando desembolsos en la subcuenta interventoría</t>
  </si>
  <si>
    <t>En cuanto a los aspectos económicos de la minuta, encontrarán a continuación algunos comentarios relacionados con las fórmulas de terminación anticipada.
- Certificaciones periódicas de las inversiones: en mesas de trabajo sostenida con distintos financiadores, las entidades financieras y prestamistas han manifestado la importancia de que el interventor certifique periódicamente, durante la ejecución del proyecto, el valor resultante de la fórmula de terminación. Por lo anterior, la sugerencia concreta de la CCI es que se incluya en los contratos de interventoría certificar periódicamente el avance del proyecto para efectos del cálculo de la aludida fórmula.
- Las fórmulas de terminación anticipada relacionadas en los numerales 18.3c, 18.3d y 18.3e, consideran que el reconocimiento del Delta (Δ) en el menor valor entre el C (Costos Asociados a actividades reconocidas) y F (Fuentes de recursos admisibles):
(i) Desconocimiento de costos asociados: la actual definición de F podría generar que no se reconozcan actividades que se han ejecutado en el proyecto, pero que aún no se hayan podido pagar con las fuentes admisibles, es decir, las actividades se ejecutaron, sin embargo los recursos aún no han podido ser desembolsados al Patrimonio Autónomo, por ejemplo: puede suceder que existan pagos al epecista cada 3 meses y en el AR se reconozca, pero aún no haya equity y deuda desembolsados en el P.A. Lo anterior, teniendo en cuenta que la fórmula toma el mínimo entre ambos valores para dicha obra ya ejecutada por el epecista, pero que se encuentra como una cuenta por pagar en la contabilidad de la concesión (no como deuda y equity), podría no reconocerse dicha obra.
(ii) Deuda desembolsada: como fuente admisible se tiene el parámetro U (Deuda efectivamente desembolsada), pero a dicha deuda se le descuentan los intereses (Int) y la amortización (Amort). Sugerimos revisar esta redacción, ya que esto no resultaría coherente pues, si bien descontarle la amortización disminuye el saldo de la deuda, los intereses son costos financieros que deberían ser reconocidos como costos asociados al proyecto y tenerse en cuenta dentro del reconocimiento.
Debe incorporarse en la fórmula un mecanismo que, como mínimo, garantice que el TE compense el 100% de los intereses pagados que se descuentan en la misma. Lo anterior cobra relevancia en una situación como la actual con el  Covid-19, donde las tasas se han incrementado. Dado que la TE es estática durante 29 años, podría darse que en cualquier momento los intereses, que se deducen, no son compensados por dicha TE y por tanto podría verse afectado el pago del saldo de la deuda.
(iii) Equity: en relación con el equity, es importante conocer ¿cómo se calcula el factor FAE? Sobre este asunto, algunos prestamistas han manifestado que debería ser el equity real aportado, ya que la estructura deuda/equity de un concesionario puede diferir de la estructura deuda/equity con la que se estructuró por parte del Gobierno.
(iv) Costos asociados que hayan sido apalancados por el subcontratista: Consideramos que en el escenario de fuentes de recursos admisibles (F), podrían no reconocerse aquellos costos o actividades ejecutadas por el contratista (epecista u otro) y que se encuentran registradas en el PA como cuentas por pagar, para los cuales podría no haber siempre una fuente admisible que los respalde.</t>
  </si>
  <si>
    <t>Dentro del alcance de la Unidad Funcional 1, se define una obra especial que debe ejecutar como mínimo el Concesionario: la corrección de la Curva Don Otto, pero a su vez dicha obra, tiene una condición especial de entrega por parte de la ANI, en donde, si no se entrega en los plazos máximos previstos los predios, las obras e intervenciones asociadas al tramo no entregado se entenderán automáticamente excluidos del objeto de este contrato y no harán parte del alcance del proyecto.
De conformidad con lo mencionado anteriormente, planteamos el siguiente interrogante ¿Cómo puede un eventual interesado establecer el valor económico de la oferta, teniendo en cuenta esta incertidumbre?</t>
  </si>
  <si>
    <t>Contrato parte especial - entrega de la Infraestructura</t>
  </si>
  <si>
    <t>En referencia a las definiciones previstas en el “Apéndice Técnico 4 - Indicadores de disponibilidad, seguridad, calidad y nivel de servicio”, queremos resaltar las siguientes observaciones: 2.1. En el numeral 2 – “Modelo de Indicadores”, se indica: “…Adicionalmente, para cada uno de los Indicadores, se establece un Tiempo Máximo de Corrección durante el cual el Concesionario podrá solucionar cualquier evento en el que los resultados del Indicador resulten ser inferiores al Valor de Aceptación…”. Al respecto, se sugiere ajustar el término “podrá solucionar”, teniendo en cuenta que la obligación a cargo del concesionario debe estar referida a dar solución al incumplimiento de cualquier indicador dentro del tiempo máximo de corrección, so pena de una sanción, y como garantía de las condiciones mínimas de operación y seguridad de la vía.
2.2. En el numeral 3 – “Indicadores”, se sugiere precisar los indicadores mínimos de este apéndice con los que deberán cumplir las intervenciones al momento de la entrega y recibo de las unidades funcionales, esto en observancia de la Ley 1508 de 2018. Normalmente en la parte especial de los contratos de concesión se hace esta mención, sin embargo, la redacción en el apéndice genera confusión.
2.3. En el numeral 4 – “Equipos de medición: características y calibración”, se indica que “la medición del CRT se podrá medir con cualquiera de los siguientes equipos: el SCRIM, el GRIPTESTER, y el Mu Meter, siempre que se acredite la fórmula de paso para la obtención de los valores del CRT. Se deberá garantizar el uso de la misma tipología de equipo para cada unidad funcional, para poder realizar las respectivas comparaciones y seguimiento. De no poderse realizar con el mismo equipo se deberá realizar una pista para hacer una correlación entre el equipo que siempre se ha medido y el nuevo equipo, esta pista de calibración deberá realizarse en cada tipo de rodadura existente en cada unidad funcional”.
Consideramos de la mayor relevancia indicar cuál sería el proceso que permite realizar la acreditación de la fórmula de paso para la obtención de los valores de CRT. Existen algunas fórmulas de paso entre algunos equipos, pero todas difieren entre sí, por ejemplo, en algunos casos aumentan el valor reportado, y en otros se disminuyen, generando incertidumbre sobre cuál se debe usar.
De igual manera, gran parte de la bibliografía indica que la medición de este indicador con diferentes tipos de equipos no es comparable. Consideramos adecuado, al no estar normalizada la medición de este parámetro en Colombia y al igual que se hace para el indicador de Retrorreflectividad Horizontal, se indiquen los valores de cumplimiento para cada tipo de equipo (SCRIM, Mu meter y Griptester), parametrizando de igual manera las variables de cada ensayo: velocidad de medición, caudal de agua a aplicar y espesor lámina de agua.
2.4. En la “Tabla 1 – Indicadores exclusivos para Pavimento Flexible”, específicamente para el indicador ahuellamiento (E2), se sugiere modificar el método de medida así: “Se tomarán medidas cada 20 m, dentro de cada km, pero si se advierte visualmente una depresión entre los rangos de 20 m, se deberá realizar una medición puntual a esa zona”.
En referencia al tiempo máximo de corrección, se sugiere que la interventoría, de acuerdo con el nivel de severidad del daño, defina este término, pues si el nivel de severidad es bajo podría estar en los 3 meses como está establecido; si nivel es medio debería ser más pronta la atención del sitio; y si el nivel de severidad es alto debería ser como máximo 1 mes, toda vez que de ella depende la seguridad de los usuarios de la vía.
2.5. En la “Tabla 1 – Indicadores exclusivos para Pavimento Flexible”, específicamente para el indicador de baches (E6), se recomienda que el área a evaluar sea un poco más pequeña debido a la circulación de motos, pues estas tienen un ancho de llanta nominal de 120 mm, luego se recomienda que el área sea mayor a 0.015m².
2.6. En la “Tabla 1 – Indicadores exclusivos para Pavimento Flexible”, el indicador (E7) Hundimientos, considera dos valores de afectación, por tanto, se debería dejar el segundo o aclarar el primer valor, señalando el rango, es decir, menor o igual a 0.1% del área de la calzada o como máximo se acepta el 0.1% del área de la calzada. En referencia al tiempo máximo de corrección, el tiempo debería estar regulado como los baches, toda vez que la medición trata sobre el nivel de severidad del daño de media a alta, entonces se recomienda:
- Etapa Preoperativa: 1 semana
- Etapa de Operación y Mantenimiento: 24 horas
2.7. En la “Tabla 2 – Indicadores exclusivos para Pavimento Rígido”, específicamente para el indicador (E19) denominado Grietas, se sugiere tener en cuenta que de acuerdo con el Manual para la inspección visual de pavimentos Rígidos – INVIAS, las grietas con nivel de severidad media – alta son aberturas mayores a 0,01 m.
2.8. En la “Tabla 3 – Indicadores para Pavimento Rígido y Flexible”, en referencia al tiempo máximo de corrección de los indicadores (E1) IRI y (E4) “Coeficiente de Fricción Transversal”, se sugiere que la interventoría defina este tiempo de acuerdo con el nivel de severidad del daño, pues si el nivel de severidad es bajo podría estar en los 3 meses; si el nivel es medio debería ser más pronta la atención del sitio; y si el nivel de severidad es alto, debería ser como máximo 1 mes, toda vez que de ellos depende la seguridad de los usuarios de la vía.
2.9. En la “Tabla 3 – Indicadores para Pavimento Rígido y Flexible”, específicamente para la señalización horizontal (E12), se definen unos valores para el recibo de la reflectividad, sin embargo, a pesar de que se establece las especificaciones generales de construcción Invías 2013, que en su artículo 700.5.2.3 determina las condiciones de reflectividad, los valores son diferentes, razón por la cual se solicita ajustar los valores a la norma técnica vigente.
2.10. Por otra parte, en referencia al método de medida, se define que se tomará una medida cada 20 m en cada línea de borde (derecho e izquierdo) y en cada línea interior central, de división de carriles. Al respecto, queremos indicar que esta medición es prácticamente imposible de realizar con un equipo fijo (serían tres tomas cada 20 m por línea, en 10 Km de una doble calzada serían 9.000 puntos), además de los peligros que conllevaría la medición principalmente en la línea central.
Sugerimos que esta medición se realice con equipo de medición continua, toda vez que las afectaciones en la operación de la vía y el alto riesgo para el personal que realiza la medición y para los usuarios cuando se realiza la medición de manera puntual, la hacen inviable y peligrosa.
2.11. En la “Tabla 3 – Indicadores para Pavimento Rígido y Flexible” no se precisa para el indicador (E4) “Coeficiente de Fricción Transversal”, cada cuánto debe generarse el reporte de la medición. Por otra parte, se indica que la normatividad aplicable corresponde a la NLT 336/92 (medición fricción con equipo SCRIM), y la norma INV-E-815-13 (Medición con dispositivo de rueda parcialmente bloqueada con grado de deslizamiento fijo- Griptester), sin embargo, no se indica la normatividad aplicable para el Mu Meter, que es el equipo más usado en el país para la medición de resistencia al deslizamiento.
Al respecto, consideramos relevante incluir la norma que aplicaría para este tipo de equipos (Norma ASTM E670-09 de 2015).</t>
  </si>
  <si>
    <t>Indicadores de disponibilidad, seguridad, calidad y nivel de servicio</t>
  </si>
  <si>
    <t>De las disposiciones del Apéndice Técnico 6 - Gestión Ambiental, las principales observaciones se detallan a continuación:
3.1. En el numeral 3.2, obligaciones del Concesionario relacionadas con la Autoridad Ambiental, literal i), se indica: “Ceder a la ANI o a quien ésta defina, el trámite o Licencia y Permiso en el evento descrito en la Sección 8.1 (d) de la Parte General”. De acuerdo con la revisión del documento Parte General, evidenciamos que dicha disposición hace referencia al literal (g). Por lo anterior, solicitamos realizar la debida corrección.
3.2. Con relación a las compensaciones socioambientales señaladas en el numeral 3.3, solicitamos aclarar la diferencia de los informes técnicos mensuales requeridos en los literales (d) y (m) de este numeral, ya que de su lectura se interpreta que corresponden al mismo documento.
3.3. De acuerdo con el numeral 4.1, obligaciones generales durante la fase de preconstrucción, literal (b), (i) Intervenciones que no requieran de Licencia Ambiental, se señala en el ítem 8: “La Interventoría en un plazo de diez (10) días emitirá observaciones o en caso contrario determinará la No Objeción del PAGA. En caso de observaciones el Concesionario contará con cinco (5) días para subsanarlas”. Sin embargo, en la segunda viñeta del numeral 7, se indica: “La Interventoría contará con cinco (5) días desde la presentación del PAGA para presentar al Concesionario y a la ANI sus observaciones al mismo”. Teniendo en cuenta la información anterior, solicitamos aclarar el plazo que tendrá la interventoría para emitir las observaciones del documento PAGA.
3.4. En el numeral 4.2, plan de trámites ambientales, se expresa que “Es el documento que el Concesionario elaborará y presentará al Interventor y la ANI a los dos (2) Meses siguientes a la Fecha de Inicio de la Fase de Preconstrucción (…)”. Sin embargo, en el numeral 1.139 de la Tabla de referencias a la Parte General, del documento PARTE ESPECIAL, se indica: “El plazo para la entrega del Plan de Trámites Ambientales será de doscientos diez (210) días contados desde la Fecha de Inicio”. De acuerdo con lo anterior, solicitamos aclarar el tiempo que tendrá el Concesionario para hacer la entrega del Plan de trámites ambientales.
3.5. Conforme a las obligaciones establecidas en los numerales 4.1 y 4.4, el Concesionario deberá tramitar las licencias y permisos ambientales durante los 12 meses que dura la fase de preconstrucción, y, por lo tanto, hasta no contar con estas aprobaciones de la autoridad ambiental, no podrá realizar ninguna intervención en la Unidad Funcional. De acuerdo con lo anterior, y teniendo en cuenta que este plazo es el mismo definido para el programa de concesiones 4G, manifestamos nuestra preocupación frente al cumplimiento de esta obligación por parte del Concesionario, ya que para el programa de concesiones 5G están adicionando, tanto los trámites para recibir en cesión total las licencias ambientales existentes en los corredores del proyecto, como el trámite y la obtención de las modificaciones a las licencias y a los permisos ambientales, y los pronunciamientos de cambio menor o de giro ordinario. Por lo tanto, solicitamos comedidamente se revise y de ser posible, se amplíe este plazo.
3.6. De acuerdo con lo definido en el literal (e) del numeral 5.1, obligaciones generales durante la fase de construcción, el Concesionario deberá realizar auditorías integrales con una firma externa que tenga experiencia en auditorías de obras de infraestructura vial. Teniendo en cuenta que el proyecto contará con la supervisión de la ANI y de la Interventoría, solicitamos aclarar la necesidad de realizar estas auditorías con una firma externa. 3.7. Conforme a las definiciones previstas en el numeral 5.4, el cierre ambiental deberá hacerse dentro de los dos (2) meses siguientes a que se concluyan las intervenciones en cada Unidad Funcional. Teniendo en cuenta que este plazo continúa siendo el mismo establecido en los contratos de cuarta generación, y como se ha evidenciado que este tiempo es muy corto para realizar el respectivo cierre, solicitamos comedidamente ampliar este plazo, con el fin de lograr que no queden requerimientos ambientales pendientes de ejecutar o terminar en los proyectos.
3.8. En el Capítulo VI, obligaciones durante la etapa de operación y mantenimiento, el numeral 6.2 se titula “Para las unidades funcionales que cuente con las licencias ambientales terminadas o con PAGAS diseñados para etapa de Construcción”. Teniendo en cuenta que la información contenida en este capítulo hace referencia a las obligaciones que deben considerarse en la etapa de operación y mantenimiento, solicitamos revisar y corregir, si el título hace referencia a los “PAGAS diseñados para la etapa de Operación y Mantenimiento”.</t>
  </si>
  <si>
    <t>Aspectos de la gestión ambiental</t>
  </si>
  <si>
    <t>4.1. En el numeral 8.1, literal (d), del documento Parte General, se establece que el Concesionario deberá realizar consultas previas a las comunidades étnicas que sean reconocidas mediante fallo judicial o certificadas por la autoridad estatal competente, con posterioridad a la apertura del proceso de selección. Considerando que este es un nuevo aspecto solicitado en el programa concesiones 5G, y que es muy relevante para el componente social y para la obtención de la licencia ambiental del proyecto, manifestamos nuestra preocupación, ya que se pueden generar mayores gastos y tiempos no previstos para el concesionario, teniendo en cuenta que para la elaboración de la oferta económica no se contará previamente con el número real de las comunidades que pueden hacer parte del proceso de consulta previa.
De igual manera, como lo señalamos en el numeral 4.1 anterior, la entidad deberá adelantar como requisito previo a la apertura de los procesos de selección, de conformidad con lo establecido en el artículo 39 de la Ley 1682 de 2013, el proceso de consulta previa con las comunidades existentes en las áreas de influencia de los proyectos, labor que deberá efectuarse de forma eficaz y eficiente, con el objeto de reducir la incertidumbre que se presenta en este asunto particular (El artículo 39 de la Ley 1682 de 2013 establece que “a partir del tercer año siguiente a la promulgación de la ley, como requisito previo a la apertura de los procesos de selección para la construcción de proyectos de infraestructura de transporte, la entidad pública estará obligada a contar con la viabilidad de una alternativa del proyecto aprobada por parte de la autoridad ambiental competente con base en estudios de prefactibilidad, haber culminado los Estudios de Factibilidad y haber concluido el proceso de consulta previa con la respectiva comunidad hasta su protocolización, si procede la misma”.) 
4.2. De acuerdo con lo anterior, igualmente queremos manifestar nuestra preocupación, pues existe una alta probabilidad de que los tiempos de obtención de la licencia ambiental se alarguen, y por lo tanto se puedan generar retrasos en el cumplimiento del plan de obras, ya que, para tramitar esta licencia, es requisito contar con los acuerdos definitivos y protocolizados dentro del proceso de consulta previa. Lo anterior, tal y como está definido en los documentos del contrato, en donde se señala que el Concesionario deberá contar con la licencia ambiental para iniciar las intervenciones de las UF en la fase de construcción.</t>
  </si>
  <si>
    <t>Aspectos de la gestión social</t>
  </si>
  <si>
    <t>5.1. De los riesgos previstos en la Parte Especial, puntualmente en los numerales 13.2 Riesgos asignados al Concesionario y 13.3 Riesgos de la ANI, teniendo en cuenta que se exceptúa el documento denominado matriz de riesgos del proyecto, publicado en el SECOP, el cual es de referencia y no hace parte del Contrato de Concesión ni tiene carácter de vinculante, queremos señalar las siguientes inquietudes:
5.2. En referencia al soporte de ingresos, por medio del cual se reemplazan las compensaciones del riesgo comercial de diferencial de recaudo por menor tráfico – DR´s, y que corresponde a un monto que garantizará el Estado anualmente, contado con posterioridad a la construcción y hasta un plazo fijo, para compensar el menor recaudo. A partir de lo antes mencionado, agradecemos aclarar la siguiente afirmación contenida en un documento del cuarto de información de referencia del proyecto: “En el caso de la NMVVC, NO APLICA este Soporte de Ingreso”.
5.3. Frente al riesgo ambiental y social se establece que:
“Los efectos favorables y/o desfavorables derivados de los costos y las demoras en la gestión para la obtención de las Licencias Ambientales, Planes de Manejo Ambiental, conceptos y demás permisos de carácter ambiental, así como las gestiones, costos y demás actividades derivadas de los acuerdos de nuevas consultas previas con la comunidades étnicas y/o afrodescendientes y que sean requeridos durante la ejecución del Proyecto y para el cumplimiento de Indicadores en los términos de esta Parte General, toda vez que es obligación de resultado del Concesionario efectuar la Gestión Social y Ambiental y cumplir al respecto con la Ley Aplicable. En este caso, salvo por las coberturas a cargo de la ANI expresamente previstas en el presente Contrato, de acuerdo con lo establecido en la Sección 8.1(d) de la Parte General, los efectos favorables y/o desfavorables derivados de los acuerdos que se generen como consecuencia de la(s) nueva(s) consulta(s) previa(s) protocolizadas durante la ejecución del Proyecto.”. Reiteramos nuestra preocupación en el sentido de señalar que la incertidumbre frente al desarrollo de las nuevas consultas previas y a los posibles efectos desfavorables derivados de los acuerdos que se generen, configuran un riesgo muy alto para el concesionario, teniendo en cuenta que los costos que se generen como consecuencia de la gestión social y ambiental para adelantar dichas consultas previas serán asumidos en su totalidad por el concesionario, y los compromisos derivados de dichos acuerdos que sean protocolizados, serán asumidos por las partes en proporciones iguales (50% / 50%), simultáneamente.
De igual manera, como lo señalamos en el numeral 4.1 anterior, la entidad deberá adelantar como requisito previo a la apertura de los procesos de selección, de conformidad con lo establecido en el artículo 39 de la Ley 1682 de 2013, el proceso de consulta previa con las comunidades existentes en las áreas de influencia de los proyectos, labor que deberá efectuarse de forma eficaz y eficiente, con el objeto de reducir la incertidumbre que se presenta en este asunto particular.
5.4. Como riesgo a cargo del concesionario, se establece la variación en los costos asociados a las cantidades de obra para la realización de túneles sin soporte parcial por riesgo geológico, sin embargo, dentro del alcance del proyecto no se incluye la ejecución de túneles. Solicitamos aclarar si el riesgo resulta aplicable o no al proyecto.
Dra. Cardona, atendiendo a sus buenos oficios, agradecemos tener en cuenta nuestras reflexiones sobre la minuta de contrato, y sus apéndices, del proyecto Nueva Malla Vial del Valle del Cauca, las cuales propenden por el éxito de la adjudicación y el desarrollo del programa.</t>
  </si>
  <si>
    <t>Riesgos del proyecto</t>
  </si>
  <si>
    <t xml:space="preserve">Financiera Riesgos </t>
  </si>
  <si>
    <t xml:space="preserve">La Cámara Colombiana de la Infraestructura adjunto a las anteriores observaciones el "ANEXO PROCEDIMIENTO DE VERIFICACIÓN UNIDAD FUNCIONAL" (Por el formato no se incluye en esta matriz y queda pendiente remitir al area correspondiente). </t>
  </si>
  <si>
    <t>ASOBANCARIA, 28/05/2020</t>
  </si>
  <si>
    <t>La fórmula que se propone para la liquidación anticipada del contrato desmejora la posición de los acreedores y del concesionario. Pues, si bien en los proyectos de infraestructura 4G este valor se estima de acuerdo con el
costo de las inversiones y sujeto al cálculo del interventor en el momento de la liquidación, en los de 5G no solo se mantiene esta subjetividad, sino que también se limita el valor a las fuentes admisibles que se han inyectado al Patrimonio Autónomo, las cuales por sí mismas podrían no reconocer las inversiones efectivamente ejecutadas y reconocidas. En este sentido, sugerimos no incluir el componente F en las fórmulas de liquidación del  contrato, así como la eliminación de los elementos de la fórmula (por ejemplo, precios de mercado y valores máximos) que le imprimen subjetividad al componente C.
Se sugiere que la fórmula de terminación anticipada tenga en cuenta todas aquellas inversiones reconocidas, y que además, los acreedores cuenten con un seguimiento que brinde tranquilidad. Esto con el objetivo de que no haya dependencia de la subjetividad en el momento de la liquidación. Solicitamos incluir en el Contrato de Concesión la obligación a cargo del interventor de certificar a los prestamistas periódicamente, el valor resultante del cálculo de la fórmula de terminación a lo largo de la vigencia de este Contrato. Lo anterior, teniendo en cuenta que esto garantiza que en el momento en que se termine el Contrato por una de las causales de terminación anticipada (sección 17.2), se tendrá claro cuánto tienen que pagarle al proyecto y a los prestamistas. Además, teniendo en cuenta que los desembolsos se realizan normalmente de forma mensual y trimestral, sugerimos que se efectúe la certificación del interventor de manera trimestral, con fundamento en estados financieros trimestrales.</t>
  </si>
  <si>
    <t>18.3 Fórmulas de Liquidación del Contrato:</t>
  </si>
  <si>
    <t>En la fórmula de Terminación Anticipada con anterioridad al inicio de la fase de Construcción, el componente F no incluye el elemento de la deuda. Se debe tener en cuenta que gran parte de los proyectos de construcción tienen como característica el apalancamiento de recursos mediante los réditos puente, los cuales son desembolsados inmediatamente y usados en etapas de corta duración, Por ejemplo, al darse por terminado el Contrato en la fase de preconstrucción, no se reflejarán las deudas adquiridas por créditos puentes ni las cuentas por pagar en la liquidación del contrato. Por lo anterior, solicitamos que para esta etapa se tenga en cuenta que en la fórmula del
componente F se incluya la suma del valor de los montos de deuda efectivamente desembolsados por parte de los Prestamistas, y que además, se reconozcan todos los recursos con los que fueron apalancadas las inversiones:
cuentas por pagar a diseñadores, contratista EPC, asesores, entre otros. Esto de acuerdo con las certificaciones expedidas por la Fiduciaria que administra el Patrimonio Autónomo.</t>
  </si>
  <si>
    <t>Literal c:</t>
  </si>
  <si>
    <t>La definición de F “valor acumulado de las fuentes de recursos admisibles, expresado en Pesos corrientes del mes en que se suscriba el Acta de Liquidación” no reconoce aquellas actividades llevadas a cabo en el proyecto
pero que aún no se han pagado con las fuentes de este tipo de recursos. Por ejemplo, existen facturas que tienen periodos de pago específico, y si el Contrato se termina en algún momento entre el período en que estas se cobran y la fecha estimada para el desembolso de los recursos, estas no estarán reflejadas en las fuentes del proyecto, y por lo tanto, no van a ser pagadas.
Al respecto, solicitamos que se modifique esta definición de tal manera que se incluyan las actividades ejecutadas en el proyecto, pero cuyas fuentes no han sido inyectadas al Patrimonio Autónomo. • En cuanto al equity, en la Fórmula de Terminación Anticipada se limita su valor. Este no podrá superar el monto que resulte de multiplicar la suma del total de los valores mínimos de los Giros de equity previstos en la Parte Especial por el factor FAE y no reconoce todo lo que efectivamente hayan inyectado los Sponsors al proyecto. Consideramos que esto es adverso cuando: (i) los Financiadores hayan pactado una estructura de capital que difiera sustancialmente de la que tuvo en cuenta la ANI en la estructuración del proyecto; y (ii) en cualquier situación en la que, por no haber viabilidad para que se realicen desembolsos, el proyecto se haya apalancado a través de los Sponsors, mediante aportes de equity. Por cuenta de lo anterior, encontramos que este límite que se estipula en el contrato no permitiría que la totalidad de las inversiones realizadas se vean reflejadas en la Fórmula de Terminación Anticipada.
• Se solicita aclarar la metodología para el cálculo del factor FAE (1,0526), toda vez que en la parte especial de esta minuta, se establece que este factor contemplará la relación deuda/equity, desconociendo que en el contrato de
crédito y en la realidad del proyecto esta no es estática, sino dinámica. En este sentido, se requiere que este factor refleje lo realmente aportado y no lo que está pactado en esta parte especial del Contrato de Concesión.</t>
  </si>
  <si>
    <t>Literal c, d y e:</t>
  </si>
  <si>
    <t>En las fórmulas de Terminación Anticipada en fase de Construcción y en etapa de Operación y Mantenimiento se incluyen los intereses pagados al valor total de la deuda. Se debe tener en cuenta que en algunos proyectos se dispone de diversas alternativas de alivios de financiación aplicados a un periodo de largo plazo, tal como los periodos de gracia, los cuales posteriormente generan un incremento representativo en los intereses de la deuda adquirida. En este caso, cuando se calcule el valor de F, este se reducirá conforme a la descompensación entre la suma de la deuda y la resta de los intereses. Es decir, el nominal de ajuste tenderá a valores cercanos a cero.
Con base en lo anterior, los valores bruto y neto de liquidación del Contrato no representarán efectivamente la liquidación del Contrato de Concesión. Sobre el particular, solicitamos que se excluyan la resta de estos intereses del
componente F, o que por lo menos, se garantice que la TE sea suficiente para cubrir los intereses pagados y se consideren como parte del Arh “costos durante el mes h asociados con las actividades que haya realizado el Concesionario que hayan sido reconocidos por ANI, en Pesos corrientes”.</t>
  </si>
  <si>
    <t>Literal d y e:</t>
  </si>
  <si>
    <t>Respecto a la variable ARh, se tienen las siguientes observaciones</t>
  </si>
  <si>
    <t>Sobre la forma de acreditar el cumplimiento del cierre financiero, esta nueva minuta tiene dos aspectos novedosos frente a la minuta de 4G: (i) no se hace referencia a una “certificación” emitida por los financiadores, sino a un
“compromiso en firme” emitido por el Prestamista, como documento que debe ser presentado para efectos de acreditar la obtención del cierre, y (ii) mientras la “certificación” permitía por sí misma acreditar el cierre, en esta nueva minuta se exige, además, la presentación el contrato de crédito dentro de los nueve (9) meses siguientes al inicio de la fase de construcción.
A este respecto, y partiendo de la base que es responsabilidad del Concesionario obtener el cierre financiero y asumir los riesgos de su no obtención, es del caso tener en cuenta que la mencionada “certificación” se entrega actualmente sujeta a la condición de que resulten satisfactorios la debida diligencia y los conceptos de los asesores técnicos, habida cuenta de los tiempos requeridos por la ANI para su emisión. Por el contrario, bajo esos mismos parámetros, la emisión del “compromiso en firme” no resulta viable, toda vez que no se contaría con el tiempo suficiente para adelantar los mencionados procedimientos y para definir si se hace parte del proyecto como financiador.
Por su parte, la inclusión de la obligación de aportar el contrato de crédito en el  término mencionado parece excesiva en este contexto, teniendo en cuenta que el proceso de negociación y cierre de las condiciones financieras y los documentos que las reflejen, puede llegar a tardar un tiempo superior a los nueve (9) meses que indica la minuta del Contrato. Así las cosas, sería perjudicial establecer este corto término tanto para los intereses de los financiadores, que no pueden sortear todas sus instancias correctamente, como de los Concesionarios, que se verían enfrentados a un potencial incumplimiento de las obligaciones del Contrato de Concesión.
Igualmente, es del caso recordar que la mayoría de Contratos de Crédito tienen unas restricciones de confidencialidad que podrían verse afectadas por la publicación del documento. Cada contrato de crédito refleja compromisos
específicos producto de evaluaciones particulares que cada entidad financiera adelanta con base en las condiciones de cada proyecto y del respectivo Concesionario y Sponsors, de manera que la presentación obligatoria de su
contenido a terceros podría incluso llegar a resultar en un desincentivo para ciertas entidades.
En vista de lo anterior, se sugiere eliminar la exigencia del “Compromiso en firme”, manteniendo la entrega de la actual “certificación” sujeta a la condición de viabilidad del proyecto. Así mismo, se sugiere ampliar el plazo de entrega del Contrato de Crédito, considerando para el efecto la duración de negociaciones anteriores. Con base en esta duración y considerando la complejidad, preparación y tiempo requerido para estructurar la financiación de proyectos de estas características, se sugiere otorgar al menos treinta y seis (36) meses para la entrega de los contratos de crédito, contados a partir de la firma del contrato de concesión. Por último, para evitar discusiones sobre la publicación del Contrato de Crédito, se sugiere establecer expresamente que la entrega del mismo a la ANI implicará, para esta Autoridad, la obligación de mantener la confidencialidad del documento.</t>
  </si>
  <si>
    <t>El Capítulo X hace referencia a las “Sanciones y Esquemas de Apremio”, previendo en el numeral 10.1 la referencia alternativa a los términos “Multas o Sanciones”; sin embargo, a diferencia de las “Multas”, las “Sanciones” no se encuentran definidas y parecerían abrir posibilidades ilimitadas en contra del Concesionario. A modo de ejemplo, en relación con las Multas se define un valor máximo que llevará a Caducidad en caso de alcanzarse. En vista de lo anterior, se sugiere que la figura de las “Sanciones” se regule y limite debidamente, con el fin de evitar interpretaciones que puedan resultar en escenarios litigiosos o que sea debidamente eliminada.</t>
  </si>
  <si>
    <t>Multas y Sanciones</t>
  </si>
  <si>
    <t>En oportunidades anteriores la Asociación ha manifestado algunas observaciones en relación con los términos para el ejercicio del derecho de toma de posesión por parte de los financiadores. A modo de ejemplo, a continuación se transcribe lo mencionado al respecto en comunicación dirigida al entonces Presidente de la ANI en abril de 2015, en la que se recopilaron los comentarios al respecto:
“La figura de la toma de posesión de los prestamistas está reglamentada actualmente en el numeral 3.12 del modelo de contrato; sin embargo, no se encuentra detalle relacionado, por ejemplo, con los efectos sobre los cronogramas de obras y las sanciones del concesionario anterior, a pesar de que el literal (e) del mencionado numeral hace referencia a los efectos de dicha figura. Si bien se reconoce el avance que la reglamentación contenida en el contrato ha tenido en esta materia, aún hace falta mayor desarrollo, que brinde claridad al procedimiento y genere mayor confianza para que los prestamistas ejerzan el derecho implícito en esta figura. Así mismo, el tiempo establecido para que las entidades financieras ejerzan la toma de posesión resulta ser corto, dada la relevancia de esta figura para dichas entidades.
Los aspectos mencionados resultan de la mayor importancia en un evento de toma de posesión respecto del nuevo concesionario y, por consiguiente, para los prestamistas. Al no estar regulado el efecto que tiene la figura respecto de los cronogramas contenidos en el plan de obras, podría entenderse que, surtida la toma de posesión, quien asume la posición contractual inicia su gestión con incumplimientos del cronograma no imputables a él, pero que inclusive podrían generar sanciones a su cargo.
A este respecto se considera que interpretar que el mencionado plan y cronograma son inmodificables sería tanto como aceptar que quien continúa con la posición contractual de concesionario inicia este nuevo ciclo de ejecución
incumplido y que le corresponderían sanciones por los incumplimientos que se generarán a partir de la fecha de toma de posesión, a pesar de que adelante las obras cumpliendo la duración de las etapas originalmente previstas en el cronograma.
En relación con las sanciones del concesionario anterior, si bien el ordinal (viii) del literal (e) del numeral 3.12 anteriormente mencionado prevé que lo señalado en dicho numeral ‘no afectará el trámite y cobro de las Multas que
tengan origen en incumplimientos anteriores a la Notificación para Toma o de la Notificación Derecho de Toma’, no resulta claro cuál es el efecto que dichas sanciones tienen frente a quien asume la posición contractual ejercida la toma de posesión.
En consecuencia, con el fin de evitar interpretaciones que puedan resultar en diversidad de criterios, se sugiere reglamentar más ampliamente el tema de la toma de posesión en el contrato, con el fin de que sea unánime la aplicación independientemente de los intervinientes en la concesión respectiva.”
A este respecto, es del caso reiterar las solicitudes realizadas tiempo atrás, que buscan ampliar la reglamentación de la figura, permitiendo el ejercicio de este derecho en un tiempo razonable, puesto que los términos actualmente previstos lucen bastante ajustados.
De otra parte, en el evento que ocurra una inhabilidad sobreviniente, y los financiadores decidan no proceder con la Toma de Posesión, se sugiere que ello no configure una causal de terminación anticipada del contrato, como se prevé actualmente en el Capítulo XVII “Terminación del Contrato”, numeral 17.2 literal (a) ordinal (iii). Se sugiere, alternativamente, que la ANI adelante el proceso de selección de un cesionario, que cumpla con los requisitos establecidos originalmente para el Concesionario. Adicionalmente, toda vez que este cesionario asumiría la deuda del proyecto en los mismos términos en que el contratante cedido la tenga, se sugiere que cuente con el visto bueno de los financiadores.
Esta propuesta se fundamenta en las experiencias recientes que han afectado negativamente el desarrollo de las obras y la reputación del sector, y tienen por finalidad evitar un deterioro de las obras y lograr la prestación del servicio público de forma adecuada en el menor tiempo posible.</t>
  </si>
  <si>
    <t>Toma de Posesión de los Prestamistas</t>
  </si>
  <si>
    <t>En este aparte, se hace referencia a la compensación que deberá reconocer la ANI ante la imposibilidad de instalar una estación de peaje por causas no atribuibles al Concesionario. Al respecto, solicitamos que no se excluyan los primeros 90 días después de firmar el Acta de Terminación y que además no solo se reconozca el 90% de la diferencia, sino que esta compensación sea del 100%. Lo anterior, teniendo en cuenta que, si el Concesionario no recibe este pago, los prestamistas también se verán afectados.
Adicionalmente, sugerimos que se establezca en este primer proyecto el valor de garantía de tráfico y que se compense anualmente como se establece el mecanismo en la Parte General del Contrato. Esto es esencial para la financiación del proyecto en niveles razonables, ya que el riesgo comercial es bastante incierto y más considerando la situación actual. Además, de no hacerlo se estaría acotando la rentabilidad del proyecto mediante el VPIP pero no se estaría acotando la pérdida que se puede perder al no alcanzar el VPIP. Esto sumado a la reducción del ingreso planteada en la Parte Especial por un valor equivalente a 37.28% que sigue castigando al proyecto si los ingresos de peaje disminuyen.</t>
  </si>
  <si>
    <t>3.3 Peajes, Tráfico, Derecho de Recaudo e Ingresos por Explotación Comercial -Literal g (i):</t>
  </si>
  <si>
    <t>En el “Cambio Tributario” se exceptúan los cambios que se presenten en impuestos que graven la renta, según lo previsto en la definición contenida en el numeral 1.22. Por su parte, al desarrollar este concepto, en el numeral 3.16 se establece una banda de +/- 3% del valor de los ingresos brutos que debe asumir el Concesionario sobre el impacto generado del Cambio Tributario. Esto permite cuantificar el impacto máximo de un cambio en impuestos.
Ahora bien, no incluir la renta genera incertidumbre, pues no incluye las potenciales reformas que se realicen y su impacto particular sobre la renta. Esto genera un riesgo imposible de cuantificar o manejar por parte del Concesionario, que adicionalmente afectaría la capacidad de endeudamiento del proyecto. En vista de lo anterior, se sugiere revisar la definición de este concepto.</t>
  </si>
  <si>
    <t>Cambio Tributario:</t>
  </si>
  <si>
    <t>Literal d: En esta sección se hace referencia a la regulación mediante la cual la ANI y el Concesionario asumirán los costos derivados de procesos de nuevas consultas previas. En especial, las relativas a comunidades que no hayan sido identificadas durante la estructuración del proyecto y respecto de las cuales sea necesario adelantar la consulta previa en la ejecución del contrato. En este sentido, se establece que en estos casos la ANI y el Concesionario deberán asumir cada uno el 50% de los compromisos derivados del respectivo acuerdo. Sin embargo, no se establece el tope o monto máximo para el porcentaje a cargo del Concesionario, por lo cual, no es posible cuantificar o dimensionar el valor que le correspondería asumir. A pesar de que, conforme a la sección señalada, finalmente es la ANI quien bajo su liderazgo adoptaría las decisiones relativas a los compromisos de las consultas. Sobre el particular, solicitamos definir este tope o monto máximo. En caso de que este valor sea superado en el proceso consultivo, podría considerarse la posibilidad de implementar un esquema de bandas tal y como se tiene dispuesto en otros contratos.
• Literal h: Para la configuración del primer evento de fuerza mayor ambiental definido en el contrato (fuerza mayor por la no obtención de la licencia ambiental dentro del plazo señalado en la ley), en la presente minuta se
incorpora el término “adicional”. De este modo, debería transcurrir más del 150% adicional del tiempo legal para la expedición de la licencia, para efectos de que pueda configurarse dicho evento de fuerza mayor. Así, y si se tomara como referencia un plazo legal de seis (6) meses para el trámite y obtención de la licencia, mientras actualmente en los contratos de 4G dicha fuerza mayor se configuraba a los nueve (9) meses, de acuerdo con esta minuta se configuraría a los quince (15) meses.
Este cambio resulta aún más relevante si se tiene en cuenta que en esta minuta no se precisa que el plazo de la fase de pre-construcción sea “estimado”, con lo cual de no obtenerse la licencia ambiental dentro del término de la fase de pre-construcción (doce (12) meses), podrían iniciarse procedimientos sancionatorios en contra del Concesionario a pesar de que el plazo necesario para la configuración de la fuerza mayor ambiental por la no expedición de la licencia aún no hubiese transcurrido.
En este sentido y considerando los plazos perentorios de la fase de preconstrucción (doce (12) meses), se sugiere que el plazo para la configuración de la fuerza mayor se ajuste al 100% del término que legalmente o por
reglamentación interna tenga la entidad competente sin que exceda en ningún caso la duración de la fase de pre-construcción, eliminando el término “adicional” que, en definitiva, es el que genera la problemática planteada.</t>
  </si>
  <si>
    <t>Gestión Social y Ambiental</t>
  </si>
  <si>
    <t>En la sección 13.2 se establece que está a cargo del Concesionario cualquier efecto favorable y/o desfavorable derivado de los Estudios de Detalle y Estudios de Trazado y Diseño Geométrico o cualquier otro componente de
diseño, así como sus modificaciones sobre la programación de obra, sobre los costos, y/o en general sobre cualquier situación que pueda verse afectada como consecuencia de su ejecución durante cualquiera de las etapas, entre ellos, pero sin limitarse al impacto negativo y/o sobrecosto que el cambio en los diseños pueda generar sobre otros riesgos a cargo de la ANI en los términos establecidos en el presente Contrato. Al respecto, sugerimos
mantener el mecanismo de banda como distribución de riesgos con la ANI establecidos en relación con: (i) valor de predios y compensaciones socioeconómicas (sección 7.2); (ii) compensaciones socio-ambientales (sección
8.1); y (iii) redes (sección 8.2).
De igual forma, sugerimos que el mecanismo de bandas aplique también, en relación con: (i) valor de predios y compensaciones socioeconómicas, (ii) compensaciones socio-ambientales, y (iii) redes para las obras que generan
puntaje adicional para el concesionario, ya que los riesgos siguen teniendo la misma tipología y la distribución de los mismos debe aplicar de manera equivalente según la capacidad de la parte que lo asume. De otra manera,
como financiadores es difícil estimar y acotar los riesgos a los cuales estamos expuestos en cuanto a estas actividades específicas.</t>
  </si>
  <si>
    <t>Riesgos asignados al Concesionario</t>
  </si>
  <si>
    <t>Que las licencias ambientales para iniciar obras en cada unidad funcional sean, en su totalidad, requisito para iniciar la etapa de construcción y, por ende, firmar el Acta de Inicio de Construcción.
• Que se establezca una cláusula que prevea un escenario de solución ejecutiva de controversias técnicas, mediante un Comité de Expertos que permita que deban resolverse las controversias entre la ANI y el Concesionario una vez cumplidos los términos contractuales sin que estas se hubieran resuelto. Lo anterior tiene por finalidad eliminar los plazos subjetivos y discrecionalidad, y dar más claridad a los financiadores de los plazos en que serán resueltos.
• Que, ante un escenario de indefinición en el valor y fecha de pago de la liquidación, se establezca un incentivo para que ello ocurra en un tiempo razonable. Se podría definir un plazo vencido el cual, hasta que el valor de
liquidación y fecha de pago sean definidos, los ingresos de peaje sean destinados al pago de las deudas con los acreedores registrados. 
• Con respecto a los intereses remuneratorios y de mora (sección 3.6) atados a la tasa de referencia de Depósito a Término Fijo (DTF), sugerimos que esta sea sustituida por el Indicador Bancario de Referencia (IBR). 
• Sugerimos aclarar cómo se dirime la subjetividad relacionada con el criterio del interventor respecto a incurrir en uno o en otro gasto.
• Solicitamos aclaraciones respecto a: (i) ¿está en capacidad el interventor de hacer una validación objetiva a pesar de tener una relación contractual con el concedente?; y (ii) ¿cuál es la motivación para no reconocer el pago de
intereses en el que haya incurrido el Concesionario cuando efectivamente tiene la obligación de financiarse y dicha actividad tiene un costo asociado que son los intereses?
Les reiteramos el interés de las entidades miembro de la Asociación para materializar y dar vialidad a los proyectos de infraestructura. En este sentido, consideramos necesario generar mesas de trabajo en donde todos estos temas se puedan discutir y construir para hacerlos realidad.
Esperamos que estos comentarios sean tenidos en cuenta ayuden a complementar esta iniciativa que es de gran importancia para el gremio.</t>
  </si>
  <si>
    <t>Inaki Ibarreche Harfush, 28/05/2020</t>
  </si>
  <si>
    <t>Favor de confirmar que el concesionario podrá utilizar luminarias del tipo solar para el cumplimiento del estandar E14, considerando los índices de luminosidad requeridos y sus mantenimientos ordinarios asociados.</t>
  </si>
  <si>
    <t>Apendice Técnico, Condiciones para la Operación y Mantenimiento. 6.3 Actividades Particulares del Mantenimiento. 6.3.4 Iluminación</t>
  </si>
  <si>
    <t>Para el E11 Señalamiento Vertical, no se especifica como se tratará el Valor de Aceptación durante las diferentes etapas del proyecto (Preoperativa y Operación y Mantenimiento) o si existe un plazo para poner el Señalamiento Vertical a punto.  Solicitamos se especifique.</t>
  </si>
  <si>
    <t>Apéndice Técnico 4 Indicadores de Disponibilidad, Seguridad, Calidad y Nivel de Servicio.  Página 13 de 35</t>
  </si>
  <si>
    <t>Para el E13 Estado y Estabilidad de las barreras y Elementos de Contención, no se especifica como se tratará el Valor de Aceptación durante las diferentes etapas del proyecto (Preoperativa y Operación y Mantenimiento) o si existe un plazo para poner el Señalamiento Vertical a punto.  Solicitamos se especifique.</t>
  </si>
  <si>
    <t>Apéndice Técnico 4 Indicadores de Disponibilidad, Seguridad, Calidad y Nivel de Servicio.  Página 15 de 35</t>
  </si>
  <si>
    <t>Para el caso de los pavimentos en los que se utilizará mezcla asfáltica modificada con grano de caucho reciclado durante la etapa de construcción, ¿ se debe usar el mismo tipo de mezcla para el mantenimiento posterior? o esta permitido utilizar otro mezcla asfaltica de otro tipo, ya que por mencionar un ejemplo, para el bacheo son pequeñas cantidades o para colocar un riego de sello para elevar la macrotextura no se utiliza este tipo de mezcla.</t>
  </si>
  <si>
    <t xml:space="preserve">inciso 7.2.2. Mezcla Densa en Caucho Reciclado del Apéndice Técnico 1 “Alcance del Proyecto”, en la página 45 y 46 </t>
  </si>
  <si>
    <t>En el apéndice técnico 2, sección 2.1, inciso h)  dice: Cercado de los predios que se encuentran en el corredor del proyecto y mantenimiento del cercado durante el término de la Concesión. Favor de confirmar si se refieren al cercado existente unicamente o están considerando cercar toda la longitud del proyecto?</t>
  </si>
  <si>
    <t>apéndice técnico 2, sección 2.1, inciso h)</t>
  </si>
  <si>
    <t>se busco en el cuarto de información el inventario de taludes inestables pero no se encontró. Favor de proporcionar la información.</t>
  </si>
  <si>
    <t>liga de sharepoint</t>
  </si>
  <si>
    <t xml:space="preserve">Proporcionar todas las licencias ambientales ante la ANLA (autoridad nacional de licencias ambientales) para 4 Unidades Funcionales en operación y para el 15,75 km de la Construcción de la nueva vía Bicentenario, entre la Av. Ciudad de Cali – Jamundí. Indicar si cuentas con todas las licencias ambientales desde el periodo de construcción del proyecto hasta la operación del mismo. </t>
  </si>
  <si>
    <t>Proporcionar la evidencia de los cumplimientosindicados en las Licencias Ambientales obtenidas ante la ANLA  y de las compensaciones socioambientales de las licencias obtenidas para las 5 Unidades Funcionales con la finalidad de conocer el grado de cumplimiento de dichas licencias y conocer los pasivos ambientales existententes.</t>
  </si>
  <si>
    <t xml:space="preserve">Proporcionar las evidencias de sanciones y/o multas estabeclidas por autoridades competentes ante incumplimientos de legislación ambiental en Colombia que se hayan realizado dentro de los límites fisicos de las 4 Unidades de Operación o por no haber respetado o acatado los señalamientos indicados por  la ANLA en el licenciamiento. </t>
  </si>
  <si>
    <t>Indicar si actualmente si el proyecto está imputado de incumplimientos de las licencias que otorga la ANLA para las 4 Unidades Funciales o la unidad Funcional a Construir.</t>
  </si>
  <si>
    <t>En la Carpeta 5G, Varias Carpetas le falta informacion, en especifico la carpeta H (Inventarios), ¿Pueden subir la informacion completa?</t>
  </si>
  <si>
    <t>Acceso al cuarto de Informacion de Referencia</t>
  </si>
  <si>
    <t>el Concesionario se obliga a realizar todas las actividades tendientes a garantizar el adecuado drenaje de las aguas de escorrentía mediante la limpieza, reparación y/o reconstrucción de las obras de arte. ¿Tienen algun inventario previo de las obras de drenaje?</t>
  </si>
  <si>
    <t>Apendice Tecnico 2, Seccion 6.3.5. Drenaje</t>
  </si>
  <si>
    <t>El Concesionario deberá remover los obstáculos o escombros y transportarlos a lugares autorizados como botaderos y depositarlos mediante procedimientos que cumplan con las normas ambientales vigentes y en general con la Ley Aplicable. ¿ quien designa el lugar de deposito "Botadero?</t>
  </si>
  <si>
    <t>Apendice Tecnico 2, Seccion 6.3.5.1 Limpiezas de Obras de Drenaje</t>
  </si>
  <si>
    <t>SENDA, 28/05/2020</t>
  </si>
  <si>
    <t>Dado el elevado importe de las primas del programa de seguros previsto en el Contrato, se solicita a la Entidad que en lugar de tener que acreditar la totalidad del pago de las mismas en el momento inicial, se permita negociar el pago fraccionado con las compañías aseguradoras y acreditar ante la Entidad que se está al corriente de pago.</t>
  </si>
  <si>
    <t>El literal (a)(i) del numeral 12.8 del Contrato Parte General referente al Seguro de Obras Civiles, establece que el seguro se tomará para cada Unidad Funcional (UF) y cubrirá los daños que pueda llegar a sufrir la infraestructura de dicha Unidad Funcional, independientemente de la causa que genere el daño, situación que evidenciamos como una redacción que puede presentar dificultades para su aseguramiento, pues en los seguros de daños usualmente hay exclusiones de reaseguro y de ley que no permitirán garantizar la indemnización independientemente de la causa del daño, motivo por el cual se solicita a la Entidad modificar la redacción expuesta para que la póliza cubra los daños que pueda llegar a sufrir la infraestructura de dicha Unidad Funcional de acuerdo con las condiciones establecidas en el apéndice financiero 3.</t>
  </si>
  <si>
    <t>Se solicita a la Entidad que se defina con anticipación lo referente al cubrimiento del Lucro Cesante que no aparece definido o se especifique si será o no obligatoria la contratación de éste amparo, pues los mercados aseguradores que pretendan asegurar el Lucro Cesante derivado del proyecto, deben asegurar también la parte de daño material, en caso que así se requiera, lo anterior conforme lo indicado en la Sección I y II Póliza de Obras Civiles Sección del Apéndice Financiero.</t>
  </si>
  <si>
    <t xml:space="preserve">Con respecto a la obligación de contar con pólizas en las cuales conste el aseguramiento de vehículos automotores y maquinaria amarilla (Contrato parte general, 12.8. (b)) se solicita a la Entidad que sea permitido que el Concesionario pueda trasladar ésta obligación al contratista y/o subcontratistas propietarios de dichos bienes, no obstante de que la Concesión deberá evaluar la facilidad de obtener dichas certificaciones. </t>
  </si>
  <si>
    <t>En el apéndice financiero dispuesto para la póliza de Obras Civiles, se solicita a la Entidad que permita incluir como asegurados adicionales al Contratista (EPC) así como todos los subcontratistas de la obra con el objetivo de cubrir toda la cadena de producción de la obra y evitar posibles ambigüedades que lleven a los mismos a suscribir pólizas adicionales dando como resultado un doble seguro sobre los mismos bienes.</t>
  </si>
  <si>
    <t>Referente al Seguro de Obras Civiles, su clausulado describe varios endosos aplicables, al respecto entendemos que los mismos son de contratación voluntaria por parte del Concesionario de acuerdo al análisis, conveniencia y negociación de los mismos con la Aseguradora que emita la póliza. Favor confirmar que nuestro entendimiento es correcto.</t>
  </si>
  <si>
    <t>Respecto de la Cláusula 7.4 Valor y vigencia para los amparos de responsabilidad civil del Contrato parte especial, se establece que el valor asegurado de este ampao deberá ser de COP $188.347.237.763 lo cual parece un valor excesivo de acuerdo con el Benchmark de otras concesiones, por cuanto se solicita a la Entidad revisar y modificar dicho valor a uno proporcional y razonable.</t>
  </si>
  <si>
    <t xml:space="preserve"> Contrato - Parte Especial</t>
  </si>
  <si>
    <t>Respecto de la Cláusula 7.4 Valor y vigencia para los amparos de responsabilidad civil del Contrato parte especial, se establece que el límite requerido de este ampao para la etapa de operación y mantenimiento es de COP 935.143.288.084 lo cual parece un valor excesivo de acuerdo con el Benchmark de otras concesiones, por cuanto se solicita a la Entidad revisar y modificar dicho valor a uno proporcional y razonable.</t>
  </si>
  <si>
    <t>Solicitamos a la Entidad revisar la posibilidad de incluir deducibles diferenciales y no únicamente los establecidos en el decreto 1082 de 2015 que establece un deducible máximo de 2.000 SMMLV con el objetivo de evitar incrementos en los costos de contratación de éste seguro ya que es una condición con poco apetito por parte del mercado.</t>
  </si>
  <si>
    <t xml:space="preserve"> Contrato</t>
  </si>
  <si>
    <t>Se solicita a la Entidad que para la póliza de Responsabilidad Civil, se permita incluir como asegurado adicional al Contratista (EPC) teniendo en cuenta las actividades desempeñadas por el mismo en la obra.</t>
  </si>
  <si>
    <t>Revisados los archivos publicados de la licitación se presentan problemas para abrir y procesar los indicados a continuación relacionados con la red vial y la zonificación del modelo de transporte previo:
0AI278 Red_Interventoria_2017
0AI279 Red_Interventoria_2021
0AI280 Red_Interventoria_2023
0AI2831 Departamentos_Codif
0AI2832 Zonas_Caldas
0AI2833 Zonas_Cali
0AI2834 Zonas_Cauca
0AI2835 Zonas_Cundinamarca
0AI2836 Zonas_Quindio
0AI2837 Zonas_Risaralda
0AI2838 Zonas_Tolima
0AI2839 Zonas_Valle
Se aclara que todos estos son archivos geográficos que según el Estudio de Trafico y Demanda del estructurador, proceden del software de modelación TransCad, al respecto dichos archivos se han intentado abrir usando la versión más reciente de dicho software sin resultado, entendemos que la generación de estos errores puede deberse por el renombre que se le dio a los archivos a la hora de cargarlos en el cuarto de datos.
Teniendo en cuenta lo anterior, se solicita a la Entidad publicar los citados archivos en formato shapefile.</t>
  </si>
  <si>
    <t>VDR</t>
  </si>
  <si>
    <t>Solicitamos a la Entidad publicar los registros más actualizados que posean del tráfico por categoría de las estaciones de peaje del Proyecto, de ser posible incluyendo el propio mayo de 2020, una vez finalice o hasta abril, en su defecto. Este insumo es preponderante para el análisis del impacto del COVID19 en la demanda de la zona durante los últimos meses.</t>
  </si>
  <si>
    <t>FCC Concesiones, 28/05/2020</t>
  </si>
  <si>
    <t>Solicitamos tengan la consideración de aplazar la fecha de entrega de la oferta prevista para el 18 de Septiembre de 2020 un mínimo de sesenta (60) días, debido a la gran cantidad de información del proyecto que se ha de revisar, analizar y elaborar para poder presentar una oferta adecuada y atendiendo a las circunstancias excepcionales en que nos encontramos fruto de la pandemia del COVID19.</t>
  </si>
  <si>
    <t>PROYECTO DE PLIEGO DE CONDICIONES     2.3 Cronograma de la licitación pública
AVISO MODIFICATORIO 2</t>
  </si>
  <si>
    <t xml:space="preserve">PROYECTO DE PLIEGO DE CONDICIONES
5.6 PUNTAJE ADICIONAL OFERENTES CON TRABAJADORES EN CONDICIÓN DE DISCAPACIDAD
</t>
  </si>
  <si>
    <t>Se solicita se devuelva la Garantía de Seriedad de la Oferta a los Oferentes no adjudicatarios que no hayan quedado en segundo lugar sin necesidad de solicitud previa.</t>
  </si>
  <si>
    <t>PROYECTO DE PLIEGO DE CONDICIONES     9.1.1(b) Garantía de Seriedad de la Oferta</t>
  </si>
  <si>
    <t>Este plazo es incompatible con el fijado en el calendario de la licitación así como con el plazo fijado para la constitución de la SPV. Favor de aclarar. Se propone ampliar el plazo a 30 días hábiles.</t>
  </si>
  <si>
    <t>No está definido “Integrante del Oferente”. Se propone simplificar el anexo y en calidad de garantes incluir:
“a) [Insertar el nombre de cada persona natural o jurídica que, sin ser Oferente Individual o Integrante de la Estructura Plural, su Experiencia en Inversión y Capacidad Financiera haya sido acreditada durante la Licitación Pública en virtud de su condición de:(i) sociedad controlada, (ii) Sociedad matriz (entendida como la sociedad que ejerce control sobre la que acredita) o (iii) Sociedad controlante de su matriz, de acuerdo con el Pliego de Condiciones] [indicar naturaleza jurídica], de nacionalidad [insertar nacionalidad de la persona] domiciliada en [indicar] y representada por [indicar nombre del representante legal], 
b) [Insertar el nombre de la persona natural o jurídica que siendo Oferente Individual o Integrante de la Estructura Plural acrediten directamente la capacidad financiera],[indicar naturaleza jurídica], de nacionalidad [insertar nacionalidad de la persona]domiciliada en [indicar] y representada por [indicar nombre del representante legal]</t>
  </si>
  <si>
    <t>PROYECTO DE PLIEGO DE CONDICIONES     Anexo 3- Acuerdo de Garantía</t>
  </si>
  <si>
    <t>En la medida en que el Acuerdo de Permanencia deberá ser suscrito tanto por las estructuras plurales como por los oferentes individuales,  se solicita se ajuste el Anexo 4 adaptado a este último caso.</t>
  </si>
  <si>
    <t>PROYECTO DE PLIEGO DE CONDICIONES     Anexo 4- Acuerdo de Permanencia</t>
  </si>
  <si>
    <t>Se solicita que en relación con el apartado 3 “Beneficiarios Reales”, se permita la entrega de dicha información a través de escritura pública.</t>
  </si>
  <si>
    <t>PROYECTO DE PLIEGO DE CONDICIONES     Anexo 5- Declaración de beneficiarios reales</t>
  </si>
  <si>
    <t>La definición de Acuerdo de Garantía menciona a los miembros del concesionario, sin embargo puede ser que haya habido sociedades que hayan firmado dicho acuerdo y no sean parte del accionariado de la sociedad concesionaria, si no que únicamente hayan presentado referencias de financiación. Por ello se propone sustituir “miembros del Concesionario” por “el Oferente o los Integrantes del Oferente y/o las sociedades que hayan presentado referencias conforme lo establecido en el Pliego de Condiciones”.</t>
  </si>
  <si>
    <t>CONTRATO DE CONCESIÓN PARTE GENERAL     1.9 Acuerdo de Garantía</t>
  </si>
  <si>
    <t>El Concesionario tiene la capacidad y la obligación de verificar el estado físico de la infraestructura, sin embargo, no tiene la capacidad de verificar su estado jurídico (solo podrá conocerlo a posteriori, una vez le haya sido entregada la infraestructura). Por tanto, es responsabilidad exclusiva de la ANI entregar la infraestructura libre de cargas, gravámenes y procedimientos.
A estos efectos, el Concesionario debe poder incluir reserva, condicionamiento, objeción u observación relacionada con el estado de la infraestructura.</t>
  </si>
  <si>
    <t xml:space="preserve">CONTRATO DE CONCESIÓN PARTE GENERAL     1.56 Entrega de la Infraestructura y 4.2 (a) Principales Obligaciones del Concesionario durante la fase de Preconstrucción </t>
  </si>
  <si>
    <t>Se sugiere cambiar la definición por la siguiente propuesta:
"Se refiere a los ingresos brutos efectivamente obtenidos como consecuencia de la prestación de los Servicios Adicionales, de acuerdo con lo previsto en la Sección 3.3 de este Contrato"</t>
  </si>
  <si>
    <t>Se solicita incluir un umbral a partir del cual se consideren obras menores. Adicionalmente, se solicita que sea la ANI quien de forma exclusiva pueda solicitar las Obras Menores y no cualquier Autoridad Estatal, en la medida en que la ANI es la entidad responsable del Proyecto.</t>
  </si>
  <si>
    <t>CONTRATO DE CONCESIÓN      1.119 Obras Menores</t>
  </si>
  <si>
    <t>El pago de las comisiones a los estructuradores no debe ser una condición precedente sino que se debe hacer en el plazo estipulado en la Parte Especial.</t>
  </si>
  <si>
    <t>La entrega de la totalidad de la Infraestructura es un requisito que depende exclusivamente de la ANI.
Se deberá incluir un apartado en el que se establezca que en caso de que no se firme el Acta de Inicio por causas imputables a la ANI, esta deberá resarcir al Concesionario.</t>
  </si>
  <si>
    <t>CONTRATO DE CONCESIÓN      2.3.(b)(ix) Perfeccionamiento del Contrato e Inicio de la Ejecución</t>
  </si>
  <si>
    <t>Se solicita incluir un numeral adicional (vi) "Elaboración del Contrato: que El Contrato refleja de forma adecuada los términos y condiciones contenidos en los Pliegos de Condiciones y en los Documentos de Precalificación. Que la ANI hizo las modificaciones que a su juicio fueron necesarias conforme a los comentarios recibidos en la etapa de Licitación. Declara asimismo que en el presente Contrato no existen apartes confusos ni contradicciones entre sus términos y condiciones."</t>
  </si>
  <si>
    <t>En la medida en que el cierre financiero es de carácter esencial para la continuidad del proyecto, la ANI no debería guardar silencio negativo sobre la aprobación del Cierre. El silencio deberá ser en todo caso positivo.</t>
  </si>
  <si>
    <t>CONTRATO DE CONCESIÓN      3.8 (e) Cierre Financiero</t>
  </si>
  <si>
    <t>Se debe establecer un límite a la obligación del Concesionario de mantener las garantías vigentes. Se propone siguiente redacción: "En todo caso la obligación del Concesionario se limitará a los sesenta (60) Días contados a partir de la firma del Acta de Reversión."</t>
  </si>
  <si>
    <t>Se solicita aclarar que los importes fondeados en esta subcuenta en caso de que las fases de la etapa preoperativa tengan una duración superior originada por Eventos Eximentes de Responsabilidad, se incluirán dentro de la compensación reconocida al Concesionario por la ocurrencia de un Evento Eximente de Responsabilidad como costes ociosos.</t>
  </si>
  <si>
    <t>CONTRATO DE CONCESIÓN PARTE GENERAL     3.14 (h) (v)(6) Subcuenta de Interventoría y Coordinación</t>
  </si>
  <si>
    <t>Jurídica Defensa Judicial</t>
  </si>
  <si>
    <t>Se deberá establecer un plazo para que la ANI abone los montos aportados por el Concesionario.</t>
  </si>
  <si>
    <t>CONTRATO DE CONCESIÓN      7.2 (f) Recursos para la adquisición de predios y Compensaciones socioeconómicas</t>
  </si>
  <si>
    <t>Los numerales 3 y 4 están repetidos.</t>
  </si>
  <si>
    <t>CONTRATO DE CONCESIÓN      7.2 (f) (iii)  Recursos para la adquisición de predios y Compensaciones socioeconómicas</t>
  </si>
  <si>
    <t>Se propone modificación en la redacción, ajustándolo a las facultades exorbitantes. Sustituir "interpretación de alguna de las estipulaciones del mismo" por "el ejercicio de las atribuciones exorbitantes de la ANI".</t>
  </si>
  <si>
    <t>Se debe eliminar el literal (e), toda vez que el Concesionario no puede garantizar la infraestructura revertida, cuando ya no está en el control de Concesionario el mantenimiento y uso adecuado de la infraestructura revertida. La garantía de Calidad y estabilidad de las obras de mantenimiento deberá finalizar cuando finalice la etapa de Reversión.</t>
  </si>
  <si>
    <t>CONTRATO DE CONCESIÓN      12.6 (e) Garantía Única de Cumplimiento y 7.3 (b) (i) Parte Especial</t>
  </si>
  <si>
    <t>Ajuste en la redacción, eliminando el valor asegurado mínimo requerido de la garantía y sustitución por "al porcentaje estándar de mercado".
Los importes mínimos estipulados en la Parte Especial se consideran excesivos, especialmente el requerido para la Etapa de Operación y Mantenimiento  que supera en 20 veces el importe estimado de OPEX anual.</t>
  </si>
  <si>
    <t xml:space="preserve">CONTRATO DE CONCESIÓN
13.3 Riesgos de la ANI.
</t>
  </si>
  <si>
    <t>Se debería incluir un subapartado adicional dónde se incluya la gestión de las relaciones con terceros tales como autoridades municipales.</t>
  </si>
  <si>
    <t>CONTRATO DE CONCESIÓN      13.3 Riesgos de la ANI</t>
  </si>
  <si>
    <t>Se debe aclarar si durante el plazo que el Amigable Componedor decide sobre la existencia del Evento Eximente de Responsabilidad la Parte Afectada debe cumplir con las obligaciones afectadas.</t>
  </si>
  <si>
    <t>Se propone modificar la redacción (subrayado lo que se propone incluir): "Cuando quiera que durante la ejecución del Contrato surjan Eventos Eximentes de Responsabilidad que obliguen al Concesionario a paralizar la ejecución de las obras o labores derivadas de la ejecución de este Contrato, la ANI podrá reconocer al Concesionario los costos ociosos y cualquier mayor costo en el que haya incurrido el Concesionario y/o los Contratistas derivados de la mayor permanencia en obra que se llegaren a causar por estos hechos, mediante el reconocimiento de una suma que definirán las Partes de mutuo acuerdo, incluidos los mayores costos o gastos de las Garantías. En ningún caso se incluirán valores correspondientes a lucro cesante."</t>
  </si>
  <si>
    <t>CONTRATO DE CONCESIÓN      14.2 (g) (ii) Compensaciones por Eventos Eximentes de Responsabilidad</t>
  </si>
  <si>
    <t>CONTRATO DE CONCESIÓN      14.2 (h) Reparaciones necesarias por Eventos Eximente de Responsabilidad</t>
  </si>
  <si>
    <t>CONTRATO DE CONCESIÓN      14.2 (h) (ii) Reparaciones necesarias por Eventos Eximente de Responsabilidad</t>
  </si>
  <si>
    <t>Se proponen ajustes en la redacción, con el fin de que sea claro que la indemnidad es bilateral. "Si el Concesionario no obtuviere los Permisos y/o Licencias, dentro de los plazos previstos en el Contrato, por causas no imputables al Concesionario, la obtención tardía o parcial de los Permisos y/o Licencias se considerará un Evento Eximente de Responsabilidad."</t>
  </si>
  <si>
    <t>Se solicita el uso del Amigable Componedor para disputas de hasta un monto determinado o aquellas disputas que no impliquen la interpretación del Contrato. El Arbitraje Internacional debería ser forzoso para las disputas superiores a un monto determinado o que impliquen interpretación del Contrato a los efectos de dar mayor seguridad jurídica.</t>
  </si>
  <si>
    <t>El hecho de que los Amigables Componedores puedan solicitar una retribución mayor en razón de la complejidad y/o tiempo requerido para la solución de la controversia, podría conllevar una paralización de la resolución de la disputa con las consecuencias que esto pudiera generar sobre el Contrato. Se propone eliminar. El Amigable Componedor al momento de aceptar el cargo conocerá su remuneración fija sin posibilidad de exigir una cuantía superior.</t>
  </si>
  <si>
    <t>CONTRATO DE CONCESIÓN      15.1 (d) (iv) Remuneración del Amigable Componedor</t>
  </si>
  <si>
    <t xml:space="preserve">Se solicita incluir un límite máximo a los honorarios de los árbitros. </t>
  </si>
  <si>
    <t>En caso de no existir acuerdo en el precio, la ANI debería asumir el pago de dichas obras y reconocer al Concesionario el efecto que dichas obras tengan sobre el Plan del Proyecto. No deberá hacerse cargo el Concesionario de la responsabilidad de los Contratistas, si no que debería ser la propia ANI quien se encargará de su selección.</t>
  </si>
  <si>
    <t>CONTRATO DE CONCESIÓN      19.1 (c) Obras Menores</t>
  </si>
  <si>
    <t>En línea con lo establecido a lo largo de toda la minuta del Contrato de Concesión, el silencio debería ser positivo.</t>
  </si>
  <si>
    <t>CONTRATO DE CONCESIÓN      19.1 (c) (v) Obras Menores</t>
  </si>
  <si>
    <t>¿las obras complementarias darán lugar al otorgamiento de un plazo adicional?</t>
  </si>
  <si>
    <t>CONTRATO DE CONCESIÓN      19.2 Obras Complementarias</t>
  </si>
  <si>
    <t>CONTRATO DE CONCESIÓN      19.5 (b) Subcontratos</t>
  </si>
  <si>
    <t>Se solicita modificar el título “Cesión de accionistas del Concesionario” por “Cesión de acciones del Concesionario”, en la medida en que se refiere a la cesión de las acciones del Concesionario y no de los accionistas. Únicamente mediante la transferencia de acciones es como se modifican los accionistas del Concesionario.</t>
  </si>
  <si>
    <t>CONTRATO DE CONCESIÓN      19.6 (b) Cesión</t>
  </si>
  <si>
    <t>Todos los predios que sean entregados por la ANI en el momento de la suscripción del Acta de Inicio deberán encontrarse libres de cargas físicas y jurídicas. En caso contrario, el Concesionario se reservará el derecho de reclamar a la ANI.</t>
  </si>
  <si>
    <t>CONTRATO DE CONCESIÓN PARTE ESPECIAL
Capítulo III 3.6 Entrega de la Infraestructura</t>
  </si>
  <si>
    <t>Los importes fijados para los diferentes amparos son muy elevados con respecto al valor del contrato y a los estándares de mercado en este tipo de proyectos. En particular, los importes de los amparos de cumplimiento durante la fase de Operación y Mantenimiento y los amparos de responsabilidad civil.
Estos importes son muy elevados considerando el volumen anual de la operación. Solicitamos reconsiderar el cálculo de las garantías y reducir dichos importes.</t>
  </si>
  <si>
    <t>Entendemos que el coste de las reparaciones mecánicas que se describen en el apartado ha de ser soportado por el usuario. Asimismo, el traslado del vehículo averiado a otro taller mecánico ha de ser cubierto y realizado por la compañía aseguradora del vehículo, no por el Concesionario.</t>
  </si>
  <si>
    <t>APÉNDICE TÉCNICO 2
3.3.3.1.3 Equipo para auxilio mecánico</t>
  </si>
  <si>
    <t>En la tabla 4 se hace referencia al indicador “E23 Estado de elementos estructurales” pero no está definido en la tabla 3 junto con el resto de indicadores para pavimento rígido y flexible.
Asimismo, la ponderación en la UF0 suma 102% sin tener en cuenta el indicador O1 de mortalidad.</t>
  </si>
  <si>
    <t>APÉNDICE TÉCNICO 2
6 Cálculo del índice de cumplimiento</t>
  </si>
  <si>
    <t>El término “Acta de Entrega de Infraestructura” no está definido ni en el Apéndice Técnico ni en el Contrato.
Dada la trascendencia del mismo, se solicita inclusión de la definición.</t>
  </si>
  <si>
    <t>APÉNDICE TÉCNICO 7
3.1 (n) Obligaciones generales del Concesionario</t>
  </si>
  <si>
    <t>Los retrasos ocasionados por terceros en el proceso de elaboración de las fichas prediales han de suponer una extensión de plazos del contrato.</t>
  </si>
  <si>
    <t>APÉNDICE TÉCNICO 7
4.3 (a) Ficha Predial</t>
  </si>
  <si>
    <t>El Concesionario no puede mantener indemne a la ANI de las reclamaciones o demandas que sean interpuestas después de terminado el contrato.</t>
  </si>
  <si>
    <t>APÉNDICE TÉCNICO 7
8.4 Indemnidad</t>
  </si>
  <si>
    <t>En el caso de que una vez adjudicado el contrato, el Concesionario deba hacerse cargo de todo o parte del personal que actualmente está trabajando en la operación de los peajes y carreteras que forman parte del proyecto, se solicita se ponga a disposición de los licitadores la relación y costes de dicho personal afectado.</t>
  </si>
  <si>
    <t>Cintra Infraestructuras Colombia, S.A.S., 28/05/2020</t>
  </si>
  <si>
    <t>Dentro de las obras de Entrega de la Infraestructura se menciona "UF1 - Intersección La Herradura. Construcción del ramal faltante" ¿ Se solicita aclarar el alcance de los trabajos a realizar y cual es la información disponible ya que no se ha encontrado ninguna referencia en el cuarto de datos?</t>
  </si>
  <si>
    <t>Contrato Parte especial.  
 Capítulo III apartado 3.6</t>
  </si>
  <si>
    <t>En el capítulo IV tabla 5 se indica la rehabilitación de los tramos de la Cicloruta existente en el tramo Salida Norte de Palmira - Buga  y en la tabla 14 se indica la puesta a punto y mantenimiento de la ciclovía existente. Dichas ciclorutas no aparecen en el cuarto de datos ni se mencionan los estudios ya realizados existiendo pavimentos, drenaje, estructuras y señalización que no se mencionan. ¿ Podrían facilitar información de dichas ciclorutas? ¿ Podrían aclarar el alcance de la actuación a valorar en dichas ciclorutas?</t>
  </si>
  <si>
    <t>Apéndice técnico-1 Capítulo IV tabla-5 y tabla14</t>
  </si>
  <si>
    <t>En el cuarto de datos facilitado en el indice excell existen numerosos apartados en los cuales se indica la información pero que no contienen los ficheros con la información. Por ejemplo todos los directorios de los apartados H3 y H5 y parte de H6 y H7 están vacios. ¿ Podrían indicar si se va a facilitar dicha información? ¿ Podrían indicar de forma general la información que se publicará posteriormente?</t>
  </si>
  <si>
    <t>Apéndice técnico 1 - Cuarto de datos</t>
  </si>
  <si>
    <t xml:space="preserve"> Se han recibido una serie de archivos en Autocad (D31221.dwg, con puentes C02-01 a 06 enj carpeta D31221 y MV-C03-GG-PL-001-R0.dwg con puentes C03-1 y 2 en carpeta D4122). Sin embargo, dentro de la documentación entregada, no se ha encontrado información del puente sobre la vía Férrea C05.2-01 (Corredor 5) ¿ Se ruega indiquen si van a entregar dicha información?</t>
  </si>
  <si>
    <t xml:space="preserve"> Se solicita se confirme si está prevista a futuros la entrega de información más detallada a nivel de planos de las estructuras nuevas a ejecutar. En este punto, se pone de manifiesto que se han detectado incongruencias entre los planos proporcionados y las mediciones.  Así, por ejemplo, en la ficha de mediciones del Puente Guillermo Valencia C03-02l), aparece una medición de pilotes en concreto fundido in situ, mientras que en el plano proporcionado de estructuras (MV-C03-GG-PL-001-R0.dwg con puentes C03-1 y 2 en carpeta D4122)  no se definen pilotes en los apoyos.</t>
  </si>
  <si>
    <t xml:space="preserve"> Se solicita se confirme si está prevista a futuros la entrega de mediciones de estructuras nuevas a ejecutar actualizadas y/o revisadas si se avanzase en sus diseños.</t>
  </si>
  <si>
    <t>En el cuarto de datos, la cartografía facilitada en los tramos existentes de UF1, UF2 Y UF5 donde se realizan los trabajos de puesta a punto, mejora y rehabilitación principalmente, está poco definida con curvas de nivel que no se ajustan a la realidad,  y no aparecen definidos los cauces de rios y carreteras existentes lo que no permite verificar correctamente los estudios de obras de drenaje existentes y socavaciones de las estructuras en los cauces, ni las obras de duplicación de calzada en el tramo  Glorieta Cencar - glorieta de las Américas y corrección de la curva " Don Otto" .  ¿Se solicita indiquen si disponen de dicha cartografía mas precisa y si se va a facilitar?</t>
  </si>
  <si>
    <t>En el cuarto de datos,  no se dispone cartografía en la variante de El Bolo, Acceso al Estadio Monumental de Palmaseca y Via la Herradura -  Matapalo. ¿Se solicita indiquen si disponen de dicha cartografía y si se va a facilitar?</t>
  </si>
  <si>
    <t>En la Documentación Técnica de Hidráulica, Hidrología y Socavación para el Corredor 01, no se han definido cuencas para todos los Tramos del Corredor (por ejemplo falta el Tramo Ingenio Providencia-Buga / Mulaló-Mediacanoa, etc…).
Se solicita facilitar la información sobre las cuencas y comprobación hidráulica de Obras de Drenaje correspondientes con dichas cuencas.</t>
  </si>
  <si>
    <t>Apencide técnico 1 - 'Documentación Técnica de Hidráulica, Hidrología y Socavación.
Apartado B11204 y B21204</t>
  </si>
  <si>
    <t>En la Documentación Técnica de Diseño de Puentes, se definen una serie de actuaciones a realizar en los cauces de los puentes, tales como dragado, protección, recubrimiento…
Se pide aclarar cuales han sido los criterios para definir estas actuaciones en los cauces y el alcance de dichas actuaciones.</t>
  </si>
  <si>
    <t>Apencide técnico 1 -'Documentación Técnica de Diseño de Puentes.
Apartado D11231, D21231, etc…</t>
  </si>
  <si>
    <t>En la Documentación Técnica facilitada, no aparece ni se define cómo realizar el drenaje del Paso deprimido de Versalles.
Se solicita información del diseño previsto para el drenaje de este Paso deprimido.</t>
  </si>
  <si>
    <t>Apencide técnico 1 -'Documentación Técnica</t>
  </si>
  <si>
    <t>En la Documentación Técnica del Estudio Ambiental, aparecen delimitadas unas manchas correspondientes a zonas susceptibles de inundaciones, que afectan a diversos tramos de los Corredores.
Se solicita aclaración sobre cómo considerar esas manchas de inundación (poco definidas en cuanto a cotas alcanzadas y poco precisas) a la hora de proyectar las Obras a ejecutar.
¿Es necesario disponer la rasante de las carreteras por encima de alguna cota determinada, en esas zonas concretas?</t>
  </si>
  <si>
    <t>En el cuarto de datos apartado F " estudios y análisis adicionales" se incluyen  estudios de seguridad vial en el que se analizan las diferentes vías y se indica un alcance de los trabajos a realizar en el caso de barreras de seguridad y señalización horizontal y vertical, indicando un inventario y la localización y medición de las nuevas barreras, señales y marcas viales. ¿ Se pide confirmar si este es el alcance que se pretende respecto de las nuevas barreras de seguridad para la oferta?</t>
  </si>
  <si>
    <t>En la Documentación Técnica facilitada, no hay información de drenaje del Tramo de Factor de Calidad de Villa Rica-Caloto.
Se pide aclaración sobre si se dispone de información y si se va a facilitar.</t>
  </si>
  <si>
    <t>Apéncice tecnico-1 Documentación Técnica
Directorio G5</t>
  </si>
  <si>
    <t>En la Documentación Técnica facilitada, no hay información de drenaje del Tramo de Factor de Calidad de La Herradura-Matapalo.
Se pide aclaración sobre si se dispone de información y si se va a facilitar.</t>
  </si>
  <si>
    <t>Apéndice técnico 1 - Documentación técnica</t>
  </si>
  <si>
    <t>Dentons Cárdenas &amp; Cárdenas, 28/05/2020</t>
  </si>
  <si>
    <t xml:space="preserve">1.154 “Recursos de Patrimonio”
Solicitamos modificar la Sección 1.154 en el sentido de permitir que la sociedad concesionaria (SPV) tenga la posibilidad de ser deudora de créditos bancarios y así recibir directamente dichos recursos y con los mismos el SPV pueda realizar los Giros de Equity. Dicha deuda bancaria será necesariamente respaldada por los accionistas del SPV ante las entidades bancarias respectivas. En dicho escenario no habría un riesgo adicional para la ANI y sí mayor flexibilidad para el SPV y sus socios. Se destaca que en todo caso la ANI siempre tendrá la posibilidad de hacer efectivo el Acuerdo de Garantía, que precisamente garantiza los Giros de Equity. También se debe tener presente que el pliego exige un cupo de crédito, por el valor de los Giros de Equity y que debe estar vigente hasta que aquellos sean realizados. 
La sección 1.154 limita en excesivamente las posibilidades de realizar los Giros de Equity al establecer que únicamente se contabilizarán como Recursos de Patrimonio los aportes que se realicen mediante i) aporte al capital social (suscripción de acciones, cuotas de capital o partes de interés) de los accionistas, ii) prima en colocación de acciones y/o iii) deuda de los accionistas a la sociedad.
</t>
  </si>
  <si>
    <t>Minuta del Contrato. Parte General Sección 1.154</t>
  </si>
  <si>
    <t>1.154 “Recursos de Patrimonio”
La sección 1.154 permite hacer los Giros de Equity como deuda subordinada de los accionistas a la sociedad concesionaria (SPV). Entendemos que esa deuda subordinada puede ser otorgada por uno o varios de los accionistas y no tiene que hacerse a prorrata de su participación en el capital del SPV. En esta medida, entendemos que un solo accionista podría hacer todos los Giros de Equity y por su monto total mediante deuda subordinada al Concesionario. Favor confirmar este entendimiento.</t>
  </si>
  <si>
    <t>Minuta del Contrato. Parte General Sección 1.155</t>
  </si>
  <si>
    <t xml:space="preserve">4.4. Giros de Equity
Solicitamos que se replantee el cronograma para realizar los Giros de Equity, ya que resulta desproporcionado realizar el 97.5% aproximadamente de los Giros de Equity durante el primer año del proyecto, aun cuando se está en la etapa preoperativa y las obligaciones de Capex no son significativas. En este sentido, solicitamos lo siguiente: (i) que el primer giro de Equity sea por un monto menor al previsto y que se pueda realizar dentro de los 90 días hábiles siguientes a la suscripción del contrato de concesión; (ii) que se permita la reprogramacion de los giros de equity para optimizar los diferentes recursos con los que cuenta el concesionario (equity, deuda, otros ingresos) en el proyecto o; (iii) que la ANI permita al Concesionario más flexibilidad de financiar los requisitos del proyecto (cuentas ANI, cuentas del Concesionario) con deuda y/o Equity según el acuerdo de los prestamistas con los sponsors.
</t>
  </si>
  <si>
    <t xml:space="preserve">Minuta del Contrato. Parte Especial
Sección 4.4.
</t>
  </si>
  <si>
    <t xml:space="preserve">19.6 Cesión 
Solicitamos que, una vez suscrito el contrato de concesión, se permita la cesión por parte de los accionistas del SPV, del 100% de sus acciones en el Concesionario a una sociedad Holding que a su vez refleje la misma composición accionaria que tenía inicialmente el Concesionario. Esta posibilidad facilita algunos esquemas de financiación. 
</t>
  </si>
  <si>
    <t>Minuta del Contrato. Parte General Sección 19.6(b)</t>
  </si>
  <si>
    <t>Fiduciaria Bancolombia, 28/05/2020</t>
  </si>
  <si>
    <t xml:space="preserve">Sugerimos eliminar la restricción referida teniendo en cuenta que no encontramos que pueda existir un eventual conflicto de que la misma firma de auditoría  funja en las calidades de revisor fiscal del Concesionario y auditor externo del Patrimonio Autónomo. En este mismo modo consideramos que las responsabilidades de la firma auditora están debidamente normadas y su responsabilidad trasciende de lo meramente formal, de manera que la transparencia en su gestión no se vería afectada en esta circunstancia. Adicional a lo anterior, esta restricción no se compagina con el principio de la autonomía de la voluntad de las partes que envuelve al contrato de fiducia. </t>
  </si>
  <si>
    <t>Numeral 3.15 Términos y condiciones de obligatoria inclusión en el Contrato de Fiducia, literal (k) El auditor externo de la Fiduciaria en ningún caso podrá ser al mismo tiempo el revisor fiscal del Concesionario.</t>
  </si>
  <si>
    <t>PROINDESA S.A.S., 28/05/2020</t>
  </si>
  <si>
    <t>Sobre este asunto, el artículo 38 de la citada Ley 153 de 1887 establece que: “En todo contrato se entenderán incorporadas las leyes vigentes al tiempo de su celebración”.
El referido artículo consagra de forma expresa el conocido principio general del derecho, según el cual, a los contratos se les aplica la ley existente y vigente al momento de su celebración.
La aplicación de este principio es de suma importancia para la seguridad jurídica en el marco de la celebración de contratos, toda vez que, únicamente haciendo uso del mismo puede un determinado contratista conocer de antemano la regulación que le será aplicable a lo largo de la ejecución contractual. En sentido contrario, en caso de que las Leyes Aplicables al Proyecto sean las que se vayan expidiendo a lo largo de la ejecución contractual, el contratista de la administración no gozará de seguridad jurídica, pues en cualquier momento se pueden ver alteradas sus reglas de juego a través de la aplicación de leyes nuevas. Lo anterior, sin perjuicio de la aplicación inmediata que tienen las normas procedimentales y de orden público.
En consonancia con ello, la reiterada jurisprudencia del Consejo de Estado ha puesto de presente la importancia y obligatoriedad del principio según el cual a los contratos se les aplica la ley existente y vigente al momento de su celebración. Verbigracia, en Sentencia 16653 de 2009 la sección tercera del Consejo de Estado sostuvo lo siguiente:
“(...) En definitiva, la regla general es que a los contratos en lo relativo a sus elementos de existencia, validez y sus efectos (derechos y obligaciones), se les aplica la ley existente y que rige al momento de su nacimiento o celebración, lo cual implica que, en principio, la ley nueva no puede entrar a suprimirlos o modificarlos, so pena de una ilegítima retroactividad.   (…)   En este orden de ideas, la regla de acuerdo con la cual se entienden incorporadas las normas existentes al tiempo de celebración del contrato, tiene por efecto que ellas se aplican durante toda la vida del contrato, es decir, hasta su terminación por agotamiento del plazo acordado y el de sus prórrogas celebradas (…)”.
Por lo anterior, solicitamos a la ANI modificar la Sección 1.3.38 del proyecto de pliego de condiciones para que la definición de “Ley Aplicable” o “Ley”, expresamente señale que la Ley Aplicable es la ley vigente al momento de celebración del contrato de concesión, en consonancia con lo dispuesto en la Ley 153 de 1887.</t>
  </si>
  <si>
    <t>En razón a que el proyecto de pliego de condiciones reconoce a la Matriz de Riesgos del Proyecto como un documento que hace parte del proceso de selección, solicitamos a la ANI que incluya en la minuta del Contrato de Concesión Parte General, que dicho documento hace parte del futuro negocio que celebrarán la Agencia y quien resulte adjudicatario del presente proceso de licitación. No hacerlo, podría desconocer lo establecido en la Ley 1508 de 2012, en el sentido de que deberán identificarse, valorarse y asignarse en el Contrato los riesgos que asumirá cada una de las partes contratantes. Por lo que el simple hecho de incluirse en el contrato una referencia a la asignación de los riesgos no cumpliría con los elementos exigidos en la referida Ley, en tanto la Matriz de Riesgos es el instrumento que permite realizar la valoración, cuantificación y delimitación de la asunción de los riesgos.En consecuencia, dado que la Matriz de Riesgos del Proyecto es el instrumento que permite realizar una asignación eficiente de los riesgos que van a asumir cada una de las partes durante toda la ejecución del Contrato, no resulta lógico que no se incluya dentro del mismo un documento que la Agencia elaboró en cumplimiento del deber de planeación que le asiste y en estricta observancia de lo establecido en la Ley 1508 de 2012. Más aún si se tiene en cuenta que de no llegar a incluirse dicho documento como parte del referido negocio jurídico podría llevar al absurdo de considerar que la ANI y el futuro Concesionario asumen de forma absoluta e ilimitada los riesgos del Contrato.</t>
  </si>
  <si>
    <t>La Sección 1.7 del proyecto de pliego de condiciones establece que los estudios y conceptos que incluya la Agencia en el Cuarto de Datos, no servirán de base para reclamación alguna durante la ejecución del Contrato, ni para ningún reconocimiento adicional entre las partes que no estuviere contemplado en el Contrato.
Estas disposiciones, que implican la renuncia a usar determinada información en caso de una reclamación, la jurisprudencia del Consejo de Estado y la jurisprudencia arbitral han determinado como ineficaces y que en consecuencia no pueden generar efectos.
Lo anterior, en la medida que este tipo de cláusulas de renuncia desconocen los derechos fundamentales al debido proceso, a la defensa técnica y al acceso a la administración de justicia, pues en caso de permanecer incluidas en el proyecto de pliego de condiciones impedirían al futuro Concesionario exponer los hechos y circunstancias que determinaron su conducta a lo largo de la ejecución contractual, y el acceso a la justicia.
En consecuencia, solicitamos a la Agencia eliminar la renuncia a emplear la información contenida en el cuarto de datos en los términos de la Sección 1.7 y todas las demás cláusulas, oraciones o expresiones que se hayan incluido en ese sentido en el proyecto de pliego de condiciones.</t>
  </si>
  <si>
    <t>Se identificaron los planos de alcantarillado existente de la empresa Aquaoccidente, sin embargo, estos NO contienen información altimétrica (cotas, altura de pozos o cámaras de inspección, ertc). ¿Cuál fue la profundidad de zanjas que se asumió para la estimación de cantidades y del presupuesto de los traslados de estas redes de alcantarillado?</t>
  </si>
  <si>
    <t>Cuarto de datos / carpeta F122412152</t>
  </si>
  <si>
    <t>Entendemos que en el caso de los puentes existentes, que  hacen parte de los tramos en los cuales la Intervención prevista para la Fase de Construcción es "Puesta a Punto", las actividades de obra que deberán ejecutarse corresponden a labores de mantenimiento y  consistentes en:  Limpieza de cauce, Limpieza de contaminación vegetal, Mantenimiento y limpieza de bordillos y barandas, Pintura de bordillos y barandas, Saneado de la armadura de refuerzo, Protección anticorrosión, Saneado del concreto y restitución con mortero, Colocación / Restitución de gárgolas y Rehabilitación / Sustitución de la junta de calzada. 
Comedidamente solicitamos  a la ANI confirmar si nuestro entendimiento es correcto.</t>
  </si>
  <si>
    <t>Para la mayoría de los nuevos puentes vehiculares no ha sido posible encontrar en el cuarto de datos la información de exploración geotécnica necesaria para el prediseño de las cimentaciones.   Bajo ese contexto, solicitamos comedidamente a la ANI publique en el cuarto de datos la totalidad de los estudios geotécnicos que realizó el estructurador para el diseño de las cimentaciones de estos puentes.</t>
  </si>
  <si>
    <t>Cuarto de datos / 
Informe de puentes</t>
  </si>
  <si>
    <t>No se encontraron estudios de hidrología, hidráulica y socavación de la totalidad de los puentes nuevos.   Solicitamos comedidamente a la ANI, publique en el cuarto de datos la totalidad de los estudios que realizó el estructurador.</t>
  </si>
  <si>
    <t>Cuarto de datos /
 Informe de puentes</t>
  </si>
  <si>
    <t>No se presenta dentro de los estudios de tráfico, información relacionada con respecto a los vehículos denominados trenes cañeros los cuales circulan en la zona del proyecto y generan un gran impacto en el deterioro del pavimento. Favor entregar información relativa al tráfico de los trenes cañeros en las vías del proyecto.</t>
  </si>
  <si>
    <t>Cuarto de datos /
Estudio de tráfico</t>
  </si>
  <si>
    <t>La definición que trae este Contrato en relación con la figura de Beneficiario Real corresponde a la prevista en el Decreto 2555 de 2010, una regulación del sector financiero que, como indicamos en precedencia no es congruente con la finalidad perseguida por el artículo 23 de la Ley 1508 de 2012.Teniendo en cuenta lo anterior, solicitamos ajustar la definición de Beneficiario Real incluida en este Contrato, a efectos de que corresponda con la establecida en la Ley 1508 de 2012, por ser esta la fuente normativa que exige el mencionado requisito.</t>
  </si>
  <si>
    <t>Solicitamos aclarar esta Sección teniendo en cuenta que, de acuerdo con la Tabla de Referencias de la Parte Especial, la entrega de la Infraestructura (incluyendo la Infraestructura relacionada en la Sección 3.6. (f)) es una condición precedente para la suscripción del Acta de Inicio del Contrato.De mantenerse la actual redacción, se entendería que sólo sería posible suscribir el Acta de Inicio o la Orden de Inicio una vez se entregue la Infraestructura de la Sección 3.6 (f), lo que podrá tomar hasta 12 o 18 meses desde la celebración del Acta de Inicio de la Fase de Construcción.</t>
  </si>
  <si>
    <t>Solicitamos aclarar que la Ley Aplicable al Contrato de Concesión, es la vigente al momento de la suscripción del referido contrato, de tal forma que la misma se adapte a lo previsto en la ley colombiana, en particular a lo dispuesto en la Ley 153 de 1887.
Sobre este asunto, el artículo 38 de la citada Ley 153 de 1887 establece que: “En todo contrato se entenderán incorporadas las leyes vigentes al tiempo de su celebración”.
El referido artículo consagra de forma expresa el conocido principio general del derecho, según el cual, a los contratos se les aplica la ley existente y vigente al momento de su celebración.
La aplicación de este principio es de suma importancia para la seguridad jurídica en el marco de la celebración de contratos, toda vez que, únicamente haciendo uso del mismo puede un determinado contratista conocer de antemano la regulación que le será aplicable a lo largo de la ejecución contractual. En sentido contrario, en caso de que las Leyes Aplicables al Proyecto sean las que se vayan expidiendo a lo largo de la ejecución contractual, el contratista de la administración no gozará de seguridad jurídica, pues en cualquier momento se pueden ver alteradas sus reglas de juego a través de la aplicación de leyes nuevas. Lo anterior, sin perjuicio de la aplicación inmediata que tienen las normas procedimentales y de orden público.
En consonancia con ello, la reiterada jurisprudencia del Consejo de Estado ha puesto de presente la importancia y obligatoriedad del principio según el cual a los contratos se les aplica la ley existente y vigente al momento de su celebración. Verbigracia, en Sentencia 16653 de 2009 la sección tercera del Consejo de Estado sostuvo lo siguiente:
“(...) En definitiva, la regla general es que a los contratos en lo relativo a sus elementos de existencia, validez y sus efectos (derechos y obligaciones), se les aplica la ley existente y que rige al momento de su nacimiento o celebración, lo cual implica que, en principio, la ley nueva no puede entrar a suprimirlos o modificarlos, so pena de una ilegítima retroactividad.   (…)   En este orden de ideas, la regla de acuerdo con la cual se entienden incorporadas las normas existentes al tiempo de celebración del contrato, tiene por efecto que ellas se aplican durante toda la vida del contrato, es decir, hasta su terminación por agotamiento del plazo acordado y el de sus prórrogas celebradas (…)”.
Por lo anterior, solicitamos a la ANI modificar la Sección en mención para que la definición de “Ley Aplicable” o “Ley”, expresamente señale que la Ley Aplicable es la ley vigente al momento de celebración del contrato de concesión, en consonancia con lo dispuesto en la Ley 153 de 1887.</t>
  </si>
  <si>
    <t>Aclarar teniendo en cuenta que, de acuerdo con la Tabla de Referencias de la Parte Especial, la entrega de la Infraestructura (incluyendo la Infraestructura relacionada en la Sección 3.6. (f)) es una condición precedente para la suscripción del Acta de Inicio del Contrato.
De mantenerse la actual redacción, se entendería que sólo sería posible suscribir el Acta de Inicio o la Orden de Inicio una vez se entregue la Infraestructura de la Sección 3.6 (f), lo que podrá tomar hasta 12 o 18 meses desde la celebración del Acta de Inicio de la Fase de Construcción, como bien lo señala la Parte Especial de la minuta de contrato.</t>
  </si>
  <si>
    <t>Por favor considerar modificar esta regla. La suscripción del Acta de Terminación de Unidad Funcional implica, necesariamente, que se han aceptado de forma definitiva las Intervenciones que ejecutó el Concesionario de acuerdo con lo previsto en el Apéndice Técnico 1.No debería corresponder al Concesionario realizar ninguna otra actividad durante la Etapa de Operación y Mantenimiento, pues estas Intervenciones fueron verificadas y recibidas previamente por el interventor y la Agencia y por tanto no podría exigírsele al particular realizar cualquier actividad distinta a la de Operar y Mantener la infraestructura durante todo el término de duración de la Etapa de Operación y Mantenimiento.</t>
  </si>
  <si>
    <t>Aclarar que esta regla no será aplicable cuando haya lugar a presentar los Estudios de Trazado y Diseño Geométrico en las condiciones aquí establecidas, en caso de que ello sea necesario como consecuencia de un Evento Eximente de Responsabilidad, o por causas imputables a la ANI.De esa manera, se propone la siguiente redacción en el siguiente apartado de la referida Sección. "(...) Lo anterior salvo que dichas variaciones sean producto del trámite y/o el otorgamiento de la Licencia Ambiental solicitado por la Autoridad Estatal competente, o sean requeridas como consecuencia de la configuración de un Evento Eximente de Responsabilidad o por causas imputables a la ANI".</t>
  </si>
  <si>
    <t>Solicitamos incluir como un Evento Eximente de Responsabilidad la siguiente regulación:“Si de acuerdo con la Ley Aplicable fuere necesario iniciar un nuevo proceso de consulta previa para ejecutar el Proyecto; en la medida en que una comunidad étnica y/o afrodescendiente fuese reconocida por Autoridad Estatal competente con posterioridad al otorgamiento de la Licencia Ambiental se configurará de forma automática un Evento Eximente de Responsabilidad de Fuerza Mayor Ambiental. E tal evento, será obligación de la ANI llevar a cabo la gestión para la realización de la consulta previa y se entenderán de forma automática suspendidos los plazos referentes a las Intervenciones afectadas por el mismo y el Concesionario se encontrará eximido del cumplimiento de sus obligaciones asociadas a dicho evento”.</t>
  </si>
  <si>
    <t>De acuerdo con lo establecido en la Sección 8.1 (c) de la Parte General, las Compensaciones ambientales, entendidas estas como “los  requerimientos incluidos dentro de los actos administrativos específicos al Proyecto proferidos por las Autoridades Ambientales, correspondientes a i) pérdida de biodiversidad, ii) uso y aprovechamiento de los recursos naturales, y iii) Plan de Reasentamientos (Sección 1.32), deberán  ser asumidos con cargo a la Cuenta Compensaciones Socioambientales, cuyos valores se encuentran descritos en la Parte Especial.
A su turno, la Sección 3.14(g)(vi) de esta Parte General establece que, “(e)n ningún caso, los recursos de la Subcuenta Compensaciones Socioambientales podrán ser utilizados para el pago de pasivos ambientales”.
Al respecto, surge la siguiente solicitud de aclaración, que muy amablemente formulamos a la ANI así:
(i)            Entendemos que dentro de la definición de Concepto de Compensaciones Ambientales que trae la Sección 8.1 (c) de la Parte General, se encuentran aquellas obligaciones ambientales pendientes de cumplimiento y obligaciones por ejecutar establecidas en los instrumentos ambientales con los que ya cuenta el proyecto, y que se encuentran descritos en el Apéndice Técnico 6.
(ii)          Si nuestro entendimiento es correcto, entendemos que las obligaciones ambientales pendientes de cumplimiento y obligaciones por ejecutar, se asumen con cargo a la Cuenta Compensaciones Ambientales. 
(iii)        Si nuestro entendimiento es correcto, la prohibición de utilizar la Subcuenta Compensaciones Socioambientales para el pago de pasivos ambientales, no se extiende a aquellos pasivos ambientales relacionados o que tienen su origen en los instrumentos ambientales con los que ya cuenta el Proyecto, los cuales si se pueden asumir con cargo a la referida subcuenta.
Por favor confirmar si nuestro entendimiento es correcto.</t>
  </si>
  <si>
    <t>En cumplimiento del artículo 39 de la Ley 1682 de 2013, la entidad debe: "A partir del tercer año siguiente a la promulgación de la ley, como requisito previo a la apertura de los procesos de selección para la construcción de proyectos de infraestructura de transporte, la entidad pública estará obligada a contar con la viabilidad de una alternativa del proyecto aprobada por parte dela autoridad ambiental competente con base en estudios de prefactibilidad, haber culminado los Estudios de Factibilidad y haber concluido el proceso de consulta previa con la respectiva comunidad hasta su protocolización, si procede la misma".
Para este proyecto entendemos que ya se hicieron por parte de la ANI o la autoridad competente, tres (3) procesos de consultas previas con tres (3) comunidades. No obstante, como obligación a cargo del Concesionario está la de gestionar los procesos de consulta previa que surjan a partir de la licitación asumiendo el ciento por ciento (100%) de los costos asociados a esta gestión y, adicionalmente, asumir el cincuenta por ciento (50%) de los costos asociados a los acuerdos producto de estas consultas.
Al respecto, solicitamos respetuosamente a la Agencia que por ser este un riesgo a cargo de las entidades por el mismo mandato legal al que hicimos referencia previamente, estos costos sean pagados contra una subcuenta, es decir, sean cargados al proyecto y no al Concesionario.
Con este propósito le proponemos a la Agencia las siguientes opciones:
(i)                 Que sea la ANI quien asuma la obligación de adelantar la Gestión Social y Ambiental en el evento en que sean reconocidas por parte del Ministerio del Interior nuevas comunidades con quienes haya que adelantar nuevos procesos de consulta previa.
(ii)               La Gestión que realizará la ANI se hará con cargo a unos recursos que depositará el Concesionario en una subcuenta especial que se creará y fondeará con las reglas que para el efecto se establezcan en la Parte Especial del Contrato. Esto implica que desde que se firme el Acta de Inicio del Contrato la Agencia podrá contar con los recursos necesarios para realizar la gestión que se le propone que asuma, pues esta completamente acreditado y demostrado que la Agencia como entidad pública se encuentra en mejores condiciones para realizar estas actividades.
(iii)             Los costos asociados al reconocimiento de los acuerdos a los que lleguen la ANI y las nuevas comunidades consultadas, se asumirán por parte del Concesionario en un cincuenta por ciento (50%) con cargo a una subcuenta que se creará y regulará en la Parte Especial del Contrato. La obligación del Concesionario consistirá en fondear esa subcuenta con unos recursos que sean previamente definidos por parte de la Agencia y los mismos tendrán un monto máximo, el cual una vez se agoté corresponderá a la Agencia asumir los mayores valores que estos reconocimientos puedan generar.</t>
  </si>
  <si>
    <t>Solicitamos aclarar qué se entiende por “más del ciento cincuenta por ciento adicional”. Esto es, si se toma el plazo total previsto en la ley para el agotamiento del trámite, y se adiciona un cincuenta por ciento, o si se toma tal plazo total y se le adiciona en un ciento cincuenta por ciento. Si es lo segundo, solicitamos modificar, para efectos de que se entienda que se configura la fuerza mayor cuando transcurre el ciento por ciento de la Ley Aplicable, adicionado en un cincuenta por ciento
De igual forma, solicitamos establecer un término objetivo y cierto para los distintos trámites ante las Autoridades Estatales, pues, como bien sabe la Entidad, la Ley Aplicable no establece un término (menos aún un término máximo) para todos los todos los trámites. Consideramos que en vista de las lecciones aprendidas y las diversas controversias que han dificultado la ejecución de varios proyectos, este es el momento oportuno para zanjar esta imprecisión, a efectos de propender por la correcta ejecución de los proyectos y, adicionalmente, evitar futuros litigios y considerables indemnizaciones.</t>
  </si>
  <si>
    <t>La cláusula relativa a la Fuerza Mayor Ambiental establece que la misma se activa si transcurriere más de un ciento cincuenta por ciento (150%) adicional del tiempo máximo establecido por la Ley Aplicable. Al respecto, se pregunta a la Agencia lo siguiente:
(i)                 ¿Cuál es la ley aplicable en este caso teniendo en cuenta que los expedientes ambientales que existen para el proyecto son antiguos?
(ii)               ¿El tiempo para contabilizar la configuración de la FMA corresponde al 100% del tiempo que tomaría la autoridad ambiental más un 50%? 
(iii)             Si el plazo para contar este tiempo se cuenta a partir de la fecha de radicación de información adicional, ¿qué pasa si la autoridad ambiental realiza múltiples solicitudes de información adicional?</t>
  </si>
  <si>
    <t>(i)             ¿el trazado vial de las diferentes unidades funcionales de la Concesión Nueva Malla Vial del Valle del Cauca hace parte de las fajas de exclusión y reserva a las que hace referencia la Ley 1228 de 2008?</t>
  </si>
  <si>
    <t>(ii)               ¿cuál es la declaratoria de utilidad pública de la Concesión Nueva Malla Vial del Valle del Cauca?</t>
  </si>
  <si>
    <t>De acuerdo con la Parte General, el riesgo de Invasiones en la vía pública se encuentra asignado al Concesionario. Al respecto, es claro que no es el Concesionario quien se encuentra en mejor condición de asumir y administrar este riesgo, pues evitarlo depende de la definición y adopción de las medidas que adopten las autoridades de policía necesarias para retirar a los moradores o invasores ilegales que ocupen el corredor concesionado; actividad que la ANI, en su condición de entidad estatal, se encuentra en una mejor posición para coordinar junto con las demás autoridades competentes para el cabal cumplimiento de las mismas.
Este es un tema que ha sido reiterativo en proyectos existentes, siendo el concesionario únicamente responsable de la debida diligencia en los trámites de informar a las autoridades. Sin embargo, no se puede pretender que esta obligación de medio se extienda a una obligación de resultado frente al eficaz ejercicio de la fuerza pública, ni mucho menos pretender que el Concesionario asuma el riesgo de esta actividad.
En ese sentido solicitamos se ajuste la redacción para limitar este riesgo a la gestión y no al resultado de la misma.</t>
  </si>
  <si>
    <t>Favor indicar si el valor de refencia del OpEx incluye la Administración, así como, indicar los principales rubros que están incluidos en este valor de referencia.</t>
  </si>
  <si>
    <t>Favor el explicar el (los) motivo(s) por el(los) cual(es) el valor del Amparo de Cumplimiento para la Etapa de Operación y Mantenimiento asciende a $575.751.422.367 que equivale al 19,20% sobre el Valor del Contrato, cuando para los Contratos de 4G dicho monto asegurable fluctuaba entre el 2% al 4% del Valor del Contrato.</t>
  </si>
  <si>
    <t>Favor el explicar el (los) motivo(s) por el(los) cual(es) el valor del Amparo de Responsabilidad Civil para la Fase Construcción asciende a $188.347.237.763 que equivale al 6,28% sobre el Valor del Contrato, cuando para los Contratos de 4G dicho monto asegurable fluctuaba entre el 2,5% al 3% del Valor del Contrato.</t>
  </si>
  <si>
    <t>Favor el explicar el (los) motivo(s) por el(los) cual(es) el valor del Amparo de Responsabilidad Civil para la Etapa de Operación y Mantenimiento asciende a $935.143.288.084 que equivale al 31,16% sobre el Valor del Contrato, cuando para los Contratos de 4G dicho monto asegurable fluctuaba entre el 1,5% al 2,5% del Valor del Contrato.</t>
  </si>
  <si>
    <t>Favor indicar los principales rubros que están incluidos dentro del valor de refencia suministrado para el  CAPEX.</t>
  </si>
  <si>
    <t>Por favor aclarar el alcance de los sistemas de ITS e iluminación para las vías Herradura-Matapalo y Villa Rica Caoloto.</t>
  </si>
  <si>
    <t>Apéndice Técnico 1, Sección 7.2 (a)</t>
  </si>
  <si>
    <t>Se requiere confirmar si los montos establecidos para el fortalecimiento comunitario y organizativo, de infraestructura comunitaria y fortalecimiento productivo son en pesos constantes de la fecha de acuerdo, para el caso de los tres concejos comunitarios (sólo se indica de esta forma para el acuerdo con el concejo de Cascajal de Dos Aguas). 
De esta forma solicitamos definir el valor de referencia de los acuerdos con las comunidades de San Isidro y del Guabal, así como el consejo comunitario de Bocas del Palo.
De igual forma, se requiere saber cuál es la fecha de los acuerdos de las consultas previas.</t>
  </si>
  <si>
    <t>Se solicita por favor complementar la información de los pasos urbanos, incluyendo las coordenadas de inicio y fin de estos sectores, para delimitar la velocidad de diseño y alcance de los tramos La Herradura - Matapalo y Villa Rica - Caloto que se encuentran dentro del Factor de Calidad.</t>
  </si>
  <si>
    <t>Apéndice Técnico 1, sección 7.2 Factor de Calidad</t>
  </si>
  <si>
    <t>Se solicita por favor incluir para el tramo Villa Rica - Caloto la velocidad de diseño para los tramos urbanos que apliquen en este sector.</t>
  </si>
  <si>
    <t>Se solicita por favor aclarar y especificar si el alcance de mejoramiento aplica para las intersecciones La Herradura, La Selva, la intersección de la vía La Herradura - Matapalo con el tramo de vía Guajira – Rozo y la intersección Ye de Villa Rica.</t>
  </si>
  <si>
    <t>Se solicita por favor indicar el alcance respecto a las obras de infraestructura asociada a los tramos de vía La Herradura - Matapalo y Villa Rica - Caloto, tales como andenes, iluminación, urbanismo, redes y longitud a intervenir en los accesos a predios y en las boca calles.</t>
  </si>
  <si>
    <t>Se solicita por favor definir la prelación de los POT, o EOT u otras disposiciones o planes de los gobiernos locales de los pasos afectados por el mejoramiento o construcción de la vías La Herradura - Matapalo y Villa Rica - Caloto, respecto a lo definido en el Apéndice Técnico 1.</t>
  </si>
  <si>
    <t>Se solicita por favor definir los parámetros e indicadores de aceptación de todos los tramos o sectores que hacen parte de la Reversión Especial y Factor de Calidad, teniendo en cuenta que estos no hacen parte de las unidades funcionales, y por ende no están mencionados en el Apéndice Técnico 4.</t>
  </si>
  <si>
    <t>Apéndice Técnico 1, secciones 4.7 Infraestructura de Reversión Especial y 7.2 Factor de Calidad</t>
  </si>
  <si>
    <t>Se solicita por favor confirmar si en las zonas que por las rectificaciones y ajustes para cumplir con los parámetros geométricos acordes a la velocidad de diseño y radios de curvatura horizontal especificados en el Apéndice Técnico 1 se salga de la franja actual de la vías La Herradura - Matapalo y Villa Rica - Caloto, se mantendrá la geometría existente o se realizará la afectación predial necesaria para corregirla.</t>
  </si>
  <si>
    <t>Sírvase por favor precisar las condiciones iniciales de construcción, así como las especificaciones técnicas con las que se diseñó cada uno de los tramos de puesta a punto que son objeto del alcance del proyecto, según se define en el numeral 6.2 (iv) y (v) del Apéndice Técnico 1</t>
  </si>
  <si>
    <t>Apéndice Técnico 1, Capítulo VI Obligaciones durante la etapa preoperativa, numeral 6.2 (iv) y (v)</t>
  </si>
  <si>
    <t>Sírvase por favor entregar los planos detallados de las vías existentes a intervenir dentro del alcance de puesta a punto, rehabilitación y mejoramiento, en donde se muestren claramente las secciones transversales de las calzadas principales, así como de los ramales de las intersecciones, lazos de conexión y retornos.</t>
  </si>
  <si>
    <t xml:space="preserve">Apéndice Técnico 1, Capítulo IV Infraestructura proyectada, numerales 4.2, 4.3, 4.4, 4.5, 4.6 y 4.7 </t>
  </si>
  <si>
    <t>Apéndice Técnico 2, Sección 2.1 (o)</t>
  </si>
  <si>
    <t xml:space="preserve">Apéndice Técnico 2, Sección3.3.3.1.3.  </t>
  </si>
  <si>
    <t xml:space="preserve">Apéndice Técnico 2, Sección3.3.3.2.3. </t>
  </si>
  <si>
    <t xml:space="preserve">Apéndice Técnico 2, Sección3.3.3.10.1.  </t>
  </si>
  <si>
    <t>Apéndice Técnico 2, Sección3.3.4.3.</t>
  </si>
  <si>
    <t>Apéndice Técnico 2, Sección3.3.4.5.</t>
  </si>
  <si>
    <t>Apéndice Técnico 2, Sección3.3.5.1.</t>
  </si>
  <si>
    <t xml:space="preserve">Apéndice Técnico 2, Sección3.3.5.2. (g) </t>
  </si>
  <si>
    <t>Por favor aumentar el valor permisible del indicador de deflexión en la etapa de reversión, toda vez que se espera un deterioro luego de la operación durante todo el período de concesión</t>
  </si>
  <si>
    <t>Apéndice Técnico 2, Capítulo 5  numeral 5.2 Pavimentos</t>
  </si>
  <si>
    <t>Por favor  revisar y definir los indicadores exigidos en los pasos urbanos, dado que estos sectores presentan condiciones especiales de operación y mantenimiento.</t>
  </si>
  <si>
    <t>Apéndice Técnico 4, Capítulo 3 Indicadores</t>
  </si>
  <si>
    <t>Para la medición de la reflectividad de la señalización horizontal se solicita mantener solamente el equipo con geometría de 30 m establecido en el indicador de reflectividad horizontal, ya que el equipo de geometría 15 se encuentra obsoleto.</t>
  </si>
  <si>
    <t>Apéndice Técnico 4, Capítulo 3 Indicadores - Tabla 3 - Identificador E12</t>
  </si>
  <si>
    <t>Se solicita incluir dentro de la normatividad aplicable, la correspondiente al equipo de medición Mu Meter para la evaluación del coeficiente de fricción transversal.</t>
  </si>
  <si>
    <t>Apéndice Técnico 4, Capítulo 3 Indicadores - Tabla 3 - Identificador E4</t>
  </si>
  <si>
    <t>Apéndice Técnico 5, Sección 3.2.1, literal (e), romanos (ii), numeral (2)</t>
  </si>
  <si>
    <t>A través de comunicado ubicado en carpeta F11241217 del Cuarto de Datos de la ANI, Cenit manifiesta identificar "interferencias" de su red de transporte de hidrocarburos con el proyecto NMVVC, sin embargo, en el Apéndice Técnico 5, se afirma que "durante la etapa de estructuración no se encontraron redes de hidrocarburos, para efectos de la identificación de afectaciones o interferencias del proyecto con redes de hidrocarburos..." ¿Qué criterios evaluó el estructurador para afirmar que los hallazgos de Cenit no constituyen interferencias con el proyecto vial?</t>
  </si>
  <si>
    <t>PROINDESA S.A.S, 28/05/2020</t>
  </si>
  <si>
    <t>PROINDESA S.A.S. 28/05/2020</t>
  </si>
  <si>
    <t>El formato de la póliza ANI para Obras Civiles contenido en el Formato ANI, incluyen amparos que generalmente son sublimitados en la suscripción. Se sugiere que en la minuta del contrato se definan los sublímites aceptados para que haya uniformidad en la búsqueda de cotizaciones. Además se solicita que se tenga en cuenta, por ejemplo, que no es normal que los mercados de reaseguro otorguen cobertura de LEG 3, remoción de escombros o gastos de extinción al 100%.</t>
  </si>
  <si>
    <t>En relación con la cobertura de Equipo y Maquinaria de Construcción que prevé la póliza de Obras Civiles en la sección III, se sugiere que este seguro contemple también una cobertura de Responsabilidad Civil Extracontractual para cubrir eventos derivados del uso específico de maquinaria, o bien se aclare que la póliza de Responsabilidad Civil Extracontractual RCE ampara estos eventos expresamente, pues como esta redactado, pareciera ser una exclusión (la numero 35) de la póliza propuesta de RCE.</t>
  </si>
  <si>
    <t>Se identifica que el proyecto vial NMVVC, posiblemente se cruza, en algunos sectores como en el caso de Sameco, con otros proyectos de infraestructura como la Troncal de Oriente del MIO de Metrocali; al respecto, ¿cuál sería la prelación entre los dos proyectos viales, en cuanto a las obligaciones de redes se refiere? (aplica para cruces del proyecto NMVVC con otros proyectos de infraestructura en el Valle)</t>
  </si>
  <si>
    <t>SAINC, 28/05/2020</t>
  </si>
  <si>
    <t>Se solicita incorporar en el texto que  la responsabilidad del contratista tendrá límite en excepciones, las derivadas de las circunstancias de fuerza mayor en los términos de ley, de acuerdo con el tratamiento establecido en la matriz de riesgos del contrato</t>
  </si>
  <si>
    <t xml:space="preserve">sección 1.6.3. del capítulo 1.6 costos de la oferta y de la celebración del contrato del pliego de condiciones establece:
“Si algún Interesado considera que no ha podido obtener toda la información relevante de conformidad con este Pliego de Condiciones y sus Anexos, para evaluar la totalidad de obligaciones y riesgos que el Contrato prevé́, o si considera que sus propias estimaciones le hacen imposible la asunción de esas obligaciones y riesgos, deberá́ abstenerse de presentar Oferta. La presentación de la Oferta implica la aceptación de que esas obligaciones y riesgos serán enteramente asumidos en caso de que el Oferente resulte Adjudicatario del Contrato de Concesión, como contraprestación por el pago previsto en el Contrato y con base en su Oferta Económica.” (Énfasis fuera de texto). 
</t>
  </si>
  <si>
    <t xml:space="preserve">Es pertinente indicar que ante la actual coyuntura como consecuencia de declaratoria de emergencia económica, social y sanitaria derivada del COVID 19, particularmente la orden de aislamiento preventivo contenida en el Decreto 457 de 2020 y demás decretos, es fácticamente imposible el traslado hasta el lugar de ejecución. En consecuencia, se solicita suprimir este acápite o modificar la redacción en este sentido. </t>
  </si>
  <si>
    <t xml:space="preserve">En la sección 1.8.1. del capítulo 1.8. “visitas al lugar donde se desarrollará el proyecto debida diligencia e información sobre el Proyecto” del pliego de condiciones señala:  
 “Será responsabilidad de los Oferentes visitar e inspeccionar los sitios en los cuales se desarrollará el Proyecto. Los interesados deberán realizar todas las evaluaciones y estimaciones que sean necesarias para presentar su Oferta sobre la base de un examen cuidadoso de sus características, incluyendo los estudios, diseños, evaluaciones y verificaciones que consideren necesarios para formular la Oferta con base en su propia información.”
</t>
  </si>
  <si>
    <t xml:space="preserve">Así entonces, se sugiere modificar esta cláusula en el sentido de dejar suficientemente claro que el contratista presentará su oferta a partir de la información que ha sido suministrada por la entidad al momento de la presentación de la oferta, y por tanto su responsabilidad no podrá exceder de la información recibida. Esto teniendo en cuenta que, la viabilidad financiera del Contrato puede verse impactada por situaciones que se presenten en desarrollo del Contrato no configuradas ni previsibles al momento de presentación de la oferta económica.  </t>
  </si>
  <si>
    <t xml:space="preserve"> El Pliego de Condiciones en su sección 1.8.3. del capítulo 1.8. “visitas al lugar donde se desarrollará el proyecto, debida diligencia e información sobre el Proyecto” señala en relación con el examen de la viabilidad financiera de la oferta: 
“Por la sola presentación de la Oferta se considera que los Oferentes han considerado la viabilidad financiera del Contrato, bajo las condiciones contenidas en su Oferta, y que han hecho un cuidadoso examen de los sitios de la obra y han investigado plenamente las condiciones de trabajo, los riesgos, y en general, todos los factores determinantes de los costos de ejecución de los trabajos, los cuales se incluyen en los términos de su Oferta.
Si el Oferente que resulte Adjudicatario no ha obtenido, ha evaluado incorrectamente o no ha considerado toda la información que pueda influir en la determinación de los costos, no se eximirá́ de su responsabilidad por la ejecución completa de las obras de conformidad con el Contrato, ni le dará́ derecho a reembolso de costos, ni reclamaciones o reconocimientos adicionales de ninguna naturaleza.”
</t>
  </si>
  <si>
    <t>En relación con la audiencia de asignación de riesgos, y en particular con su celebración, solicitamos a la ANI aplicar lo previsto en el artículo 1 del decreto 440 de 2020, en lo que se refiere a la celebración de audiencias públicas a través de medios electrónicos.</t>
  </si>
  <si>
    <t>El Pliego de Condiciones en su capítulo 2.5. numeral 2.5.1. “estimación, tipificación y asignación de riesgos”,</t>
  </si>
  <si>
    <t xml:space="preserve"> En relación con el cronograma de la licitación pública contenido en el numeral 2.3. del Pliego de Condiciones, solicitamos que en el evento en que persista la situación de emergencia económica, social y sanitaria causada por Covid-19, cada una de las audiencias programadas en una sede física se gestionen por medios electrónicos habilitados por la Entidad para este efecto.</t>
  </si>
  <si>
    <t>Cronograma del proceso</t>
  </si>
  <si>
    <t>solicitamos respetuosamente a la ANI ampliar en ocho (8) días hábiles el término para constitución de la SPV. .</t>
  </si>
  <si>
    <t xml:space="preserve">Los Pliegos de Condiciones en relación con la sección 9.3. “Constitución del SPV” señalan:
“9.3.1 A partir de la fecha de Adjudicación de la Licitación Pública y hasta el quinto (5) día hábil anterior a la firma del Contrato, el Adjudicatario deberá constituir un SPV para la suscripción del Contrato de Concesión. El SPV deberá ser una sociedad comercial por acciones de nacionalidad colombiana, cuyo único objeto 41 sea la suscripción y ejecución del Contrato de Concesión. 
9.3.2 La no constitución del SPV en los plazos y términos indicados en este Pliego de Condiciones, facultará a la ANI para hacer efectiva la Garantía de Seriedad de la 45 Oferta, a menos que dicho plazo sea prorrogado por la entidad”. 
</t>
  </si>
  <si>
    <t xml:space="preserve">Le solicitamos a la ANI incorporar un numeral para regular aquellos eventos en los que el adjudicatario coincida con el Estructurador En relación con esta regulación.  solicitamos precisar que, en este caso, la ANI pagará al adjudicatario los costos de estructuración del Proyecto. </t>
  </si>
  <si>
    <t xml:space="preserve">La sección 2.3 “Perfeccionamiento e Inicio de Ejecución del Contrato” de la Parte General del Contrato de Concesión indica los requisitos de perfeccionamiento e inicio de ejecución del Contrato. </t>
  </si>
  <si>
    <t>El contratista adjudicatario únicamente puede realizar esta declaración, si cada una de sus observaciones relacionadas con la valoración de los riesgos son acogidas por la Entidad e incorporadas en la correspondiente matriz de riesgos</t>
  </si>
  <si>
    <t xml:space="preserve"> El numeral (v) del literal (a) de la sección 2.6. “declaraciones y garantías de las partes” de la Parte General del Contrato de Concesión establece:
“Aceptación del Contrato: el Concesionario ha leído cuidadosamente los términos del Contrato, Parte General y Parte Especial, sus Apéndices y Anexos y demás documentos que hacen parte del mismo, hizo los comentarios que a su juicio fueron necesarios y, con la presentación de la Oferta, determinó que las modificaciones que se efectuaron por parte de la ANI durante el Proceso de Selección fueron adecuadas y suficientes para atender sus inquietudes. Declara asimismo que en los términos de la ley 1508 de 2012, del Artículo 24 de la Ley 80 de 1993 y en general de las normas y principios aplicables a la contratación pública, puso en conocimiento de la ANI aquellos apartes que a su juicio no eran claros y acepta que tales apartes fueron debidamente aclarados de manera que en el presente Contrato no existen apartes confusos ni contradicciones o de existirlos, están claramente solucionados con base en los criterios y reglas de interpretación contenidos en el mismo Contrato. El Concesionario declara que acepta los términos y condiciones del Contrato en la medida en que los ha estudiado y ha valorado con la diligencia necesaria el costo que implica el cumplimiento cabal, oportuno y conforme a los términos del Contrato de la totalidad de las obligaciones y de la asunción de los riesgos previstos en el Contrato sus Apéndices y Anexos. Particularmente, declara que ha efectuado una valoración de los riesgos a su cargo conforme a los términos del presente Contrato y acepta dicha asunción de sus efectos favorables y/o desfavorables sin limitación alguna.” (Énfasis fuera de texto)
</t>
  </si>
  <si>
    <t xml:space="preserve">La obligación de consecución del cierre financiero no es de extensión ilimitada. Por esta razón, solicitamos a la ANI eliminar de esta cláusula la referencia a que nada “limita, excluye o excusa” la obligación de procurar la obtención de recursos. La ANI es conocedora de las situaciones que pueden incidir en la obtención de recursos, entre ellas, la toma de decisiones del mercado financiero, situación que es ajena al control del Concesionario.  </t>
  </si>
  <si>
    <t xml:space="preserve">El numeral 3.8. literal (f) de la Parte General del Contrato de Concesión señala en relación con la obtención del cierre financiero ”la obtención del Cierre Financiero será por cuenta y riesgo del Concesionario y en nada limita, excluye o excusa su obligación de procurar la totalidad de recursos necesarios para llevar a cabo todas las obligaciones del Contrato en los plazos y condiciones establecidos por el mismo, incluso si los Recursos de Deuda que requiera el Proyecto deben ser mayores a los comprometidos a través del Cierre Financiero”.
</t>
  </si>
  <si>
    <t xml:space="preserve"> Le solicitamos a la ANI precisar a qué se refiere con “sobrantes”. Entendemos por “sobrantes” los recursos de peaje consignados por los usuarios en exceso del monto mínimo de recaudo. Le proponemos a la ANI que estos recursos sean transferidos a la Subcuenta Proyecto, teniendo en cuenta que estos recursos pueden contribuir a las necesidades del contrato.</t>
  </si>
  <si>
    <t xml:space="preserve"> El numeral (13) del literal (iv) “Subcuenta Recaudo Peaje” del capítulo 3.14. “cuentas y subcuentas del Patrimonio Autónomo” indica que los “sobrantes serán trasladados mensualmente a la Subcuenta Excedentes ANI”.
</t>
  </si>
  <si>
    <t xml:space="preserve">Esta cláusula es contentiva de una obligación de extensión ilimitada, que iría en contravía de la misma ejecución del Proyecto. Esto es así, teniendo en cuenta que el Concesionario podría encontrar necesaria una extensión de plazo y/o compensación derivada del mismo, con el único de garantizar el cumplimiento de una Especificación Técnica indispensable para garantizar el desarrollo del Contrato. Por tanto, solicitamos eliminar de esta sección la nota que se refiere a “no se aceptará reclamación alguna, ni solicitud de extensión de plazos, ni solicitudes de compensaciones derivadas de insuficiencias en las Especificaciones Técnicas”. </t>
  </si>
  <si>
    <t xml:space="preserve">El numeral 4.11. literal (b) de la Parte General del Contrato de Concesión señala que la ANI no  “aceptará reclamación alguna, ni solicitud de extensión de plazos, ni solicitudes de compensaciones derivadas de insuficiencias en las Especificaciones Técnicas, pretendidas o reales, puesto que estas especificaciones son exigencias mínimas que el Concesionario deberá cumplir, y, -de ser el caso- mejorar en lo que resulte necesario para garantizar la obtención de los resultados previstos en el Contrato y sus Apéndices”. 
</t>
  </si>
  <si>
    <t xml:space="preserve">En relación con estos numerales solicitamos a la ANI incluir un (4) numeral que consiste en “cuando afecten las condiciones de seguridad vial”. Consideramos que este (4) numeral resulta determinante, para que, en eventos de contradicción entre especificaciones técnicas, se prefiera aquella interpretación que procure por la protección de la seguridad en el corredor vial concesionado.  </t>
  </si>
  <si>
    <t xml:space="preserve">El subliteral (i) del literal (b) de la cláusula 4.12. de la Parte General del Contrato de Concesión señala que existirá “incompatibilidad entre especificaciones técnicas” cuando (1) impida la ejecución o el cumplimiento de la obra, (2) destruya sus resultados o (3) genere variaciones en los resultados
</t>
  </si>
  <si>
    <t xml:space="preserve">sin perjuicio de lo contenido en la obligación de precedente, se requiere que la entidad participe mediante la coordinación interinstitucional en los procedimientos para la obtención de licencias y permisos , como quiera que se encuentra en mejor posición para hacerlo que el Concesionario. Es por esta razón que, por la naturaleza de la obligación y por su naturaleza colaborativa, derivada en un riesgo que sí debe ser compartido por la ANI. En este sentido, solicitamos a la Entidad eliminar la última sección de este literal en lo que se refiere a que “la participación de la ANI en el trámite mencionado no implica que el riesgo de Gestión Predial se convierta en un riesgo compartido o a cargo de la ANI”. </t>
  </si>
  <si>
    <t xml:space="preserve">El numeral 4.3. literal (b) de la Parte General del Contrato de Concesión establece en relación con las principales obligaciones de la ANI durante la Fase de Pre construcción: 
“Cooperar con el Concesionario en los trámites ante las Autoridades Estatales, para la obtención de las Licencias y Permisos necesarios para iniciar las Intervenciones. La participación de la ANI en el trámite mencionado no implica que el riesgo de Gestión Social y Ambiental se convierta en un riesgo compartido o a cargo de la ANI. “
</t>
  </si>
  <si>
    <t xml:space="preserve">El numeral 15.2. literal g de la Parte General del Contrato de Concesión establece: 
“El inicio del procedimiento arbitral no inhibirá el ejercicio de las potestades sancionatorias ni de las facultades ajenas al derecho común y exorbitantes de que disponga la ANI conforme al Contrato y la Ley Aplicable. Los actos administrativos fruto del ejercicio de facultades excepcionales no podrán ser sometidos a arbitramento por ser competencia de la jurisdicción contenciosa administrativa.”
</t>
  </si>
  <si>
    <t xml:space="preserve">Nos permitimos solicitar a la ANI considerar que este Apéndice Técnico 4 contiene indicadores en Etapa de Construcción, por ello recomendamos crear unos indicadores aplicables para una eventual reversión en Etapa de Pre construcción. </t>
  </si>
  <si>
    <t xml:space="preserve">El numeral 9.7. “Etapa de Reversión” de la Parte General del Contrato de Concesión señala en su literal (g) que “los indicadores deberán cumplir con lo previsto en el Apéndice Técnico 4 para el recibo del Proyecto”. </t>
  </si>
  <si>
    <t xml:space="preserve">Con base en el “principio de conservación” del mecanismo de amigable composición, solicitamos a la ANI eliminar este literal en su totalidad. Esto teniendo en cuenta que la simple existencia de una decisión que no sea unánime desvirtúa el esfuerzo que hayan invertido las partes en la solución de sus controversias. La solución por amigable composición supone una sujeción a la decisión final, sin importar si esta es unánime o no.  Esta última premisa es totalmente consistente con el numeral (vi) según el cual, las “decisiones del Panel de Amigables Componedores una vez adoptadas, serán irrevocables”. </t>
  </si>
  <si>
    <t>La sección 15.1. “Amigable Componedor” del Capítulo XV “Solución de Controversias” de la Parte General del Contrato de Concesión contiene el pacto de composición. El literal (f) subliteral (v) señala que “las decisiones del Panel de Amigables Componedores deberán adoptarse por unanimidad. A falta de unanimidad las Partes convienen que la decisión no será vinculante, ni de obligatorio cumplimiento y cualquiera de ellas podrá plantear la disputa ante un tribunal de arbitramento como se dispone en las Secciones 15.2 y 15.3 siguientes</t>
  </si>
  <si>
    <t>Recomendamos a la ANI incluir en su estructura de riesgos: (i) mecanismo mitigación de los riesgos y (ii) probabilidad de ocurrencia, esto es, riesgo bajo, riesgo medio-bajo, riesgo medio-alto o riesgo alto.  En este sentido, es pertinente resaltar que el artículo 4° de la Ley 1150 de 2007 incluyó la obligación de incorporar en los pliegos de condiciones la “estimación, tipificación y asignación de los riesgos previsibles involucrados en la contratación estatal”. En relación con la calificación del riesgo, el CONPES 3714 de 2007 ofrece los siguientes lineamientos:</t>
  </si>
  <si>
    <t>ANEXO 22. Matriz de riesgos</t>
  </si>
  <si>
    <t xml:space="preserve">la asignación de este riesgo, puntualmente de las demoras en la obtención de licencias ambientales, debe tener asignación “PUBLICO - PRIVADO”, teniendo en cuenta que la duración excesiva en los trámites administrativos ante otras autoridades es un asunto que trasciende la órbita privada de acción, y resulta una carga desproporcionada con el Concesionario asignarle este riesgo exclusivamente a él. 
En relación con los costos, el CONPES 3714 de 2011, señala expresamente que “cuando no se cuente con licencia ambiental debidamente ejecutoriada y/o plan de manejo ambiental, antes del cierre de la licitación, los costos por obligaciones ambientales se deberán estimar y prever en los contratos acorde con la naturaleza y magnitud del objeto contractual. En estos casos la entidad estatal podrá asumir el riesgo de que los costos por obligaciones ambientales resulten superiores a lo estimado.”
En consecuencia, solicitamos a la ANI asignar este riesgo conjuntamente a Concesionario y a la ANI en lo se refiera a los costos por obligaciones ambientales superiores a lo estimado. Nótese que los lineamientos CONPES son claros en precisar que “el traslado del riesgo no tiene connotaciones infinitas por lo que se recomienda no incluir en los pliegos de condiciones y en las matrices de riesgos traslados de riesgo o de responsabilidad en abstracto sin tipificación y estimación o cuantificación”
</t>
  </si>
  <si>
    <t xml:space="preserve">RIESGO AMBIENTAL Y SOCIAL: La sección 5 de la matriz de riesgos señala “los efectos de los costos y las demoras en la obtención de las licencias ambientales, planes de manejo ambiental, conceptos y demás permisos de carácter ambiental, así como las gestiones y actividades derivadas de los acuerdos de nuevas consultas previas con las comunidades” Este riesgo está asignado en la matriz a la Concesionaria. </t>
  </si>
  <si>
    <t xml:space="preserve">Le solicitamos a la ANI asignar este riesgo de manera compartida, esto es, Privado - Público. Esto es así teniendo en cuenta dos escenarios: (i) cambios en los estudios y diseños originados en decisiones autónomas constructivas del Concesionario y (ii) cambios en los estudios y diseños causados por decisión de la ANI. El CONPES 3714 de 2007 es claro en afirmar que la distribución de riesgos está sujeta a “la capacidad de cada una de las partes para gestionarlo, controlarlo, administrarlo y mitigarlo”. En esta medida, el Concesionario no está en capacidad de gestionar, ni controlar, ni administrar ni mitigar riesgo de diseño causado por introducciones o cambios a los estudios y diseños solicitados por la ANI. En este caso, la Entidad tendrá que asumir el efecto que estas modificaciones tengan en la programación de obra, costos y en el impacto sobre otros riesgos a cargo de la ANI y del Concesionario. 
</t>
  </si>
  <si>
    <t xml:space="preserve">RIESGO DISEÑO: El numeral 9 de la matriz de riesgos tipifica el riesgo de diseño como los “efectos derivados de los cambios en los estudios y diseños, incluyendo pero sin limitarse a modificaciones sobre la programación de obra, costos, sobre los costos y el impacto sobre otros riesgos a cargo de la ANI”. Este riesgo está asignado al Concesionario. </t>
  </si>
  <si>
    <t xml:space="preserve">solicitamos a la ANI asignar compartido este riesgo. Esto es así, teniendo en cuenta: (i) que el Concesionario únicamente está llamado a asumir las variaciones en cantidades de obra derivadas de un error constructivo demostrado por la ANI, y (ii) que todas las demás variaciones en las cantidades de obra, derivadas entre otros, intervenciones prioritarias no previstas, instrucciones de la ANI, situaciones de fuerza mayor recaen en la ANI. 
</t>
  </si>
  <si>
    <t xml:space="preserve">RIESGO CONSTRUCCIÓN El numeral 8 de la matriz de riesgos tipifica a cargo del Concesionario el riesgo derivado de “los efectos de las variaciones en las cantidades de obra”. </t>
  </si>
  <si>
    <t>Si bien el oferente debe tener en cuenta en su propuesta los valores de precios y su eventual variación, es importante señalar que, ante una variación anormal de éstos, se afectaría gravemente el equilibrio económico del contrato, razón por la cual este asunto debe tener asignación conjunta, para que ambos extremos del contrato propendan por su mitigación.</t>
  </si>
  <si>
    <t>El numeral 12 de la matriz de riesgos asigna al Concesionario el riesgo derivado de “los efectos de la variación en precios de los insumos”.</t>
  </si>
  <si>
    <t xml:space="preserve">Este riesgo debe ser asignado a la ANI pues en esta Entidad recae la obligación de entrega de la infraestructura existente. Por tanto, una entrega tardía o anticipada, así como sus mayores costos, recaerán únicamente en la Entidad. </t>
  </si>
  <si>
    <t>El numeral 13 de la matriz de riesgos asigna al Concesionario el riesgo derivado de los “costos de construcción generados a la entrega anticipada o tardía de la infraestructura existente”.</t>
  </si>
  <si>
    <t>Teniendo en cuenta la naturaleza de este riesgo, existe una alta probabilidad del descubrimiento de fallas geológicas no contempladas por la ANI en la estructuración del proyecto, y por tanto, tampoco incluidas por los oferentes en sus propuestas. La asignación de este riesgo exclusivamente al Concesionario no es razonable, como quiera que por la naturaleza del riesgo, los llamados a mitigarlo son ambas partes del contrato.</t>
  </si>
  <si>
    <t xml:space="preserve"> MATRIZ  DE RIESGOS - Efectos favorables y/o desfavorables de la variación en los costos asociados a las cantidades de obras requeridas para la prevención o solución de eventos geológicos. PRIVADO</t>
  </si>
  <si>
    <t xml:space="preserve">este riesgo debe ser asignado a la ANI pues en esta Entidad recae la obligación de entrega de la infraestructura existente. Por tanto, una entrega tardía o anticipada, así como sus mayores costos, recaerán únicamente en la Entidad. </t>
  </si>
  <si>
    <t>RIESGO OPERACIÓN Y MANTENIMIENTO El numeral 16 de la matriz de riesgos asigna en el Concesionario los “efectos por las variaciones en los costos generados por la entrega anticipada o tardía de la infraestructura existente”</t>
  </si>
  <si>
    <t>este es un riesgo que debe ser asumido por la ANI teniendo en cuenta (i) que el Concesionario únicamente está llamado a asumir las variaciones en cantidades de obra derivadas de un error o falta de diligencia en las obras de mantenimiento y operación demostrado por la ANI, y (ii) que todas las demás variaciones en las cantidades de obra, derivadas entre otros, intervenciones prioritarias no previstas, instrucciones de la ANI, situaciones de fuerza mayor recaen en la ANI.</t>
  </si>
  <si>
    <t>El numeral 18 de la matriz de riesgos asigna en el Concesionario los “efectos de las variaciones en las cantidades de obra requeridas para las obras de mantenimiento y las actividades de operación”</t>
  </si>
  <si>
    <t>La asignación de riesgo únicamente se extenderá en las variaciones normales de precios de insumos. En este sentido proponemos compartir el riesgo, en el sentido de asignar a la ANI los riesgos derivados de variaciones en los precios de insumos por encima del promedio usual de los precios de mercado.</t>
  </si>
  <si>
    <t>El numeral 19 de la matriz de riesgos asigna en el Concesionario los “efectos de las variaciones en los precios de los insumos para las obras de mantenimiento y las actividades de operación”</t>
  </si>
  <si>
    <t>: La asignación de este riesgo debe ser conjunta de la entidad y el contratista, toda vez que existen circunstancias ajenas a la voluntad del privado, que pueden alterar el comportamiento del tráfico más allá de su variación normal u ordinaria. Por tanto, solicitamos a la ANI incorporar en la tipificación del riesgo que, las variaciones de ingresos por cambio de tráfico que superen los rangos normales de variación, serán asumidas por la Entidad</t>
  </si>
  <si>
    <t xml:space="preserve">RIESGO COMERCIAL El numeral 20 de la matriz de riesgos asigna en el Concesionario el riesgo que consiste en “efectos de la variación en los ingresos por cambio de tráfico” </t>
  </si>
  <si>
    <t>La asignación de este riesgo debe ser asumida por la ANI. La evasión de peaje se constituye en un asunto de manejo público que escapa a la administración del Concesionario</t>
  </si>
  <si>
    <t xml:space="preserve"> El numeral 20 de la matriz de riesgos asigna en el Concesionario el riesgo que consiste en “efectos desfavorables sobre los ingresos derivados de evasión del pago de peaje</t>
  </si>
  <si>
    <t xml:space="preserve">La asignación de este riesgo debe ser conjunta de la entidad y el contratista, toda vez que existen circunstancias ajenas a la voluntad del privado, que pueden alterar gravemente el ingreso por explotación comercial, sin que éste tenga la capacidad de mitigar el riesgo. </t>
  </si>
  <si>
    <t>El numeral 20 de la matriz de riesgos asigna en el Concesionario el riesgo que consiste en “efectos de la variación de los ingresos por explotación comercial”.</t>
  </si>
  <si>
    <t xml:space="preserve">La asignación de este riesgo debe ser conjunta de la entidad y el contratista, toda vez que existen circunstancias ajenas a la voluntad del privado, que pueden incidir en la no obtención del financiamiento del proyecto Privado. La ANI es conocedora del comportamiento que ha tenido el mercado al financiamiento de los proyectos de concesión 4G.  Así, tanto Concesionario como ANI están llamados a administrar, manejar y mitigar este riesgo de financiamiento.  </t>
  </si>
  <si>
    <t xml:space="preserve">La asignación de este riesgo debe ser asumida por la ANI. La modificación de las variables del mercado o condiciones del Proyecto son aleas no transferibles al Concesionario. </t>
  </si>
  <si>
    <t>El numeral 25 de la matriz de riesgos asigna en el Concesionario el riesgo que consiste en “efectos de la alteración de las condiciones de financiación y/o costos de la liquidez que resulten de la variación en las variables del mercado o condiciones del proyecto”</t>
  </si>
  <si>
    <t xml:space="preserve">La falta de liquidez del contratista por circunstancias ajenas a su órbita de acción, representa un riesgo que el privado no está en capacidad de mitigar. En ese sentido, la entidad debe participar en la mitigación de este riesgo para garantizar la buena ejecución del contrato. En ese sentido la asignación debe ser asignada a la Entidad. </t>
  </si>
  <si>
    <t>RIESGO LIQUIDEZ El numeral 27 de la matriz de riesgos asigna en el Concesionario el riesgo derivado del “efecto de las variaciones en la liquidez generada por variaciones en el tráfico”</t>
  </si>
  <si>
    <t xml:space="preserve">Si bien la Entidad determina nueve (9) eventos de fuerza mayor, con su correspondiente tratamiento y asignación, se presentan imprecisiones del siguiente tenor:
1. El Contrato – Parte general – determina en su numeral 7.4 los eventos en los que se configuran  eximentes de responsabilidad, consistentes en “Fuerza Mayor Predial”, que contienen eventos de  adquisición predial y de disponibilidad predial, correspondientes a los Riesgos 37 y 38 respectivamente. En efecto, la matriz de riesgos asigna estos riesgos a la Entidad pública, pero incorpora el adverbio “PARCIALMENTE” para establecer un límite al tratamiento del riesgo asignado.
Sin embargo, se observa que en el texto del Contrato no es claro cuál es el límite que pretende la entidad, respecto de los eventos eximentes de responsabilidad descritos en el numeral 7.4. Por tanto, se solicita determinar con claridad a qué se refiere con “parcialmente los efectos derivados (…)” 
2. En el mismo sentido, los riesgos 39, 40, 41,42, 43 y 45 – asignados todos a la Entidad – incorporan el adverbio “parcialmente”, sin establecer claramente los límites de su tratamiento y sus efectos. En este sentido, es importante aclarar si entonces corresponde a riesgos compartidos, como quiera que el contratista adjudicatario resultaría asumiendo una parte de los efectos de la asunción de estos riesgos, particularmente los efectos de carácter económico y respecto del plazo contractual. 
3. Contrario a lo establecido en el Contrato – Parte general -  , la matriz de riesgos no constituye una referencia sino que corresponde a un documento integrante del Contrato; pero en todo caso, esto no es óbice para que los documentos guarden coherencia en su contenido.  El Contrato (Página 207) contiene los “Riesgos de la ANI”, lo que significa que en un ejercicio de debida planeación y estructuración del proyecto, se determinó que la Entidad se encontraba en mejor posición para mitigar y realizar el tratamiento correspondiente a los eventos que le fueren asignados.
                                                                                                                                                                                                                                                                                                                                                                      En este sentido, los veinticuatro (24) riesgos contenidos en el Numeral 3.3. “Riegos de la ANI” deberán ser asumidos propiamente por la Entidad, incluyendo los eventos de fuerza mayor, y sin delimitación alguna de la responsabilidad en sus efectos. 
Por su parte, la matriz de riesgos - riesgos 39,40,41,42, 43 y 45 – determina que son asignados a la Entidad pero le otorga un matiz consistente en establecer que serán asumidos “parcialmente”; por lo que estaría asignando el riesgo de manera compartida, y en contravía de los dispuesto en el texto del Contrato. 
En este orden de ideas, se advierte la diferencia entre la asignación de riesgos contenida en el Contrato y la asignación de riesgos de la Matriz de riesgos, por lo que se requiere aclarar dicha contradicción 
(4)  Contrato – Parte general página 207. “3.3 Riesgos de la ANI . Salvo que la Parte Especial prevea otra cosa, los siguientes son los riesgos asignados a la ANI, Se exceptúa el documento denominado matriz de riesgos del Proyecto, publicado en el SECOP, el cual es de referencia y no hace parte del Contrato de Concesión ni tiene carácter de vinculante:  (…)” (Subrayas y negrita por fuera del texto original)
</t>
  </si>
  <si>
    <t xml:space="preserve">RIESGO FUERZA MAYOR Siguiendo lo dispuesto en la ley 1150 de 2007 , la Matriz de riegos propuesta por la Entidad, contiene la distribución, tipificación, asignación y tratamiento de los riegos durante la ejecución del Contrato. Particularmente, los riesgos 37 y siguientes, corresponden a los eventos de fuerza mayor :                                                                              </t>
  </si>
  <si>
    <t xml:space="preserve">el CONPES 3714 de 2011, establece en relación con las condiciones macroeconómicas que no podrán trasladarse riesgos que el contratista no pueda controlar tales como “condiciones macroeconómicas no previsibles, las cuales por ser imprevisibles escaparían de la órbita de aplicación del artículo 4 de la Ley 1150 de 2007.” En conclusión, el riesgo por expresa recomendación del CONPES debe estar asignado a la ANI. </t>
  </si>
  <si>
    <t>RIESGO SOBERANO El numeral 30 de la matriz de riesgos asigna en el concesionario el riesgo derivado del “efecto de las variaciones en las condiciones macroeconómicas que tengan impacto en el proyecto”</t>
  </si>
  <si>
    <t xml:space="preserve">en relación con los “riesgos regulatorios” el CONPES 3714 de 2007 señala que “se recomienda que por regla general, el riesgo lo asuma la parte que cuenta con un manejo y posibilidad de administración efectiva de los riesgos regulatorios por su naturaleza y en virtud de las normas propias de cada regulación.”
En este sentido anotamos que en palabras del Ministerio de Hacienda y Crédito Público “el actor con mayor capacidad para manejar riesgos es aquel que más influencia tiene sobre la probabilidad de que ocurra un evento adverso, o aquel que pueda manejar mejor sus consecuencias. Por lo tanto, se deberá asignar el riesgo a la parte que lo maneje al menor costo. En otras palabras, si el costo de prevenir un evento adverso es menor que el costo de manejar sus consecuencias (o viceversa), el riesgo debe asignarse a quien tenga una mayor capacidad de influenciar la probabilidad de ocurrencia (o de manejar sus consecuencias, en caso de que la situación sea la contraria)”
Con esta literatura que enmarca la gestión de riesgos, resulta claro que el riesgo regulatorio recae únicamente en la ANI pues es el Estado quien tiene la capacidad de manejo, control y mitigación de los aspectos regulatorios asociados al contrato de concesión. 
</t>
  </si>
  <si>
    <t>RIESGO REGULATORIO El numeral 34 de la matriz de riesgos tipifica a cargo del Concesionario el riesgo que consiste en los “eefectos de los cambios en la normatividad (General)”. A su vez, el numeral 35 de la matriz de riesgos asigna entre el Concesionario y la ANI el riesgo que consiste en “efectos de los cambios en Normatividad Tributaria”</t>
  </si>
  <si>
    <t xml:space="preserve">la cláusula 8.3. De la Parte General del Contrato de Concesión señala en relación con la implementación de nuevas tecnologías para el recaudo de peaje:
“8.3 Implementación de nuevas tecnologías para recaudo electrónico de Peajes
(a) En cualquier momento de ejecución del Contrato, el Concesionario deberá implementar el protocolo tecnológico para recaudo electrónico de Peajes que llegare a indicar la ANI. En el caso que esa implementación implique costos adicionales a los que corresponden a las obligaciones a cargo del Concesionario relacionadas con la adopción de tecnologías de recaudo previstas en este Contrato, particularmente en el Apéndice Técnico 2, la ANI asumirá los sobrecostos (entendido como la diferencia entre el costo de la implementación de las nuevas tecnologías y el costo previsto respecto de las obligaciones a cargo del Concesionario en este Contrato) y en línea con lo establecido en la Sección 13.3(p) de esta Parte General. Para tal fin, el Concesionario financiará los sobrecostos respectivos y la ANI pagará al Concesionario lo que corresponda, para lo cual atenderá su obligación con cargo a los recursos disponibles de que trata la Sección 13.4 de esta Parte General, conforme al siguiente procedimiento” (Énfasis añadido). 
Como se observa, la ANI podría exigir al Concesionario la implementación de un nuevo protocolo tecnológico para recaudo electrónico. Esta contingencia está definida en el contrato y la asignación de la misma recae en la ANI. Por tanto recomendamos que para garantizar la plena gestión de este riesgo se incorpore en la matriz de riesgos. La asignación no sólo incluirá cambio de tecnologías por recaudo electrónico, sino también cualquier otro tipo de cambio tecnológico exigido por la ANI y que conlleve a sobrecostos de ejecución. 
Con lo anterior sugerimos incorporar en el matriz riesgo tecnológico tipificado como “el advenimiento de nuevos desarrollos tecnológicos o estándares que deben ser tenidos en cuenta para la ejecución del contrato”. Este riesgo, en particular, los cambios en las condiciones contractuales, exigencias técnicas, impacto en programación de obra y sobrecostos estarán asignado a cargo del ANI. 
</t>
  </si>
  <si>
    <t xml:space="preserve">RIESGO TECNOLOGICO: La matriz de riesgos no tipifica, asigna ni estima este riesgo. El riesgo tecnológico de acuerdo con la metodología de contingencias del Ministerio de Hacienda y Crédito Público consiste en “el advenimiento de nuevos desarrollos tecnológicos o estándares que deben ser tenidos en cuenta para la ejecución del contrato”. El efecto de este riesgo consiste en que puede ocasionar “cambios en las condiciones contractuales exigencias técnicas, sobrecostos”. </t>
  </si>
  <si>
    <t>COPASA, 28/05/2020</t>
  </si>
  <si>
    <t xml:space="preserve">Solicitamos especial consideración sobre el mecanismo establecido en esta sección, Soporte de Ingresos,  para que sea de aplicación en este contrato y no se anule en la Parte Especial. Este mecanismo es un aspecto relevante en un entorno actual incierto sobre tráfico y financiación del proyecto y podría ser una de las líneas rojas de muchos interesados en el proyecto ( bancos, constructores, fondos de inversión, ...)  </t>
  </si>
  <si>
    <t>Sección 3.4.b) Parte General – Soporte de Ingresos</t>
  </si>
  <si>
    <t xml:space="preserve">Solicitamos especial consideración sobre la eliminación del concepto “F” de las fórmulas reguladas en la sección.
La introducción del concepto F se traduce en una compensación incorrecta del valor de la inversión efectuada, la cual debe reconocerse mediante el componente C. La introducción del concepto “F” podría realmente producir un daño irreparable en el mercado financiero de concesiones en Colombia mediante financiaciones tipo Project Finance / bonos de mercado de capitales y un desinterés de constructores y fondos de inversión ante la indefinición sobre si esa fórmula funcionaria, produciendo un riesgo no asumible por muchos de los interesados en el proyecto ( bancos, constructores, fondos de inversión, …) 
Incidimos en el que el método de financiación del proyecto no debe influir en la Fórmula de Liquidación de una Concesión como concepto general. El concepto F refleja una evolución del método de financiación y el retorno de esa financiación (deuda o equity). La fórmula debería reflejar el valor de las inversiones en el momento de la terminación. Aunque los conceptos que forman F se actualicen a la tasa TE es incongruente con un reconocimiento del Activo ( inversiones) en el momento de Terminación.    Por ejemplarizarlo, el mes siguiente a la firma del Cierre Financiero ya se reduce valor solo por pago de intereses de ese mes, cuando muy probablemente no se corresponda con el desgaste de las inversiones. Otro ejemplo que muestra que mirar al método de financiación es inadecuado en la presente fórmula es limitar el concepto E. En el hipotético escenario que se decidiese financiar 100% con equity , la fórmula no reconoce el valor correctamente, limitando a una cantidad fija que no se corresponde con el proyecto.  Asimismo respecto a la financiación del equity, intentar introducir un concepto Div con un fórmula fija restando valor sin tener ninguna relación con el proyecto real no razona un principio de justicia en la fórmula para un inversor / financiador, que es lo que debería primar y basar este cálculo. </t>
  </si>
  <si>
    <t xml:space="preserve">Sección  18.3 Parte General – Fórmulas Liquidación del Contrato.  </t>
  </si>
  <si>
    <t>Se solicita que el plazo de expedición del documento, mediante el cual una persona jurídica extranjera sin sucursal en Colombia acredite su existencia y representación legal, se reduzca a 2 meses. Lo anterior, dado que en un plazo de 4 meses la realidad de una persona jurídica puede cambiar drásticamente y más en la coyuntura actual que se vive a nivel mundial.</t>
  </si>
  <si>
    <t>Proyecto de Pliego de Condiciones  4.1.3(b)</t>
  </si>
  <si>
    <t>Favor aclarar si todos los miembros de los Integrantes de una Estructura Plural deben suscribir el Acuerdo de Permanencia, así no sea Líder ni acredite Capacidad Financiera.</t>
  </si>
  <si>
    <t>Proyecto de Pliego de Condiciones  4.1.7</t>
  </si>
  <si>
    <t>Se solicita que la obtención de la Experiencia en Inversión a acreditar tenga una duración no mayor a 20 años contados desde la Fecha de Cierre de la Precalificación. Consideramos que financiaciones más antiguas al periodo señalado anteriormente, no demuestran de manera eficaz que el Interesado tenga la Experiencia en Inversión idónea para un proyecto de estas características.</t>
  </si>
  <si>
    <t>Proyecto de Pliego de Condiciones  4.2.2.</t>
  </si>
  <si>
    <t xml:space="preserve">Favor aclarar si en caso que los Integrantes de una Estructura Plural acrediten la Experiencia en Inversión y la Capacidad Financiera es necesario suscribir con posterioridad al Cierre de la Precalificación el Acuerdo de Garantía. Por un lado, numeral (2) de esta Sección parece establecer lo anterior. Sin embargo, el Anexo 3 parece indicar lo contrario.
En nuestro entendimiento, si la Experiencia en Inversión y la Capacidad Financiera es acreditada directamente, no es necesario suscribir el Acuerdo de Garantía, ya que es claro que el Manifestante tiene las cualidades y la experiencia necesaria para ejecutar el Proyecto. </t>
  </si>
  <si>
    <t>Proyecto de Pliego de Condiciones  4.1.5(v)(2)</t>
  </si>
  <si>
    <t>Dentro de toda la información anexa del Estudio de Tráfico publicada en la carpeta 0AI27, no aparece la tabla que define las zonas del modelo. Agradecemos publiquen en formato Excel esta tabla, definiendo para cada zona su número, nombre, corregimiento, vereda, municipio y departamento.</t>
  </si>
  <si>
    <t>Favor publicar el número de categorías que cada estación de peaje va a manejar así como el valor del peaje para cada una de ellas.</t>
  </si>
  <si>
    <t>Contrato Parte Especial 4.2</t>
  </si>
  <si>
    <t>Para las categoría de peaje especiales, favor definir detalladamente los parámetros (tipo de vehículos, zona geográfica, etc.) a aplicar para clasificar a un vehículo en estas categorías.</t>
  </si>
  <si>
    <t>Favor indicar si la Estructura Tarifaria va a seguir contemplando, como es el caso hoy en día, tarifas para Ejes Adicionales, Ejes Grúa, Ejes Remolque y Ejes Cañeros. Si es el caso, favor publicar los valores de estos peajes.</t>
  </si>
  <si>
    <t>Cuarto de datos de la ANI</t>
  </si>
  <si>
    <t>STRABAG, 28/05/2020</t>
  </si>
  <si>
    <t>Unidad Funcional 1</t>
  </si>
  <si>
    <t xml:space="preserve">Información Adicional </t>
  </si>
  <si>
    <t xml:space="preserve">1. Se solicitan se informe si existen los diseños eléctricos con planos DWG y PDF, memorias, anexos y cantidades de las redes existentes y proyectadas para el traslado de las redes que se encuentran en interferencia, en el Paso Nacional por Palmira (Intersecciones Versalles, Parque del Azúcar y Reversión Salida Palmira-Pradera e Intersección Bulldozer) y la curva Don Otto y en caso de existir, por favor remitirlos.  </t>
  </si>
  <si>
    <t>Unidad Funcional 2</t>
  </si>
  <si>
    <t>Información Adicional</t>
  </si>
  <si>
    <t>1. Se solicitan se informe si existen los diseños eléctricos con planos planos DWG y PDF, memorias, anexos y cantidades de las redes existentes y proyectadas para el traslado de las redes que se encuentran en interferencia con la Variante El Bolo, Cali / Palmira y en caso de existir, por favor remitirlos.</t>
  </si>
  <si>
    <t>Unidad Funcional 3</t>
  </si>
  <si>
    <t>1. Se solicitan los planos DWG y SHP con la implantación en los diseños geométricos de las líneas de Alta Tensión, identificando las interferencias, soluciones y cantidades.</t>
  </si>
  <si>
    <t>2. Se solicitan se informe si existen los diseños eléctricos con planos DWG y PDF, memorias, anexos y cantidades de las redes existentes y proyectadas para el traslado de las redes que se encuentran en interferencia con la Construcción de la Calzada Sencilla y la Intersección tipo glorieta, a nivel de la Av. Cali / Puerto Tejada y puente a desnivel en la Av. Ciudad de Cali y la Intersección Av. Bicentenario - Vía Ye de Villa Rica-Jamundí con una estructura a desnivel y en caso de existir, por favor remitirlos.</t>
  </si>
  <si>
    <t>Unidad Funcional 4</t>
  </si>
  <si>
    <t>1.Se solicitan se informe si existen los diseños eléctricos con planos DWG y PDF, memorias, anexos y cantidades de las redes existentes y proyectadas para el traslado de las redes que se encuentran en interferencia con la Construcción de la segunda calzada de la vía Ye de Villa Rica / Av. Bicentenario (Av. Ciudad de Cali) y en caso de existir, por favor remitirlos.</t>
  </si>
  <si>
    <t>Unidad Funcional 5</t>
  </si>
  <si>
    <t>1.Se solicitan se informe si existen los diseños  eléctricos con planos DWG y PDF, memorias, anexos y cantidades de las redes existentes y proyectadas para el traslado de las redes que se encuentran en interferencia con la  Construcción segunda calzada Glorieta Cencar / Glorieta las Américas y en caso de existir, por favor remitirlos</t>
  </si>
  <si>
    <t>Se solicitan los diseños eléctricos e iluminación con planos DWG y PDF, memorias, anexos y cantidades de las intervenciones que se realizarán en las siguientes edificaciones:</t>
  </si>
  <si>
    <t>●       Peajes</t>
  </si>
  <si>
    <t xml:space="preserve">●       Pesajes </t>
  </si>
  <si>
    <t>●       CCO</t>
  </si>
  <si>
    <t>●       Áreas de servicio</t>
  </si>
  <si>
    <t>Dentro de la información entregada en el Dataroom del proceso no existe la delimitación o polígonos del área de intervención definida en las diferentes licencias y estudios ambientales adelantados en etapas anteriores.</t>
  </si>
  <si>
    <t>Esta información es necesaria para la evaluación desde el componente ambiental de los riesgos e impactos causados por el proyecto para que puedan ser incluidos en la estimación de la oferta.</t>
  </si>
  <si>
    <t>Por lo anterior se solicita a la ANI, se haga entrega de los archivos editables ya sea en formato *dwg, *kml o *shp de los polígonos definidos para el proyecto o áreas de intervención tales como corredores, ZODMES, campamentos, peajes, áreas de servicio, CCO, plantas, estaciones de pesaje, línea de chaflán y demás información.</t>
  </si>
  <si>
    <t xml:space="preserve">Dentro de la información entregada en el Dataroom del proceso correspondientes a las solicitudes de pronunciamiento sobre la necesidad de presentar DAA o Mejoramiento, no se encuentra o no se incluyen los archivos editables (*dwg, *shp o * kml) de los diseños de proyecto que fueron evaluados y aprobados en su momento por la Autoridad Ambiental (líneas de chaflán, polígonos de infraestructura asociada como campamentos y ZODMES). </t>
  </si>
  <si>
    <t>Esta información es necesaria para la evaluación desde el componente ambiental de los riesgos e impactos causados por el proyecto para la estimación de la oferta para basados en:</t>
  </si>
  <si>
    <t>●       Corroborar información consignada en documentos de la licitación.</t>
  </si>
  <si>
    <t>●       Identificar qué características de proyecto fueron evaluadas y aprobadas por la Autoridad Ambiental, los cuales son punto de partida de la siguiente fase de diseño.</t>
  </si>
  <si>
    <t>●       Evaluar cuál puede ser el impacto ante autoridades ambientales si se plantean cambios en las características del proyecto (diseños) aprobado.</t>
  </si>
  <si>
    <t>Por lo anterior se solicita a la ANI, se haga entrega de los archivos editables ya sea en formato *dwg, *kml o *shp de los polígonos definidos para el proyecto o áreas de intervención tales como corredores, ZODMES, campamentos, peajes, áreas de servicio, CCO, plantas, estaciones de pesaje, línea de chaflán y demás información sobre los cuales se pronunció la Autoridad Ambiental.</t>
  </si>
  <si>
    <t>En el pronunciamiento de la ANLA radicado 2018103504-2-000 del 1 de agosto de 2018 mediante el cual ANLA define que para el proyecto  “Construcción de vía nueva en doble calzada en el tramo comprendido entre la Av. Ciudad de Cali, prolongación hasta Jamundí” no requiere la presentación de Diagnóstico Ambiental de Alternativas, no obstante en la información remitida hacen falta folios (ver página 7 archivo PDF E23121).</t>
  </si>
  <si>
    <t>Data room</t>
  </si>
  <si>
    <t>Solicitamos se haga entrega de la información faltante.</t>
  </si>
  <si>
    <t>Obras Especiales UF2</t>
  </si>
  <si>
    <t>Apéndice Técnico</t>
  </si>
  <si>
    <t>El alcance según apéndice técnico hace referencia a: Retorno Estambul (dirección Cali - Cali) previo al Peaje. Según la revisión de los archivos en planta, se encontró el diseño de un retorno a desnivel sobre la vía Cali - Palmira, condición no mencionada en el apéndice técnico.</t>
  </si>
  <si>
    <t>Se solicita aclarar las condiciones y parámetros de este retorno.</t>
  </si>
  <si>
    <t>De acuerdo al apéndice técnico se hace la descripción de: Retorno Exclusivo para motocicletas (para ambos sentidos de circulación) Guanabanal. Según la revisión de los archivos en planta, se encontró el planteamiento de los dos retornos más dos carriles de incorporación a la vía principal que salen de las vías perpendiculares entre los retornos, la cual mencionan como intersección Guanabanal, condición no mencionada en el apéndice técnico, ya que solo se habla de los retornos.</t>
  </si>
  <si>
    <t>Se solicita aclarar los requerimientos y alcance para este sector.</t>
  </si>
  <si>
    <t>Se especifica  en el ÍNDICE CDD NMVVC ACP-v6  información relacionada con “H- REVERSIÓN DE LA ANTERIOR CONCESIÓN” que se cuenta con información de planos de señalización actas de entrega,  no obstante esta información no se encuentra cargada en el DATAROOM; a continuación se nombran las carpeta en las cuales no se cuenta con información: H312, H313, H397, H398, H399, H5102, H5103, H5165, H5166, H5167, H5183, H5184, H5185, H61-57, H61-58, H61-69, H71-72, H71-73, H71-74, H71-92, H81-2, H81-3, H81-62, H81-63, H1022, H1112, H1212, H1312, H1412, H161; por lo cual se requiere contar con la información relacionada.</t>
  </si>
  <si>
    <t>Se solicita se informe si existe un archivo en KMZ, DWG, PDD o Shape, que presente o identifique el trazado de los ITS de UF1, UF3, UF4 y UF5 que fue tenido en cuenta en la etapa de estructuración. Lo anterior basados en el alcance de un proyecto de estructuración.</t>
  </si>
  <si>
    <t>En caso de existir solicitamos se haga entrega del mismo.</t>
  </si>
  <si>
    <t>Se solicita planos, cantidades y ubicación de los ITS UF1.</t>
  </si>
  <si>
    <t>Se solicita planos y cantidades de los diseños de peajes Villa Rica, Estambul, CIAT, Mediacanoa, El cerrito, Rozo, Cencar y Paso la Torre.</t>
  </si>
  <si>
    <t>Se solicita planos y cantidades de los diseños de pesaje Villa Rica, Mediacanoa y El cerrito por ambos costados.</t>
  </si>
  <si>
    <t>Se solicita planos y cantidades de las casetas de peajes y pesajes.</t>
  </si>
  <si>
    <t>Se solicita planos y cantidades de los sistemas de vigilancia y control y puntos de datos si lo requiere en las áreas de servicio.</t>
  </si>
  <si>
    <t>Se solicita planos y cantidades de los dispositivos o equipos actualizar en el centro de control de operaciones (CCO)</t>
  </si>
  <si>
    <t>Se solicitan planos de los puentes vehiculares y peatonales existentes, así como información de fecha de construcción y memorias de diseño que fueron tenidas en cuenta durante la etapa de estructuración.</t>
  </si>
  <si>
    <t>Lo anterior con el fin de poder revisar y cuantificar los costos asociados a estas obras dentro del Capex y ser tenidos en cuenta en la preparación de la oferta.</t>
  </si>
  <si>
    <t>Se solicita información de las estructuras hidráulicas del proyecto (Boxes)  y de muros de contención del proyecto que fueron tenidas en cuenta durante la etapa de estructuración.</t>
  </si>
  <si>
    <t>Lo anterior con el fin de poder revisar y cuantificar los costos asociados a estas obras dentro del Capex y ser tenidos en cuenta en la preparación de la oferta..</t>
  </si>
  <si>
    <t>Teniendo en cuenta que el Apéndice Técnico 1 plantea como solución a la intersección de Sameco, el desarrollo de un deprimido y una vez revisados los diseños e información entregada en el Dataroom del proceso, no se encuentra el planteamiento de solución hidráulica y manejo del sistema de drenaje de dicha obra.</t>
  </si>
  <si>
    <t>Por lo anterior, se solicita a la ANI se haga entrega de la información y diseños de estructuración de la solución prevista para el sistema de drenaje y solución hidráulica para el deprimido y con base en el cual fue previsto dentro del Capex su construcción y dentro del Opex su operación y Mantenimiento.</t>
  </si>
  <si>
    <t>Teniendo en cuenta que el Apéndice Técnico 1 plantea como solución a la intersección de Versalles, el desarrollo de un deprimido y una vez revisados los diseños e información entregada en el Dataroom del proceso, no se encuentra el planteamiento de solución hidráulica y manejo del sistema de drenaje de dicha obra.</t>
  </si>
  <si>
    <t>Se solicita aclarar para qué puentes del proyecto se debe contemplar la implementación de andes peatonales, y definir la sección del mismo.</t>
  </si>
  <si>
    <t>Teniendo en cuenta que el requerimiento de los diseños para una estructuración de la ANI corresponde a diseños de factibilidad o Fase II, se solicita a la ANI se haga entrega de dichos diseños en su totalidad para las Intersecciones Versalles y Sameco, más aun cuando dentro del alcance del proyecto están concebidas como soluciones con deprimidos lo que implica que dentro del Capex y Opex se haya tenido en cuenta el costo de estas obras como de su operación.</t>
  </si>
  <si>
    <t>En el Apéndice Técnico 1 Alcance del Proyecto en la “Tabla 16 - Intersecciones que como mínimo debe intervenir el Concesionario UF3”, indica para el tramo Av. Bicentenario, la intersección:</t>
  </si>
  <si>
    <t>Una vez revisadas las coordenadas indicadas, están se ubican en la siguiente zona:</t>
  </si>
  <si>
    <t>De igual forma y con base en la información presentada en el Dataroom del proceso, se tiene la siguiente imagen del diseño de la intersección y la ortofoto:</t>
  </si>
  <si>
    <t>En dicha imagen se evidencia que la intersección se encuentra en una zona que se encuentra en desarrollo debido a los carreteables y el respectivo loteo que se evidencia.</t>
  </si>
  <si>
    <t>Así las cosas y dado que en las diferentes herramientas tecnológicas como Google Maps, Google Earth y su respectivo Street View no se observaba mayor información en este punto, se procedió a realizar una visita en campo, tomando  información de la situación actual del sector, dicha situación se presenta a  continuación:</t>
  </si>
  <si>
    <t>En estas fotos, se observa una zona muy consolidada con un desarrollo habitacional importante, lo que generaría la imposibilidad de construir la en esta zona, la intersección definida en el apéndice técnico 1 Alcance del Proyecto.</t>
  </si>
  <si>
    <t>Con base en esto, solicitamos a la ANI se indique cuáles fueron las previsiones en la etapa de estructuración para esta intersección, debido a la imposibilidad de construir dicha intersección,  más aún cuando se evidencia que desde la etapa de estructuración ya se identificaba la interferencia de la intersección con el futuro desarrollo urbanizacional.</t>
  </si>
  <si>
    <t>Una vez revisadas las coordenadas se observa que estas quedan desplazadas del diseño geométrico del estructurador como se muestra a continuación:</t>
  </si>
  <si>
    <t>Se solicita aclarar las coordenadas exactas de la intersección.</t>
  </si>
  <si>
    <t>Asimismo, en la información del  Dataroom en la carpeta A31205 se encuentra un diseño geométrico con el nombre MV-C02-DG-PL-001-PP-MJ R1 el cual cuenta con un trazado completo del corredor principal con planta y rasantes, en la misma carpeta se encuentra otra alternativa de diseño (MV-C02-DG-PL-002-PP-MJ R1) que no cuenta con rasantes ni secciones transversales. En la revisión de la información de estas dos carpetas se puede observar que existen diferencias en el trazado como se observa a continuación:</t>
  </si>
  <si>
    <t xml:space="preserve">En la siguientes imágenes se muestran las comparaciones de los trazados encontrados. El trazado gris corresponde al trazado completo (MV-C02-DG-PL-001-PP-MJ R1) el cual cuenta con los planos y carteras correspondientes; en cambio, el azul corresponde a la planta encontrada en el segundo archivo mencionado con anterioridad  (MV-C02-DG-PL-002-PP-MJ R1). </t>
  </si>
  <si>
    <t>De acuerdo con lo anterior, el trazado azul concuerda con las coordenadas de inicio citadas en el Apéndice Técnico.</t>
  </si>
  <si>
    <t>En la siguiente imagen se observa como los trazados toman formas diferentes y en el sector de la intersección de la glorieta se muestra el diseño de esta únicamente en uno de ellos (MV-C02-DG-PL-001-PP-MJ R1).</t>
  </si>
  <si>
    <t>Por último se muestra dos de los sectores de mayor diferencia, en donde los trazados tiene una distancia de aproximadamente 275 m (imagen lado izquierdo) y 515 m (imagen lado derecho) en la parte más lejana .</t>
  </si>
  <si>
    <t>Se solicita a la ANI aclarar cuál de las dos alternativas es la que se debe considerar. Así mismo indicar sobre cuál de las dos alternativas se adelantaron consultas previas</t>
  </si>
  <si>
    <t xml:space="preserve">Asimismo, en la información del  Dataroom en la carpeta A31205 se encuentra un diseño geométrico con el nombre MV-C02-DG-PL-001-PP-MJ R1, de acuerdo con la revisión del trazado en planta del estructurador para la UF3, se observa que en el sector comprendido entre el K1+300 y el K3+430 el eje de la vía se encuentra traslapado (interferencia) o muy cerca a una red eléctrica (34,5 KW) identificada en la ortofotos y archivos SHP de las redes.  </t>
  </si>
  <si>
    <t xml:space="preserve">Se solicita aclarar si en el tramo mencionado se plantea reubicar la red eléctrica o el trazado del Dataroom no corresponde en este sector. </t>
  </si>
  <si>
    <t>Asimismo, con base en las Certificación del Ministerio del Interior para la vía Av. Ciudad de Cali  - Jamundí la cual se dividió en dos consultas y por ende dos certificaciones (0964 y 095) que se encuentran en los archivos del dataroom E23126311 y E23126312, se tiene las coordenadas de los puntos certificados, con dichas coordenadas se tiene:
Polígono Certificado 0964 (Color Verde)</t>
  </si>
  <si>
    <t>Polígono Certificado 0965 (Color Cian)</t>
  </si>
  <si>
    <t>De acuerdo a la revisión realizada de las coordenadas presenten en los documentos de Ministerio del Interior, de los certificados 0964 y 0965, se tiene que los polígonos consultados corresponden al trazado en la misma carpeta se encuentra otra alternativa de diseño (MV-C02-DG-PL-002-PP-MJ R1) que no cuenta con rasantes ni secciones transversales y no corresponde al diseño completo del  Dataroom en la carpeta A31205 se encuentra un diseño geométrico con el nombre MV-C02-DG-PL-001-PP-MJ R1 el cual cuenta con un trazado completo del corredor principal con planta y rasantes.
Por lo anterior, se solicita a la ANI se de la aclaración respectiva y se remita la información completa del diseño que se encuentra dentro del polígono incluido en las certificaciones.</t>
  </si>
  <si>
    <t xml:space="preserve">Consideramos que estas secciones implican una carga de la prueba excesiva para el Concesionario, quien debe demostrar la existencia de la Elusión en las Estaciones de Peaje. Esta circunstancia impactará negativamente la bancabilidad del proyecto, pues es muy posible que, aunque se presente la elusión, riesgo fuera del control del concesionario, la ANI no lo reconozca. Por lo anterior, proponemos que estas secciones se modifiquen, para reflejar el siguiente esquema:
1. El Concesionario deberá documentar que el promedio de tráfico, en un periodo de 90 días y para una Estación de Peaje específica, ha estado por debajo del tráfico promedio de los mismos 90 días del año inmediatamente anterior y en la misma Estación de Peaje. 
2. El Concesionario podrá indicar que la reducción del tráfico en la Estación de Peaje corresponde a la apertura de Nuevas Vías Públicas o que ha sucedido con posterioridad a la misma y ha ocurrido durante un periodo continuado (de, por ejemplo, 90 días), y documenta esta circunstancia mediante un estudio de tráfico. 
3. La ANI deberá aceptar razonablemente la documentación entregada por el Concesionario, y
4. El Concesionario deberá ser compensado desde el primer día de uso de las Nuevas Vías públicas. 
</t>
  </si>
  <si>
    <t xml:space="preserve">Minuta del Contrato. Parte General Sección 3.3(g) y 3.3(h) </t>
  </si>
  <si>
    <t>Garrigues, 28/05/2020</t>
  </si>
  <si>
    <t>Pliego de Condiciones. Sección 4.2.2.b).</t>
  </si>
  <si>
    <t>Pliego de Condiciones. Sección 4.2.10.</t>
  </si>
  <si>
    <t>Pliego de Condiciones. Sección 4.3.1.</t>
  </si>
  <si>
    <t>Pliego de Condiciones. Sección 4.4.10.</t>
  </si>
  <si>
    <t>Minuta del Contrato de Concesión. Parte General. Sección 3.14.(g)</t>
  </si>
  <si>
    <t>Según se dispone en la Sección 4.12 de la Minuta del Contrato de Concesión, frente a la presencia de incompatibilidad técnica, contradicción o imposibilidad, es el Concesionario quien asume el riesgo en su integridad. Sobre el particular, se solicita a la Entidad evaluar la asignación de dicho riesgo, siendo un riesgo que el Concesionario está en imposibilidad de controlar y mitigar.</t>
  </si>
  <si>
    <t>Minuta del Contrato de Concesión. Parte General. Sección 4.12.</t>
  </si>
  <si>
    <t>Minuta del Contrato de Concesión. Parte General. Sección 14.</t>
  </si>
  <si>
    <t xml:space="preserve">Revisando la regulación en materia de Fuerzas Mayores, llama la atención que para esta generación de concesiones, la ANI haya resuelto conservar los plazos tan amplios para poder habilitar al Concesionario a solicitar su ocurrencia, plazo que no contempla el tiempo adicional que transcurre mientras la Entidad y el Concesionario debaten sobre los elementos para proceder con su reconocimiento, lo que usualmente se resuelve acudiendo a mecanismos de resolución de controversias. 
En tal sentido se solicita a la ANI que contemple la posibilidad de que los supuestos para solicitar la ocurrencia de Fuerzas Mayores de Predios, Redes y Ambientales sean objeto de revisión para acortar el tiempo que debe transcurrir para estar en dicho escenario. </t>
  </si>
  <si>
    <t>Minuta del Contrato de Concesión. Parte General.</t>
  </si>
  <si>
    <t xml:space="preserve">Apéndice Técnico 1 </t>
  </si>
  <si>
    <t>Se establece en el numeral 1.65 de la Minuta Parte Especial que “Este Proyecto no reconocerá el Soporte de Ingreso. Entiéndase eliminada del Contrato cualquier referencia al Soporte de Ingreso.”
Al respecto manifestamos a la Entidad que siendo el Soporte de Ingreso la mayor innovación de la denominada quinta generación de concesiones, no se entiende como en un proyecto que conlleva tantos riesgos para el concesionario, incluido el de tráfico, y que siendo un proyecto sin aportes ANI no exista la posibilidad de que periódicamente se revisen las estimaciones de recaudo respecto de las reales y en caso de disminución se hagan las compensaciones necesarias al concesionario. 
Es necesario además recordar a la entidad que nos encontramos en una época de pandemia que ha alterado completamente los estudios de tráfico que dieron sustento al proyecto y que de paso han impedido la realización de los estudios de tráfico propios de los interesados en el proyecto, por lo cual contar con una figura como el Soporte de Ingreso en la ejecución del contrato facilitará la bancabilidad del proyecto ya que otorgará a los financiadores la certeza de los ingresos que sirven de sustento a dichas financiaciones.
Teniendo en consideración lo explicado, atentamente solicitamos a la entidad mantener, para este proyecto, la figura del Soporte de Ingresos.</t>
  </si>
  <si>
    <t>Minuta del Contrato de Concesión. Parte Especial. Sección 1.65.</t>
  </si>
  <si>
    <t>Como es de conocimiento de la ANI, algunas aseguradoras han sido renuentes a la expedición de las pólizas de garantía de seriedad de la oferta, toda vez que consideran excesivo los riesgos que estarían asumiendo en el evento en que se llegara a producir un siniestro. Por tal razón, los interesados en ejecutar grandes proyectos de infraestructura se han visto en la necesidad de acudir a alguna de las otras modalidades permitidas en la Ley que, si bien cumplen con la finalidad señalada en el Decreto 1082 de 2015, son más costosas para los interesados.
Por lo anterior, solicitamos a la ANI nos confirme si ha tenido reuniones con el sector asegurador y, en el evento en que no lo haya hecho, respetuosamente le sugerimos que se reúna con dicho sector, de tal forma que logre verificar la disponibilidad de las aseguradoras para expedir las garantías del Proyecto (garantía de seriedad de la oferta y garantía de cumplimiento).</t>
  </si>
  <si>
    <t>En línea con la anterior observación, revisando los montos contemplados en el Pliego en materia de garantías, se advierte que los mismos contemplan valores superiores a los exigidos en el Decreto 1082 de 2015. Considerando lo anterior, se solicita a la ANI reconsidere dichos porcentajes, para ajustarlos a lo que la ley dispone, los cuales en nuestro criterio amparan de manera suficiente el riesgo respectivo.</t>
  </si>
  <si>
    <t>Pliego de Condiciones. Sección 4.12.10.</t>
  </si>
  <si>
    <t>Teniendo en cuenta que a la fecha no se tiene conocimiento sobre la evolución de la crisis sanitaria causada por el COVID 19, y que esta crisis podría llegar a afectar de forma negativa el desarrollo del proceso de selección, queremos confirmar con la ANI si ha analizado la posibilidad de implementar mecanismos tecnológicos para la presentación virtual de las Ofertas. Todo lo anterior para garantizar que el cronograma previto en el proceso, curse su trámite normal y sin traumatismos por la posible complejidad que puede representar la presentación física de las Ofertas.</t>
  </si>
  <si>
    <t>Carta de Presentación. Literal c).</t>
  </si>
  <si>
    <t>De acuerdo con lo señalado en el Apéndice Técnico 1, desde la fecha de realización del acuerdo, hasta la fecha de su ejecución, debe procederse con la actualización de los valores, utilizando para el efecto el Índice de Precios al Consumidor - IPC. Teniendo en cuenta lo anterior, le solicitamos a la Entidad que incluya una referencia, para cada acuerdo, con tales fechas, para poder concretar las respectivas actualizaciones.</t>
  </si>
  <si>
    <t xml:space="preserve">Apéndice Técnico 1 - Capítulo IX </t>
  </si>
  <si>
    <t>Minuta Contrato de Concesión. Parte Especial. Tabla de Referencias.</t>
  </si>
  <si>
    <t>De conformidad con lo indicado en la Sección 3.6.(b) de la Parte General, las obligaciones de pago de dinero a cargo de la ANI distintas de las de realizar los Aportes ANI es de quinientos cuarenta (540) Días contados desde el surgimiento de la respectiva obligación. Sin perjuicio de los trámites presupuestales a cargo de la ANI, conideramos que dicho plazo es desproporcionado y en dado caso podría afectar la liquidez del Concesionario. Por lo anterior, solicitamos respetuosamente a la entidad disminuir dicho plazo por lo menos a la mitad, para, de esa manera, beneficiar la bancabilidad del proyecto.</t>
  </si>
  <si>
    <t>Minuta del Contrato de Concesión. Parte General. Sección 3.6.(b).</t>
  </si>
  <si>
    <t>De acuerdo con lo señalado en la Sección 3.8.(e) de la Parte General, la ANI cuenta con 20 días para manifestarse sobre la documentación presentada por el Concesionario para acreditar el Cierre Financiero y, en caso de no pronunciarse, se entenderá no aprobado el Cierre Financiero. En todo caso, con el propósito de otorgar seguridad jurídica, tanto al Concesionario como a los financiadores, solicitamos respetuosamente a la Entidad modificar dicho aparte del Contrato de Concesión y establecer que en caso de que la ANI no se pronuncie en el plazo razonable de 20 días, se entenderá aprobado el Cierre Financiero del Proyecto.</t>
  </si>
  <si>
    <t>Minuta del Contrato de Concesión. Parte General. Sección 3.8.(e).</t>
  </si>
  <si>
    <t xml:space="preserve">Entendemos el papel de la infraestructura como un dinamizador de la economía y reconocemos el valioso esfuerzo que ha venido haciendo la ANI para dar apertura al proceso licitatorio para el proyecto denominado Malla Vial del Valle del Cauca en los términos de la actual coyuntura sanitaria que vive Colombia y el Mundo.
No obstante lo anterior, vemos con preocupación que los tiempos previstos en el cronograma del proceso resultan bastante apretados, frente a las limitaciones de movilización hoy vigentes con ocasión del Decreto 689 del 22 de mayo de 2020, y que entre otros aspectos, impiden la visita al sitio de las obras, ejercicio fundamental de aproximación al proyecto. Considerando que los oferentes para concretar de manera cierta sus ofrecimientos, deberán adelantar estudios técnicos en campo (incluidos los estudios de tráfico), estudios financieros y jurídicos del proyecto para lograr presentar una oferta competitiva que sea favorable a los intereses del Estado, consideramos que la Entidad debería reconsiderar la fecha de apertura prevista. Esta solicitud igualmente se ampara en el hecho de que si bien, la Entidad en el proceso de estructuración, si bien adelantó juiciosos estudios de tráfico, las condiciones actuales, indican que los mismos podrían entenderse desactualizados, lo que respalda la necesidad de acudir a los sitios donde se desarrollara el objeto a ser contratado para la estructuración de ofertas competitivas.
Teniendo en cuenta lo anterior respetuosamente solicitamos a la Entidad ajustar el cronograma del proceso de manera tal que al plazo contemplado actualmente para la presentación de la oferta, se amplíe en al menos dos meses adicionales, tiempo que podría otorgarse desde la apertura formal del proceso, o que bien se contemple antes de la apertura formal del mismo.  
Consideramos en todo caso fundamental que la Entidad tenga en cuenta que el plazo previsto desde la apertura del proceso hasta el cierre de mismo es fundamental, ya que la Ley (de resultar necesario) sólo permitiría la ampliación del plazo por el 50% del plazo inicial, debiendo ser el mismo suficiente para garantizar que acudan al proceso una pluralidad de oferentes. 
</t>
  </si>
  <si>
    <t>Pliego de Condiciones - Cronograma</t>
  </si>
  <si>
    <t>En relación con las condiciones necesarias para actuar como líder en el proceso licitatorio y por ese efecto poder acreditar experiencia en inversión en el mismo, solicitamos a la Entidad considerar la posibilidad de disminuir el porcentaje mínimo que deben ostentar dichos líderes para ser considerados como tales en la respectiva estructura plural. En proyectos de infraestructura licitados recientemente en el Distrito Capital (Metro de Bogotá), se permitió que miembros de la estructura plural que tuvieran un porcentaje de participación del 15% concurrieran al proceso bajo esa denominación y acreditaran la experiencia especifica solicitada en el pliego de ese proceso, sin que por ello se disminuyera la calidad de los proponentes que concurrían al proceso. 
La disminución del porcentaje de participación del líder en la estructura plural que se solicita a la ANI, tiene como fin facilitar la participación de fondos de capital o entidades con capacidades de financiación que podrán aportar musculo financiero al proyecto pero que no necesariamente cuentan con las experiencias que se solicitan en el presente proceso. Así mismo, el ingreso de este tipo de participantes en el proyecto permitirá incorporar nuevas formas de financiación y abaratar la ejecución del proyecto, lo cual redundará en mejores condiciones de ejecución de las obras, ahorros para el Estado y facilidades para la consecución del cierre financiero.
Teniendo en cuenta lo explicado insistimos en la necesidad de disminuir al 10% o al 15% el porcentaje mínimo de participación que deben acreditar los líderes en el presente proceso y en los procesos que próximamente abrirá la ANI como parte de la denominada 5G.</t>
  </si>
  <si>
    <t>SACYR CONCESIONES COLOMBIA, S.A.S., 28/05/2020</t>
  </si>
  <si>
    <t xml:space="preserve">GARANTÍA DE CUMPLIMIENTO:  
Según lo establecido en el PROYECTO DE PLIEGO DE CONDICIONES en su Numeral 4.1.14 (a) Tipos de garantías (i) Contrato de seguro contenido en una póliza, se indica: “En el caso de incorporarse reaseguros, los reaseguradores deberán encontrarse inscritos en el Registro de Reaseguradores y Corredores de Reaseguros del Exterior (REACOEX) que administra la Superintendencia Financiera de Colombia y, además, cumplir con las siguientes características: (i). Si se trata de reaseguros automáticos, el reasegurador deberá contar con una calificación de riesgo en la escala de largo plazo admisible en el REACOEX; (ii). En el caso de reaseguros facultativos, el reasegurador deberá contar con la siguiente calificación de riesgo mínima en la escala de largo plazo aplicable en el REACOEX: (1) Standard &amp; Poor’s: A; (2) A. M. Best: a; (3) Duff and Phelps / Fitch Ratings: A; (4) Moody’s: Aa3.”
Sin embargo, en REACOEX se admiten reaseguradores con calificación BBB - de acuerdo con los criterios definidos por el Regulador:
3.7. Agencias calificadoras de riesgo admisibles para la inscripción y calificaciones mínimas admisibles.
A efectos de la inscripción en el REACOEX de entidades reaseguradoras del exterior, se considerarán admisibles las calificaciones internacionales de fortaleza financiera vigentes, que no tengan más de (12) meses de antigüedades realizadas por las siguientes agencias y calificaciones:
Debido a lo anterior y teniendo en cuenta las importantes necesidades de capacidad demandadas en este proyecto, se hace necesario no limitar la participación de Reaseguradores dado que el mercado local en sus contratos automáticos de reaseguro no cuenta con la capacidad suficiente para respaldar este tipo de proyectos, en especial para la Etapa Contractual del proceso una vez celebrado el Contrato de Concesión.
Conforme la argumentación anterior, solicitamos a la ANI la eliminación de la restricción de acceso a mercados de reaseguro en las garantías de cumplimento, mediante la supresión del numeral (ii) siguiente: 
“En el caso de reaseguros facultativos, el reasegurador deberá contar con la siguiente calificación de riesgo mínima en la escala de largo plazo aplicable en el REACOEX: (1) Standard &amp; Poor’s: A; (2) A. M. Best: a; (3) Duff and Phelps / Fitch Ratings: A; (4) Moody’s: Aa3.” 
Esto permitirá suavizar las restricciones de acceso al mercado de Reaseguro Facultativo, manteniendo siempre lo definido por la Superintendencia Financiera de Colombia respecto del Registro de REACOEX.
</t>
  </si>
  <si>
    <t xml:space="preserve">Según lo establecido en el PROYECTO DE PLIEGO DE CONDICIONES en su Numeral 4.1.14 Garantía de Seriedad de la Oferta, literal (a) Tipos de garantías inciso (v) (1) se indica: “Las garantías deberán cumplir con los requisitos señalados para cada una de ellas en el Decreto 1082 de 2015 (Parte 2 Título 1 Capítulo 2 Sección 3 Subsección 1, 2, 3 y 4), según se modifique o adicione. Las garantías, cualquiera que sea su naturaleza, deberán estar constituidas con Bancos Aceptables”. 
Sin embargo, este numeral puede generar confusiones ya que se está generalizando a Bancos Aceptables como entidad para su constitución según la garantía que se escoja, cabe precisar que los Incisos (i) (ii) (iii) (iv) son clases de garantías según lo indicado en el Decreto 1082 de 2015, Artículo 2.2.1.2.3.1.2 sin embargo para la clase de garantía inciso (1) Contrato de seguro contenido en una póliza no es aplicable lo indicado Bancos Aceptables. 
Se solicita a la ANI precisar y detallar que el inciso (v) características generales de las garantías, numeral 1 no es aplicable para la garantía suscrita por medio de Contrato de seguro contenido en una póliza.
</t>
  </si>
  <si>
    <t xml:space="preserve">Según lo establecido en el numeral 12.6 Garantía Única de Cumplimiento, literal (a), inciso (ii) del documento CONTRATO DE CONCESIÓN BAJO EL ESQUEMA DE APP No [•] DE [•] PARTE GENERAL CAPITULO XII, se está haciendo la exigencia en relación con que el amparo de Cumplimiento de la Garantía Única de Cumplimiento cubra la obligación referente a “(ii) La prórroga o renovación de este amparo para las fases subsiguientes estará cubierta por el mismo amparo de cumplimiento, que además cubrirá la renovación y prórroga de los demás que componen la Garantía Única, así como la constitución y prórroga de las demás garantías exigidas en este Contrato”.
En este sentido el cubrimiento de esta obligación resulta contrario a lo establecido en el Articulo 2.2.1.2.3.1.3 del Decreto 1082 de 2015 y al numeral 12. INDIVISIBILIDAD DE LA GARANTÍA – EXCEPCIONES del CLAUSULADO AGENCIA NACIONAL DE INFRAESTRUCTURA ANI PÓLIZA ÚNICA DE SEGURO DE CUMPLIMIENTO PARA CONTRATOS ESTATALES en donde se indica lo siguiente:
“La vigencia será igual a la de la respectiva etapa, período contractual o unidad funcional y el valor asegurado corresponde a las obligaciones del contratista que nacen y que son exigibles en cada una de las respectivas etapas, períodos contractuales o unidades funcionales.
Antes del vencimiento de cada etapa del contrato o cada período contractual, el contratista está obligado a prorrogar la póliza o a obtener una nueva que ampare el cumplimiento de sus obligaciones para la etapa del contrato o el periodo contractual subsiguiente, si no lo hiciere se aplicarán las reglas previstas para el restablecimiento de la garantía”.
Ahora bien, si la ASEGURADORA decide no continuar garantizando la etapa del contrato o período contractual subsiguiente, debe informar su decisión por escrito a la ANI seis (6) meses antes del vencimiento del plazo de la garantía correspondiente.
Este aviso no afecta la garantía de la etapa contractual o período contractual en ejecución. 
Si la ASEGURADORA no da el aviso con la anticipación mencionada y el contratista no obtiene una nueva garantía, queda obligada a garantizar la etapa del contrato o el período contractual subsiguiente.
En consecuencia, en la medida en que la ASEGURADORA cumpla estrictamente con la obligación de informar por escrito a la ANI con (6) meses de anticipación a la fecha de vencimiento de la garantía, sobre su decisión de no continuar garantizando la etapa subsiguiente del contrato, si el contratista incumpliere la obligación de prorrogar u obtener la póliza para dicha etapa, no se afectará por tal hecho la presente garantía.”
De acuerdo con lo anterior, se solicita a la ANI eliminar del alcance de cobertura del amparo de Cumplimiento de la Garantía Única la obligación plasmada en el numeral 12.6 Garantía Única de Cumplimiento, literal (a), inciso (ii) del documento CONTRATO DE CONCESIÓN BAJO EL ESQUEMA DE APP No [•] DE [•] PARTE GENERAL CAPITULO.
</t>
  </si>
  <si>
    <t xml:space="preserve">Contrato de Concesión – Parte General / Capítulo XII / Numeral 12.6 literal (a) inciso (ii) </t>
  </si>
  <si>
    <t xml:space="preserve">Según lo establecido en el documento CONTRATO DE CONCESIÓN BAJO EL ESQUEMA DE APP No. PARTE ESPECIAL CAPÍTULO III ASPECTOS GENERALES Cláusula 3.10 Plazo de la etapa Reversión Especial, y documento CONTRATO DE CONCESIÓN BAJO EL ESQUEMA DE APP No [•] DE [•] PARTE GENERAL CAPITULO II ASPECTOS GENERALES DEL PROYECTO clausula 2.5 Etapas de Ejecución Contractual Inciso (iii) Etapa de reversión, no se está estableciendo o confirmando la duración precisa de la Etapa de Reversión, la cual si está señalada en el CAPITULO I definiciones clausula 1.143 Plazo Máximo de la Etapa de Reversión “Corresponde al término de ciento ochenta (180) Días contados a partir de la Fecha de Terminación de la Etapa de Operación y Mantenimiento conforme a lo previsto en la Sección 2.4(b) de esta Parte General. 
En caso de Terminación Anticipada del Contrato, el Plazo Máximo de la Etapa de Reversión podrá ampliarse por decisión autónoma y exclusiva de la ANI en cualquier término adicional, hasta un máximo de quinientos cuarenta (540) Días contados a partir de la fecha en que se declare la ocurrencia de una causal de Terminación Anticipada del Contrato en cualquiera de las Etapas”.
De acuerdo con lo anterior se solicita a la ANI indicar de forma precisa periodo de ejecución de la Etapa de Reversión para una mayor claridad en relación con el CAPÍTULO VII GARANTÍAS Y SEGUROS.
</t>
  </si>
  <si>
    <t xml:space="preserve">Contrato de Concesión – Parte Especial / Capítulo III / Cláusula 3.10. 
Contrato de Concesión – Parte General / Capítulo II / Cláusula 2.5. </t>
  </si>
  <si>
    <t xml:space="preserve">Según lo establecido en el documento CONTRATO DE CONCESIÓN BAJO EL ESQUEMA DE APP No. su CAPÍTULO VII GARANTÍAS clausula 7.1 Valor y Vigencia del Amparo de Cumplimiento literal (b) inciso (i) Etapa Pre-operativa se establece como valor del amparo de cumplimiento una suma de Doscientos Treinta Y Ocho Mil Quinientos Dos Millones Cuatrocientos Ochenta Y Cuatro Mil Ochocientos Tres Pesos del Mes De Referencia ($238.502.484.803) y (ii) Etapa Operación y Mantenimiento se establece como valor del amparo de cumplimiento una suma de Quinientos Setenta Y Cinco Mil Setecientos Cincuenta Y Un Millones Cuatrocientos Veintidós Mil Trescientos Sesenta Y Siete Pesos Del Mes De Referencia ($575.751.422.367), la determinación de dichos valores no guarda  consistencia con los parámetros definidos en el Decreto 1082 de 2015, Artículos 2.2.1.2.3.1.3. Indivisibilidad de la garantía. De acuerdo con lo anterior se solicita a la ANI calcular el valor asegurado para cada Etapa del Contrato, Periodo Contractual o unidad funcional, tomando el valor de las obligaciones del contratista para cada Etapa del Contrato, Contractual o unidad funcional y de acuerdo con las reglas de suficiencia de la garantía de cumplimiento Decreto 1082 en su Artículo 2.2.1.2.3.1.12. “Si el valor del contrato es superior a un millón (1.000.000) de SMMLV y hasta cinco millones (5.000.000) de SMMLV, la Entidad Estatal puede aceptar garantías que cubran al menos el dos punto cinco por ciento (2,5%) del valor del contrato”.  
Se solicita a la ANI reducir el valor de esta garantía en proporción al ítem que se pretende amparar, así como a las limitaciones de capacidad del mercado de seguros y reaseguros global, el no reducir el valor asegurado en este amparo podría dificultar la obtención de las Garantías de la LICITACIÓN PÚBLICA No. VJ-VE-APPIPB- 001-2020 y afectar el término y cierre de la Licitación. Por último, es importante anotar que los valores asegurados exceden de manera muy significativa y quizá desproporcionada los valores definidos y establecidos en el CAPÍTULO VI SANCIONES Y ESQUEMAS DE APREMIO.
</t>
  </si>
  <si>
    <t xml:space="preserve">Contrato de Concesión – Parte General / Capítulo VII </t>
  </si>
  <si>
    <t>Según lo establecido en el documento CONTRATO DE CONCESIÓN BAJO EL ESQUEMA DE APP PARTE ESPECIAL en su CAPÍTULO VII GARANTÍAS clausula 7.2 Valor y Vigencia del Amparo de Pago de Salarios y Prestaciones Sociales literal (b) inciso (i) (ii) y (iii) se indican los valores asegurados mínimos aplicables para el amparo de Pago de Salarios y Prestaciones Sociales para cada una de las Etapas y Fases.
Sin embargo, la determinación de dichos valores no guarda consistencia con los parámetros definidos en el Decreto 1082 de 2015, Artículos 2.2.1.2.3.1.3. Indivisibilidad de la garantía y Artículo 2.2.1.2.3.1.13. Suficiencia de la garantía de pago de salarios, prestaciones sociales legales e indemnizaciones laborales, dado que no se evidencia en ningún aparte del PROYECTO DE PLIEGO DE CONDICIONES o del documento CONTRATO DE CONCESIÓN BAJO EL ESQUEMA DE APP No [•] DE [•] PARTE GENERAL o del documento CONTRATO DE CONCESIÓN BAJO EL ESQUEMA DE APP No. PARTE ESPECIAL el valor estimado de las obligaciones del Concesionario para cada Etapa del Contrato, Periodo Contractual o unidad funcional. 
Se solicita a la ANI calcular el valor asegurado para cada Etapa del Contrato, Periodo Contractual o unidad funcional, tomando el valor de las obligaciones del contratista para cada Etapa del Contrato, Periodo Contractual o unidad funcional y de acuerdo con las reglas de suficiencia de las garantías, y definiendo como valor asegurado el mínimo permitido para este amparo en cada una de sus fases el establecido en el Artículo 2.2.1.2.3.1.13: 
“Suficiencia de la garantía de pago de salarios, prestaciones sociales legales e indemnizaciones laborales. “Esta garantía debe estar vigente por el plazo del contrato y tres (3) años más. El valor de la garantía no puede ser inferior al cinco por ciento (5%) del valor total del contrato. (Decreto 1510 de 2013, artículo 122).”</t>
  </si>
  <si>
    <t xml:space="preserve">Se hace mención de las garantías asegurativas del contrato de concesión 12.6 Garantía Única de Cumplimiento y 12.7 Garantía de Responsabilidad Civil Extracontractual.  Se concibe como seguro de daños contra todo riesgo (a) Obra Civil y (b) seguros de Automotores y Seguro de Equipo y Maquinaria, por lo cual el punto 12.9 de actualización de los valores de las garantías según la fórmula 3.9 (b) de la parte General no aplicaría a los seguros todo riesgo por su naturaleza y definición, aún más cuando en el mismo contrato solicita el informe de PML para la definición de la Suma Asegurada y la insuficiencia del mismo estará a cargo de la concesión, por lo cual se solicita a la ANI hacer claridad frente a este ítem. 
</t>
  </si>
  <si>
    <t xml:space="preserve">Sugerimos mantener la redacción de los contratos del precedente 4G, como referencia indicamos a continuación la redacción del Contrato de Concesión APP 002 de 2017: Sección 3.8 (a)(i) (Cierre Financiero): 
 “(i) Préstamos Bancarios: El Concesionario deberá aportar a) el contrato de crédito suscrito y/o b) una certificación emitida por el Prestamista (o el banco líder, agente administrador o similar, en caso de créditos sindicados) o el agente de manejo del crédito que contenga al menos lo siguiente: (i) valor del crédito; (ii) acreedor; (iii) garantías; (iv) plazo para el pago; (v) tasa; (vi) condiciones para el desembolso...". </t>
  </si>
  <si>
    <t xml:space="preserve">Teniendo en cuenta que es riesgo del concesionario la obtención de la financiación, así como las modalidades de financiación (incluida la combinación de alternativas) que se escojan para dar liquidez al proyecto, sugerimos eliminar el siguiente párrafo a fin de seguir con el precedente de los Contratos de Concesión 4G: 
“En el caso que el Concesionario opte por presentar en el plazo del Cierre Financiero el compromiso en firme indicado en la Sección 3.8(a)(i)(b) de esta Parte General, el Concesionario tendrá un plazo de nueve (9) Meses contados desde la fecha de suscripción del Acta de Inicio de la Fase de Construcción para presentar el contrato de crédito suscrito. Una vez se encuentre debidamente legalizado el contrato de crédito o su documento equivalente de acuerdo a cada modalidad prevista en la Sección 3.8(a), deberá informarse a la ANI y a la Interventoría y se deberán remitir los documentos solicitados en la Sección 3.8(a) de la presente Sección a la ANI en un tiempo no mayor a quince (15) Días Hábiles.”
</t>
  </si>
  <si>
    <t xml:space="preserve">Sugerimos mantener mecanismo de distribución de remanentes de las subcuentas obligatorias Predios, Compensación Socioambiental y Redes de acuerdo al precedente 4G, tanto para APP públicas e IP, esto es: el 60% será del Concesionario y el 40% de la ANI y lo demás previsto en la parte general de esos contratos. 
Como referencia en el Contrato de Concesión APP 002 de 2017: Sección 7.2 (b) Subcuenta Predios: “Una vez realizada y verificada la adquisición del cien por ciento (100%) de los Predios del Proyecto y ejecutado en su totalidad el Plan de Compensaciones Socioeconómicas, el remanente de los recursos de la Subcuenta Predios será distribuido entre el Concesionario y la ANI en una proporción 60/40 respectivamente”. </t>
  </si>
  <si>
    <t>Contrato de Concesión – Parte General / Cláusulas 3.14 (g) (v) (3) Subcuenta Predios
3.14 (g) (vii) Subcuenta Redes 
3.14 (g) (vi) (3) Subcuenta Compensación Socioambiental
3.14 (g) (vii) Subcuenta Policía de Carreteras</t>
  </si>
  <si>
    <t xml:space="preserve">En lo relativo a la explicación del componente ARh, en las Cláusulas 18.3 (c), 18.3 (d) y 18.3 (e) de la Parte General del Contrato de Concesión, se establece la siguiente redacción: 
"Para determinar este valor máximo de reconocimiento durante la ejecución del Contrato, el Interventor remitirá la respectiva certificación de los valores registrados, a la ANI y al Concesionario, dentro de los treinta (30) Días siguientes a la presentación de los estados financieros auditados del Patrimonio Autónomo, conforme con lo previsto en las Secciones 3.15 (l) (xi) y 4.5(q) de esta Parte General.".
Entendemos que ésta deberá ser una obligación expresa, clara y exigible del Interventor durante la ejecución del contrato. Por favor confirmar si nuestro razonamiento es correcto. 
</t>
  </si>
  <si>
    <t xml:space="preserve">Sugerimos no redactar taxativamente en el reconocimiento del AR en las fórmulas de Terminación Anticipada las comisiones de disponibilidad y de estructuración de Cierre Financiero o de la emisión de bonos, existen otras comisiones y/o gastos transaccionales asociados al Cierre Financiero. 
Proporcionamos como referencia la redacción aplicable en el Contrato de Concesión APP  002 de 2017 Sección 18.3.: “*Comisiones y otros pagos a prestamistas distintos al servicio de la deuda (intereses y capital), en el Mes h”. 
Solicitamos que se incluya una redacción análoga en la Cláusula 18.3. (f) de la Parte General del Contrato de Concesión. 
</t>
  </si>
  <si>
    <t xml:space="preserve">Entendemos que el porcentaje de retención definido en la Cláusula 7.1. (f) (iii) de la Parte General del Contrato de Concesión debería ser menor. Sugerimos los siguientes porcentajes:
De 0% y hasta 40%: 25%
Superior a 40% y hasta 60%: 20%
Superior al 60% y hasta 80%: 15%
Superior 80%: 5%
</t>
  </si>
  <si>
    <t xml:space="preserve">Entendemos que la compensación por menor recado de peajes podría incluir otros mecanismos de compensación adicional al Fondo de Contingencias, como los siguientes: (i) aumento del VPIP, (ii) incrementos estructura tarifaria.  </t>
  </si>
  <si>
    <t xml:space="preserve">Con respecto a la Retribución Parcial RP%: para proyectos 4G este porcentaje en etapa de reversión es superior al porcentaje determinado en la parte especial de este contrato, sugerimos mantener 50%.
Ejemplos en contratos 4G: Contrato de Concesión APP 005 de 2015 Parte Especial: para este proyecto el %RP será de 50%. </t>
  </si>
  <si>
    <t xml:space="preserve">Entendemos que la fórmula de Tarifa usuario de la sección 4.2 (c) de la Parte Especial del Contrato de Concesión, debería incluir otra variable adicional a FSV que consolide cualquier sobretasa o similar que puedan decretarse. 
</t>
  </si>
  <si>
    <t xml:space="preserve">Con relación a la Cláusula 3.8. de la Parte General del Contrato de Concesión: 
1. Sugerimos eliminar romanito (iii) de la Cláusula 3.8. (d) (iv);
2. Se deberá incluir la referencia a los tenederos de títulos de valores (personas naturales, jurídicas o quien les represente).  </t>
  </si>
  <si>
    <t xml:space="preserve">Con relación a la Cláusula 3.16. de la Parte General del Contrato de Concesión, solicitamos que se reconozca el impacto de cambio tributario por cambios en la normatividad NIIF como riesgo compartido.
</t>
  </si>
  <si>
    <t xml:space="preserve">Se solicita modificar la redacción de la Sección 4.1 (b) (ii) (2) del Apéndice Técnico 6, frente al requisito de “No Objeción” de la Interventoría frente a los Estudios de Impacto Ambiental previo a la radicación del mismo ante la ante la Autoridad Ambiental. 
Lo anterior, fundamentado principalmente en las siguientes razones:
 1. Las Autoridades Ambientales son las competentes para otorgar o no licencias y/o permisos ambientales basadas en la aplicación de un procedimiento independiente que incluye mecanismos de participación social, y evaluación de estudios técnicos, pero que en ningún caso, contempla o incluye aprobación por parte de la Interventoría previamente. Por lo cual se considera innecesario y crearía retrasos en los procesos de obtención de permisos y Licencias ambientales por prolongar los tiempos de radicación, afectándose también el Plan de Obras. 
2. Cualquier proceso sancionatorio motivado por incumplimiento a lo aprobado en los estudios presentados en los trámites de licenciamiento ambiental, son responsabilidad del Concesionario acorde a lo estipulado en el contrato; en tal sentido no se considera necesaria la aprobación por parte de la Interventoría para este punto concreto.  
3. Ello daría para interpretar que la interventoría y la ANI asumen algún grado de responsabilidad por el otorgamiento de la No Objeción, de llegar a resultar no exitoso el proceso de licenciamiento, con independencia de que en el Contrato de Concesión se establezcan exenciones de responsabilidad por ello. 
</t>
  </si>
  <si>
    <t xml:space="preserve">En el Contrato de Concesión se establece que el 50% los Ingresos por Explotación Comercial serán transferidos a la Subcuenta Excedentes ANI mientras que el 50% se destinaría al Concesionario. En anteriores contratos de concesión la proporción establecida era del 2,2% ANI y el 97,8% para el Concesionario. 
Entendemos que si se mantiene la obligación de ceder el 50% de los ingresos obtenidos por las Explotaciones Comerciales, la mayor parte de ellas podrían no resultar autosostenibles financieramente desincentivando la consideración de este tipo de servicios adicionales en las propuestas presentadas por las empresas interesadas. 
La distribución de Ingresos por Explotación Comercial debería ser por encima del 97% para la Concesionaria, teniendo en cuenta que es la segunda fuente de Retribución del proyecto. Esto seguiría los precedentes de 4G tanto de APP públicas como iniciativas privadas. Según el contrato de la APP 002 de 2017, la redacción debería quedar así: ”El 2,2% de los Ingresos por Explotación Comercial será transferido a la Subcuenta Excedentes ANI. El 97,8% restante será consignado en la Subcuenta de Ingresos por Explotación Comercial como una de las fuentes para el traslado de la Retribución –o de la Compensación Especial, cuando sea aplicable–“. 
</t>
  </si>
  <si>
    <t xml:space="preserve">Se sugiere eliminar de la Sección 3.3 (g)(iv) teniendo en cuenta que con dicha inclusión se generaría un perjuicio al Concesionario, frente a la Elusión de peajes al no reconocerse la compensación durante los primeros 90 días, especialmente porque la Elusión es un riesgo a cargo de la ANI conforme a la Sección 13.3 (j),
En consecuencia, se sugiere aclarar en el Contrato de Concesión que la Compensación por menor Recaudo de Peaje se causará desde la notificación oportuna a la ANI por parte del Concesionario. 
</t>
  </si>
  <si>
    <t xml:space="preserve">En definiciones 1.164. y 1.165 del Capítulo I de la Parte General se incluyen las definiciones de ‘soporte de ingresos’ y correcciones en ingresos por variaciones de tráfico. Sin embargo, en la sección 1.165 del Capítulo II de la Parte Especial se suprime cualquier aplicabilidad de este mecanismo. 
</t>
  </si>
  <si>
    <t xml:space="preserve">En la Cláusula 13.2 y 13.3. de la Parte General del Contrato de Concesión, se establece que “Se exceptúa el documento denominado matriz de riesgos del Proyecto, publicado en el SECOP, el cual es de referencia y no hace parte del Contrato de Concesión ni tiene carácter de vinculante. “
Consideramos que la matriz de riesgos del Proyecto debería ser considerada parte del Contrato de Concesión y ser vinculante, como sucedía en los contratos de las 4G. Entendemos que se trata de un documento que aporta claridad en relación al reparto de riesgos entre las contrapartes pública y privada y que no debería existir impedimento para otorgarle esta consideración,   habida cuenta de que respeta los lineamientos de política de riesgos de la ANI, de los documentos CONPES estipulados sobre la materia  considerando los lineamientos de política de riesgos de la ANI, de documentos CONPES sobre la materia y de la metodología de obligaciones contingentes del Ministerio de Hacienda y Crédito Público.  </t>
  </si>
  <si>
    <t xml:space="preserve">En la Cláusula 17.2. (c) de la Parte General del Contrato de Concesión se incluye como causal de terminación anticipada la decisión unilateral de la ANI, exclusivamente para el caso en que la ANI requiera la recompra de los derechos económicos al Concesionario conforme a las fórmulas de liquidación descritas en la Cláusula 18.3. (f) de la Parte General. 
El Art. 32 de la Ley 1508 de 2012 prevé lo siguiente: 
“Acuerdo de terminación anticipada. En los contratos que desarrollen proyectos de asociación público-privada, se incluirá una cláusula en la cual se establezca la fórmula matemática para determinar las eventuales prestaciones recíprocas entre las partes a las que haya lugar para efectos de terminarlos anticipadamente por mutuo acuerdo o en forma unilateral.”
Adicionalmente, la Cláusula 11.2. (a) de la Parte General establece que “la ANI podrá decretar la Terminación Anticipada y unilateral del Contrato por las causales y en las condiciones previstas en el artículo 17 de la ley 80 de 1993 o en las normas que lo modifiquen, complementen o sustituyan”. 
El Artículo 17 identifica las siguientes cuatro causales de terminación unilateral por parte del Contratante: 
“1. Cuando las exigencias del servicio público lo requieran o la situación de orden público lo imponga. 
2. Por muerte o incpacidad física permanente del contratista, si es persona natural, o por disolución de la persona jurídica del contratista. 
3. Por interdicción judicial o declaración de quiebra del contratista. 
4. Por cesación de pagos, concurso de acreedores o embargos judiciales del contratista que afecten de manera grave el cumplimiento del contrato”. 
Entendemos que el procedimiento de terminación anticipada unilateral del  contrato no podría activarse si no se da al menos una de las causales anteriores. Por favor confirmar si nuestro razonamiento es correcto.
Adicionalmente y en relación a la primera causal, solicitamos aclaración sobre que tipo de eventos podrían eventualmente tener consideración de “exigencias del servicio público”, a juicio de la ANI.
</t>
  </si>
  <si>
    <t xml:space="preserve">De acuerdo con la Cláusula 4.10. del Pliego de Condiciones, a los efectos de la acreditación de la experiencia en inversión se posibilita adjuntar “(ii) adjuntar copia del contrato de crédito junto con una constancia de los desembolsos;”.
Entendemos que esta obligación no resultaría materializable en virtud de las cláusulas de confidencialidades incorporadas en los contratos de crédito así como de los non-disclosure agreements (NDA) firmados con los prestamistas. Por estos motivos solicitamos que se suprima de la Cláusula 4.10. la redacción entrecomillada en el párrafo anterior. 
</t>
  </si>
  <si>
    <t xml:space="preserve">Financiera Jurídica </t>
  </si>
  <si>
    <t xml:space="preserve">En la Cláusula 4.3.6. del Pliego de Condiciones se establece que el monto del Cupo de Crédito Específico asciende a $258.300.000.000 Pesos del Mes de Referencia.
Solicitamos que se rebaje esta cantidad a fin de que no represente una cantidad mayor al 5% del Valor del Contrato reflejado en la Cláusula 3.4. de la Parte Especial del Contrato de Concesión, el cual asciende a $ 258.300.000.000 Pesos del Mes de Referencia. Consideramos que esa proporción se ajusta más a los estándares del mercado. 
Actualmente el valor del Cupo de Crédito Específico representa el 8,6% del Valor del Contrato. </t>
  </si>
  <si>
    <t xml:space="preserve">Tras revisar las Cláusula 4.1.14. y 6.5. del Pliego de Condiciones no nos queda claro cual sería el mecanismo de conversión de moneda en caso de que las Garantías Bancarias o Stand-by Letters of Credit sean emitidas en otra moneda diferente. Solicitamos  aclaración al respecto. 
</t>
  </si>
  <si>
    <t>En el cálculo de la Retribución se establecen unos porcentajes de participación para cada Unidad Funcional en el proyecto. 
En el periodo comprendido desde la fecha de inicio hasta el mes 30 se consideran las Unidades Funcionales 2, 3 y 4 con porcentajes de participación, cuando en dicha etapa, cumpliendo el programa de ejecución de obras y los plazos máximos del Apéndice Técnico 4, dichas unidades funcionales no tendrían subscrita el Acta de Terminación. Solicitamos aclaración al respecto.</t>
  </si>
  <si>
    <t>Financiera Técnica</t>
  </si>
  <si>
    <t xml:space="preserve">Solicitamos aclaración sobre la actual puesta en operación del sistema IP/REV del resto de concesiones, ¿se ha concluido con éxito la transición del resto de concesiones al nuevo sistema IP/REV al punto de que ya se esté trabajando en la modalidad de interoperabilidad con todos los peajes del país?
</t>
  </si>
  <si>
    <t>Contrato de Concesión – Parte Especial / Cláusula 3.11.1. (a)</t>
  </si>
  <si>
    <t xml:space="preserve">En caso de no estar de acuerdo el Concesionario y el Interventor, en los valores adoptados en un Avalúo comercial corporativo y persistan las diferencias ¿Cuál es el mecanismo contractual para dirimir las diferencias?
Adicionalmente, solicitamos que en la Cláusula 4.6. (j) se precise lo siguiente: “cualquier solicitud de modificación u observación del Interventor al Avalúo Comercial Corporativo se hará una sola vez dentro del plazo de diez (10) Días Hábiles señalado en la sección 4.6. (i)”. 
 </t>
  </si>
  <si>
    <t>En caso de existir una compensación minera:
1.	¿Estos recursos se cargarán a la Subcuenta Predios? 
2.	¿Cuál es el procedimiento establecido para el cálculo de la compensación minera? 
3.	¿Cuál es el procedimiento establecido para la suscripción del acuerdo de compensación minera? 
4.	¿El reconocimiento de la compensación minera se realizará dentro del proceso de adquisición predial?</t>
  </si>
  <si>
    <t>Apéndice Técnico 7 – Gestión Predial / 
Cláusula 4.6. (l)</t>
  </si>
  <si>
    <t>Apéndice Técnico 7 – Gestión Predial / 
Cláusula 8.2.</t>
  </si>
  <si>
    <t>No existe en el Apéndice Técnico 8 - Gestión 
Social, el Programa de Adecuación y/o Restitución de Infraestructura Social, ¿Cuál será el procedimiento para dar aplicación a esta sección?</t>
  </si>
  <si>
    <t xml:space="preserve">¿Cuál es el procedimiento establecido contractualmente para acordar la constitución de una servidumbre? ¿El pago de las servidumbres se hará con cargo a la Subcuenta Predios?
</t>
  </si>
  <si>
    <t>Apéndice Técnico 7 – Gestión Predial / 
Cláusula 8.5</t>
  </si>
  <si>
    <t>Apéndice Técnico 8 – Gestión Social / 
Cláusula 5.2.2.9.4.</t>
  </si>
  <si>
    <t xml:space="preserve">En la Cláusula 7.4. – Fuerza Mayor Predial de la Parte General del Contrato de Concesión, se incorpora lo siguiente en 7.4. (a) (iv): 
“Si transcurrieren dieciocho (18) Meses contados a partir de la admisión de la demanda en el proceso de expropiación por vía judicial, sin que la autoridad judicial haya decidido la petición del Concesionario, frente a la transferencia del derecho real de dominio”. 
Desde nuestro punto de vista, consideramos que existen muy pocos casos en los que, al no presentarse la contraparte en el proceso judicial, se ha dictado sentencia en 12 meses. Ahora bien, entendemos que lo común hasta la fecha es que los procesos duren como mínimo 24 meses, conociéndose casos con una duración incluso superior.  
Por los motivos anteriores, solicitamos que el plazo definido en la Cláusula 7.4. (a) (iv) sea de al menos 24 meses, en lugar de 18. 
</t>
  </si>
  <si>
    <t xml:space="preserve">Con relación a la Cláusula 14.2. (h) (ii) (2), solicitamos que en el presente proceso de licitación se mantenga la siguiente redacción que resultaba de aplicación en los contratos 4G, en lo relativo al tratamiento de las Reparaciones Necesarias por Evento Eximente de Responsabilidad: 
“Golpe de Estado, revolución, conspiración y acto de guerrilla. No se incluyen en este concepto huelga, motín, asonada, conmoción civil y/o popular, actos malintencionados de terceros, actos terroristas y terrorismo, riesgos que deben ser asegurados por el Concesionario”. </t>
  </si>
  <si>
    <t>En relación a los límites requeridos en la Parte Especial - Capítulo VII 4 Responsabilidad Civil para las Fases de Construcción y Etapa de Operación, la determinación de sublímites deberá responder a la práctica habitual del mercado asegurador.</t>
  </si>
  <si>
    <t xml:space="preserve">Entendemos que cuando la Concesión decide asegurar la Obra por el 100% del valor del Contrato no debería exigirse un PML para la suscripción de las Actas de Terminación por cada Unidad Funcional, pues este sólo sería relevante si el valor asegurado correspondiese al indicado en dicho estudio como máxima pérdida probable. Por tanto, consideramos que el Estudio de Pérdida Máxima Probable debería ser a opción del Concesionario. </t>
  </si>
  <si>
    <t xml:space="preserve">Contrato de Concesión – Parte General / Capitulo XII Garantías y Mecanismos de Cobertura de Riesgos. 12.8.Seguro de Daños Contra Todo Riesgo (b Seguro de Automotores y Seguro de Equipo y Maquinaria (Maquinaria Amarilla). </t>
  </si>
  <si>
    <t xml:space="preserve">En la sección 7.5. (b) (i) se menciona que el plazo de las coberturas será por el "plazo de duración de la Fase de Construcción de cada Unidad Funcional". Entendemos que habría que añadir que sea conforme al calendario de ejecución que se defina para cada Unidad Funcional. </t>
  </si>
  <si>
    <t xml:space="preserve">Además de la ANI y el Concesionario deberían tener igualmente condición de asegurados en la póliza de Obra Civil el Contratista y los Subcontratistas así como todos aquellos intervinientes en la construcción o en la operación. </t>
  </si>
  <si>
    <t>Confirmar que se trata de una cobertura de contratación opcional por parte del Concesionario.</t>
  </si>
  <si>
    <t>AF – Póliza de seguros de obras civiles / Sección I - Amparo de Obras Civiles y Otros Bienes Existentes Asegurados por esta Sección. Lucro Cesante.</t>
  </si>
  <si>
    <t xml:space="preserve">Confirmar que se trata de una cobertura de contratación opcional por parte del Concesionario. </t>
  </si>
  <si>
    <t>AF – Póliza de seguros de obras civiles / Sección II - Amparo de Construcción, Reparación, Rehabilitación y/o Mejoramiento. Lucro Cesante.</t>
  </si>
  <si>
    <t xml:space="preserve">Los porcentajes de Participación de las Unidad Funcional no suman 100,00% para los siguientes rangos; (i) Desde el Mes 37 hasta el Mes 42; (ii) Desde el mes 43 hasta el Mes 48 y (iii) Desde el Mes 61 hasta el Mes 102.
</t>
  </si>
  <si>
    <t xml:space="preserve">Al considerar la secuencia de pasos descrita en el romanito (iv) de la Subcuenta Reacuado Peaje de la Cuenta ANI, en el numeral (4) los Porcentajes de Participación de las Unidades Funcionales para las demás UF deberán normalizarse sobre una base de 1 para poder fondear el 100% de los recursos disponibles de Recaudo de Peaje en el momento de aplicar la cascada.
</t>
  </si>
  <si>
    <t>Considerar el Porcentaje de depósito Especial a transferir el 30% del total del Recaudo del Peaje.</t>
  </si>
  <si>
    <t xml:space="preserve">Considerar que se reconozca el Soporte de Ingresos en este proyecto. </t>
  </si>
  <si>
    <t>En el capítulo IV Infraestructura Proyectada, apartado 4.1 División por Unidades Funcionales, tabla 5 Unidades funcionales del proyecto del Apéndice Técnico 1 al Contrato de Concesión, entendemos que el primer tramo incluido en la UF2 definido como Santander de Quilichao-Ye de Villa Rica-Intersección Candelaria-Intersección Acceso Sur Palmira-Intersección Cali-Palmira 3 (Palmira-El Cerrito), debería ser en realidad Santander de Quilichao-Ye de Villa Rica-Intersección Candelaria-Intersección Acceso Sur Palmira-Intersección Cali-Palmira 5 (Palmira-El Cerrito).
En relación con lo anterior, en la tabla 11 del apartado 4.3 del mismo documento, se observa el mismo error para la denominación de la Intersección Cali-Palmira 3 (Palmira-El Cerrito).
Finalmente, en la referida tabla 11, entendemos que la segunda columna debería hacer referencia al tramo Ye de Villa Rica-Intersección Cali-Palmira 5 (Palmira-El Cerrito), en lugar del tramo Ye de Villa Rica-Intersección Acceso Sur Palmira.
Por favor confirmar nuestro entendimiento.</t>
  </si>
  <si>
    <t xml:space="preserve">La definición de obras menores (1.119 Parte General del Contrato) incluye las obras o actividades derivadas de la(s) nueva(s) consulta(s) previa(s) con las comunidades étnicas y/o afrodescendientes ubicadas dentro del área de influencia directa del Proyecto, que son necesarias para la ejecución del Proyecto.
El costo de estas actividades entendemos debiera quedar asumido pues al 100% con los recursos de la subcuenta obras menores por definición.
No obstante, en el apartado 8.1 (d) se especifica: 
En cualquier momento durante la ejecución del Contrato, el Concesionario deberá llevar a cabo, bajo el liderazgo de la ANI, la(s) nueva(s) consulta(s) previa(s) con las comunidades étnicas y afrodescendientes que sean certificadas por Autoridad Estatal competente o reconocidas mediante fallo judicial en firme en el área de influencia del Proyecto con posterioridad a la apertura del Proceso de Selección. 
Los costos que se generen como consecuencia de la Gestión Social y Ambiental para adelantar esta(s) nueva(s) consulta(s) previa(s) serán asumidos en su totalidad por el Concesionario. Los compromisos derivados de dichos acuerdos que sean protocolizados serán asumidos por las Partes en proporciones iguales (cincuenta por ciento 50%).
Se deduce de este párrafo que únicamente se asignaran a la cuenta de obras menores el 50% de los acuerdos protocolizados con nuevas consultas previas con comunidades étnicas.
Por favor confirmar el porcentaje de reparto de estos trabajos.
</t>
  </si>
  <si>
    <t>A nuestro entender, las obras menores serán abonadas por la ANI con los fondos de la subcuenta obras menores, la cual no será dotada de fondos por el concesionario. Por favor confirmar si nuestro razonamiento es correcto. 
Para el caso de las obras sociales, el abono por la ANI será desde la subcuenta obras sociales, correspondiendo en este caso el aporte de fondos a cargo del concesionario, según se deduce del apartado 4.5 (j) de la parte especial del modelo de contrato.
Por favor confirmar nuestro entendimiento</t>
  </si>
  <si>
    <t xml:space="preserve">Contrato de Concesión – Parte General / Sección 19.1
Contrato de Concesión – Parte Especial / Sección 4.5 (j) </t>
  </si>
  <si>
    <t>Para la subcuenta cambio climático, entendemos que su funcionamiento está condicionado a la financiación por una entidad cooperante, no siendo responsabilidad del concesionario su dotación de fondos.
Por favor confirmar nuestro entendimiento.
En caso de no ser correcto nuestro entendimiento, por favor indicar el programa de fondeo de esta subcuenta.</t>
  </si>
  <si>
    <t xml:space="preserve">En virtud de lo dispuesto por la Sección 1.8 del Pliego de Condiciones y teniendo presente las restricciones generales a la movilidad motivadas por la situación de emergencia sanitaria causada por el COVID-19, se solicita la concesión de una prórroga de 2 meses para la fecha de ‘Cierre del plazo de la Licitación Pública’, contemplada actualmente para el 06/08/2020. 
</t>
  </si>
  <si>
    <t>Solicitamos de manera atenta cargar la informacion correspondiente en las carpetas vacias que se indican en el anexo Excel denominado  Anexo Carpetas vacias ANI , anexo a esta comunicación</t>
  </si>
  <si>
    <t>Solicitamos de manera atenta cargar la informacion correspondiente en las carpetas vacias de la componente de estructuras que se indican en el anexo Word denominado Anexo Carpetas vacias estructuras, anexo a la presente comunicación</t>
  </si>
  <si>
    <t>Entendemos que la ANI asumiria el costo de los acuerdos de Consultas Previas de comunidades que  se certifiquen o reconozcan con posterioridad a la adjudicacion del proyecto. Favor confirmar que nuestro entendimiento es correcto.</t>
  </si>
  <si>
    <t>Entendemos que la ANI asumiria los efectos desfavorables resultado de las optimizaciones a los diseños, en caso de que las modificaciones esten plenamente justificadas desde el punto de vista tecnico y  sobrepasen las áreas del proyecto que ya han sido decretadas de Utilidad Pública. Favor confirmar que nuestro entendimiento es correcto.</t>
  </si>
  <si>
    <t>Se menciona que el producto del vuelo LIDAR AEROTRANSPORTADO se generó una ortofoto de alta resolución (7 cm), la cual NO SE ENCUENTRA CARGADA EN LA INFORMACIÓN DEL CUARTO DE DATOS, y podría ser útil en el presente estudio. Solicitamos publicar dicha información.</t>
  </si>
  <si>
    <t>Cuarto de datos - Carpeta A - topografia y diseño geometrico</t>
  </si>
  <si>
    <t>La metodología utilizada fue la de levantamiento LIDAR aerotransportado, la información presenta error al descargar del cuarto de datos para la unidad 3, 4 y 5 , solicitamos habilitar un protocolo para que los interesados tengan la informacion completa del cuarto de datos, garantizando su correcta descarga, pues el cuarto de datos en general tinene muchas carpetas vacias.</t>
  </si>
  <si>
    <t>A3, A4 Y A5 Cuarto de datos</t>
  </si>
  <si>
    <t>En el informe A1111, en la tabla 4.1 - Tramos que conforman el corredor 01. Se indica que la longitud del tramo 5 Yumbo - Mediacanoa. Variante Yumbo. Variante Yotoco es de 48.25 km, sin embargo la suma de las longitudes de los subtramos indicados en el capitulo 5.1.4 es igual a 47.55 y en el Apéndice técnico de indica una longitud total de 41,13 km. Se solicita confirmar cual es la longitud correcta.</t>
  </si>
  <si>
    <t>Informe A1111
Apéndice técnico 1 - Alcance del proyecto</t>
  </si>
  <si>
    <t>En el capitulo 5.1.4 del Anexo A1111 se indica que el tramo 5 Yumbo - Mediacanoa comprende la Variante Vijes, Variante Yumbo y Variante Yotoco, si embargo en el Apéndice técnico se indica que este tramo comprende la Variante y Paso Nacional San Marcos, el enlace de acceso a Vijes y la Variante y Paso Nacional Yotoco. Entendemos que el alcance corresponde a lo inidcado en el apendice tecnico 1 , facvor conformar nuestro entendimiento</t>
  </si>
  <si>
    <t>En el informe A1111, en la tabla 4.1 - Tramos que conforman el corredor 01. Se indica que la longitud del tramo 6 Cencar - Aeropuerto, Palmaseca - Cerrito y Rozo - Paso La Torre es de 160,05 km, sin embargo la suma de las longitudes de los subtramos indicados en el capitulo 5.1.5 es igual a 63,86 km y la misma suma en el Apéndice técnico es igual a 62,36 km. Se solicita confirmar cual es la longitud correcta</t>
  </si>
  <si>
    <t>En el informe A2211, en el tabla 4.1 - Tramos que conforman el corredor 04. Se indica que la longitud del Tramo 1 es de 29,08 km, y que esta conformado por los subtramos Cali - Candelaria y Candelaria - Florida. Sin embargo en el capitulo 5.1.1 del mismo informe solo hay información del subtramo Cali - Candelaria, que tiene una longitud de 16,6 km y en el Apéndice técnico tampoco se encuentra información del subtramo Candelaria - Florida. Solicitamos publicar la informacion completa</t>
  </si>
  <si>
    <t>Informe A2211
Apéndice técnico 1 -Alcance del proyecto</t>
  </si>
  <si>
    <t>En el Anexo G2 - SAMECO del cuarto de datos no se encuentra la información del levantamiento topográfico correspondiente a nube de puntos, DTM y ortofotos. En cuanto al diseño geométrico no se encuentra el informe ni las carteras de diseño horizontal, vertical, rasante - peraltes y movimientos de tierra.  Solicitamos la publicacion de esta informacion y los datos crudos completos a efectos de poder realizar la revision correspondiente</t>
  </si>
  <si>
    <t>Cuarto de datos- Anexo G2</t>
  </si>
  <si>
    <t>En el Anexo G4 - Villarica - Caloto del cuarto de datos no se encuentra la información correspondiente a carteras de alineamiento horizontal, vertical, rasante - peraltes y movimientos de tierra, Solicitamos la publicacion de esta informacion y los datos crudos completos a efectos de poder realizar la revision correspondiente</t>
  </si>
  <si>
    <t>Cuarto de Datos- Anexo G4</t>
  </si>
  <si>
    <t>No se encuentra topografía, ni diseño geométrico de la Variante el Bolo. UF2- Solicitamos se apublicada esta información</t>
  </si>
  <si>
    <t>Cuarto de Datos- Anexo A2</t>
  </si>
  <si>
    <t>En la UF4 para el tramo Av. Bicentenario - Jamundí, que tiene una longitud de 5,9 km, en la información de topografía solo se encuentra 3,5 km mas de topografía no se tiene la topografía correspondiente al paso urbano por Jamundí, Solicitamos publicar la informacion faltante</t>
  </si>
  <si>
    <t>Cuarto de datos -Plano de referencia de la topografía XREF_C02_C03 y Apéndice técnico 1 - Alcance del proyecto</t>
  </si>
  <si>
    <t xml:space="preserve">En la UF4 para el tramo Av. Bicentenario - Jamundí, en el informe de diseño geométrico dice: "Con el fin de no afectar a un cauce natural que discurre paralelo a la vía por el costado izquierdo en el sentido de avance kilométrico en la zona que se proyecta la glorieta (PR 104+260), se reducen los diámetros hasta adoptar un diámetro mínimo de la isleta central a 20 m y el diámetro del círculo inscrito a 40 m, que se consideran manejables para la funcionalidad que desempeñará la glorieta en cuestión". Al buscar la glorieta para verificar esta información no se encuentra en las carpetas del cuarto de datos. Se solicita suministrar la información. </t>
  </si>
  <si>
    <t>Cuarto de datos - carpeta A4111 Informe Diseño Geométrico UF4</t>
  </si>
  <si>
    <t>Para los pasos nacionales poblados dice: "El trazado y  la Franja debe dar Cumplimiento a la especificaciones de Ley 105 de 1993 y debe cumplir lo dispuesto en el POT municipal y contar con la aprobación de la autoridad municipal".  En el caso en que las viviendas que se encuentren a ambos lados de la vía no estén respetando las franjas pedidas por dicha ley, como será la forma de proceder? se deben llegar acuerdos con los municipios o se deben proponer las demoliciones que sean necesarias para dar cumplimiento a la ley? Favor aclarar  e informar si esta condicion fue tenida en cuenta para la valoracion predial, asi como para el monto de fondeo de la subcuenta de predios.</t>
  </si>
  <si>
    <t>Apéndice técnico 1 - Alcance del proyecto</t>
  </si>
  <si>
    <t xml:space="preserve">Apéndice Técnico 1 - Numeral 4,1 </t>
  </si>
  <si>
    <t>Tabla 12 , tabla 13, tabla 16, 24,  del apéndice técnico 1 y en los acápites del contrato que se menciones esa expresión</t>
  </si>
  <si>
    <t>Tabla 14 del apéndice técnico 1</t>
  </si>
  <si>
    <t>En la información del cuarto de datos no se encuentra planos  Planta - Perfil de los tramos de Puesta a Punto y Rehabilitación; de estos hay planos topográficos donde hay un alineamiento en planta pero no hay alineamiento vertical, carteras de rasante - peralte, ni secciones transversales para estos tramos. Solicitamos esta información.</t>
  </si>
  <si>
    <t>Cuarto de Datos - 
A112 PLANOS, A1232 ANEXO 2. DATOS GEOMETRICOS
A212 PLANOS, A2232 ANEXO 2. DATOS GEOMETRICOS</t>
  </si>
  <si>
    <t xml:space="preserve">Teniendo en cuenta que es  una concesión en operación, para realizar la estimación de cantidades de obra y presupuesto relacionado con interferencias y relocalización de redes húmedas, es necesario conocer la infraestructura existente sobre los corredores de las unidades funcionales. ¿La ANI cuenta y entregará oficialmente  la información que tienen las ESP de los municipios y centros poblados afectados por el proyecto, de catastro de redes, el diagnostico y proyectos de ampliación de acueducto y alcantarillado en los corredores de influencia de las unidades funcionales y los acuerdos realizados entre las ESP con la ANI o el concesionario actual, en el marco de la ley 1682 a la fecha?  </t>
  </si>
  <si>
    <t>Con el fin de articular el proyecto vial con aspectos de ordenamiento territorial, es necesario conocer si se tienen identificados proyectos urbanísticos, industriales o de infraestructura de servicios públicos, sobre los corredores viales que generen la necesidad de la expansión de la cobertura de redes de acueducto y alcantarillado de los municipios o que puedan interferir con el trazado del corredor vial. ¿Se va entregar de manera oficial la identificación de estos proyectos ?</t>
  </si>
  <si>
    <t xml:space="preserve">En la revisión efectuada a los formularios se pudo evidenciar que los Ítems con respecto a las redes húmedas  se indican de manera muy general. La ANI dispone de formularios de redes húmedas y secas mas detallados para cada una de las unidades funcionales? </t>
  </si>
  <si>
    <t>¿En los Tramos donde solo se propone Puesta a Punto y/o rehabilitación, se puede asumir que ya hubo relocalización o protección de redes de servicios, por lo tanto la nueva concesión no tendrá que hacer intervenciones?. Por lo tanto en caso de que las ESP en tengan proyectadas intervenciones en estas zonas, las harán con los permisos del concesionario y con cargo economico a las empresas prestadoras de servicios publicos. Favor confirmar que nuestro entendimiento es correcto.</t>
  </si>
  <si>
    <t>Solicitamos publicar la totalidad de informacion de redes humedas , secas y electromecanicas de las obras a ejecutar en las zonas urbanas de palmira (Interseccion versalles y interseccion Sameco) y avendida bicentenario , pues hay varias carpetas vacias</t>
  </si>
  <si>
    <t>En el cuarto de datos no esta el capitulo VII del estudio hidrológico, hidráulico y de socavación de la vía Villa Rica-Caloto, ¿Es posible que la ANI suministre esta información?, esta información se considera importante toda vez que sirve para cuantificar la cantidad de obras de drenajes o puentes necesarios en el proyecto, su magnitud y costos</t>
  </si>
  <si>
    <t xml:space="preserve">capitulo VII </t>
  </si>
  <si>
    <t>En le cuarto de datos no hay información de los históricos de los índices del estado de las obras de drenaje y puentes levantados por la interventoría de la concesión anterior, los cuales permiten conocer cuales son las zonas de la vía con problemas hidráulicos históricos y recurrentes, ¿Es posible que la ANI suministre dicha información para que así pueda garantizar que todos los oferentes tengan un conocimiento histórico del proyecto, y sus puntos críticos?</t>
  </si>
  <si>
    <t>Las carpetas H3, H5, H615, H616 están vacías en el cuarto de datos, estas carpetas son las que contienen los inventarios de las obras de drenaje, cunetas y filtros de varios tramos según el índice. Es necesario que la ANI ubique esta información en el cuarto de datos.</t>
  </si>
  <si>
    <t>H3, H5, H615, H616</t>
  </si>
  <si>
    <t xml:space="preserve">Se le solicita a la ANI la información que tenga de los análisis del estado estructural y geotécnico, y el análisis de socavación o agradación de todas las obras de drenaje, con el fin de tener una cuantificación adecuada de la cantidad de obras de drenaje a intervenir, este tema es especialmente relevante para los box culvert y puentes.  Esto es importante porque la información  de hidráulica de cuarto de datos no tiene un nivel de detalle adecuado con el cual se pueda saber en todas las obras hidráulicas (puentes, box culvert, alcantarillas y canales), el estados estructural de estas (patologías), si tienen problemas de asentamientos o no, y/o problemas de erosión o depositación, situación que genera un riesgo adicional toda vez que esto puede incidir en obras adicionales, y en diseños adicionales que aumentarían los costos, posibles permisos ambientales adicionales, y compras de predios que no se cuantificaron.  Por lo anterior, todo el proyecto se podría atrasar por dichas situaciones. </t>
  </si>
  <si>
    <t>Se le solicita a la ANI publicar la cantidad de estructuras hidráulicas existentes y los inventarios de las que tienen problemas estructurales, geotécnicos o hidráulicos con el fin de poder cuantificar el número de obras a reemplazar, mejorar o que necesitan algún mantenimiento y de que tipo.</t>
  </si>
  <si>
    <t>¿La ANI, cuenta con una matriz de unidades sociales para cada una de las Unidades Funcionales? Dicha información se requiere para evaluar de manera cuantitativa y cualitativa las unidades sociales afectadas a lo largo de los tramos de los corredores viales de cada una de las Unidades Funcionales, debido a que es la base para realizar la interpretación de la información dentro de la caracterización socioeconómica y el plan de compensación socioeconómico.</t>
  </si>
  <si>
    <t>¿Se cuenta con las evidencias (actas, registros de asistencia, registro fotográfico y de inquietudes) de las socializaciones y/o reuniones realizadas con las unidades territoriales de las áreas de influencia de cada una de las Unidades Funcionales?</t>
  </si>
  <si>
    <t xml:space="preserve">¿Se cuenta con los instrumentos socioeconómicos que se utilizaron para la caracterización de las unidades territoriales de las áreas de influencia de cada una de las Unidades Funcionales? </t>
  </si>
  <si>
    <t>¿La ANI, cuenta con una matriz de comunidades étnicas para cada una de las Unidades Funcionales? Dicha información se requiere para obtener información cuantitativa y cualitativa de comunidades étnicas asentadas a lo largo de los tramos del Corredor vial, que sirva como base para realizar la caracterización de estas comunidades negras?</t>
  </si>
  <si>
    <t>¿Existen "comunidades negras" sin la titulación de sus tierras  como "consejo comunitario", pero que estén asentadas en el área de influencia, ocupando de manera regular y permanente el territorio pudiendo tener el derecho fundamental a ser consultadas?</t>
  </si>
  <si>
    <t>¿Se tienen conocimiento de existencia de comunidades étnicas en proceso de reconocimiento por parte del Ministerio del Interior?</t>
  </si>
  <si>
    <t>Dentro de los procesos de participación comunitaria, las comunidades étnicas de acuerdo a su cosmovisión no disponen de tiempos para dichos procesos, ni existen modelos que permitan evaluar los costos de los acuerdos. ¿Quién asume los costos de los acuerdos que estén por fuera de lo presupuestado y tiempos adicionales a causa de este proceso de participación social?</t>
  </si>
  <si>
    <t>En caso de que se tenga presencia de comunidades étnicas no precisadas en el cuarto de información de referencia. ¿La ANI asumirá el reconocimiento de los costos asociados a la gestión de dichos tramites y proceso de participación?</t>
  </si>
  <si>
    <t>¿Existe un cronograma de compensaciones económicas, según lo acordado en el proceso de Consulta previa con los consejos comunitarios?</t>
  </si>
  <si>
    <t>Además de las actas de Pre Consulta y talleres de impactos ¿Se cuenta con evidencias de registro fotográfico y/o fílmico, registro de preguntas, entre otros, de las reuniones y talleres realizados con los consejos comunitarios?</t>
  </si>
  <si>
    <t>En el cuarto de información de referencia de la ANI la Unidad Funcional 3 y la Unidad Funcional 5 no presentan términos ICANH. ¿En este caso se requiere aplicar el Programa de Arqueología Preventiva a todas las Unidades Funcionales o sólo a las que mencionan los términos del ICANH?</t>
  </si>
  <si>
    <t>¿El proyecto será otorgado a un único concesionario o cada Unidad Funcional  tendrá su propia concesionario?</t>
  </si>
  <si>
    <t>Debido a que la ejecución del Plan de Manejo Arqueológico depende de los resultados de la fase de diagnóstico y prospección. Si se presentan costos adicionales y mayores tiempos ¿La ANI realizará el reconocimiento al concesionario del adicional en costos y tiempo?</t>
  </si>
  <si>
    <t>¿El plazo de los tres primeros meses a partir del desarrollo del contrato para ejecutar la rehabilitación de las vías existentes (pag.36 numeral 6.2 apéndice 1 - Alcance) es modificable? Lo anterior, en función de los tiempos reglamentarios de los estudios base y de las  solicitudes de los tramites ambientales,  permisos ambientales y tramites con otras autoridades.</t>
  </si>
  <si>
    <t>¿Para la ejecución de las obras del proyecto dentro del alcance se contemplan los plazos para la elaboración y presentación de estudios ambientales necesarios para solicitar los permisos y/o licencias ambientales ante la autoridad ambiental?</t>
  </si>
  <si>
    <t>¿Cuál es el estado actual de las solicitudes de permisos ambientales para cada una de las unidades funcionales? En  el cuarto de información de referencia se encuentran algunos estudios elaborados desde 2017 con sus respectivos cálculos y solicitudes de demanda de recursos naturales, sin embargo, no se encuentra la respuesta de la autoridad.  (captaciones, vertimientos, ocupaciones de cauce y emisiones).</t>
  </si>
  <si>
    <t>Dentro de los tramites de licencia ambiental se debe realizar el análisis de superposición de Proyectos, ¿Los costos de negociación para viabilizar de manera conjunta las actividades económicas compatibles y aquellas incompatibles serán reconocidos por la ANI?</t>
  </si>
  <si>
    <t>La Unidad Funcional 1 no presenta la información SIG bajo los estándares de la "Metodología General para la Elaboración y Presentación de Estudios Ambientales-Numeral 4.2". Se presentan archivos tipo MXD pero no se presentan las GDB de cartografía temática, base y de intermedios para alimentar dichos archivos. Solo se observan salidas graficas tipo *.JPG y *.PDF. ¿La ANI cuenta con el modelo de datos actualizado y completo del dicha unidad funcional?</t>
  </si>
  <si>
    <t>La Unidad Funcional 2 no presenta la información SIG bajo los estándares de la "Metodología General para la Elaboración y Presentación de Estudios Ambientales-Numeral 4.2". Se presentan archivos tipo MXD pero no se presentan las GDB de cartografía temática, base y de intermedios para alimentar dichos archivos. Solo se observan salidas graficas tipo *.JPG y *.PDF. ¿La ANI cuenta con el modelo de datos actualizado y completo  del dicha unidad funcional?</t>
  </si>
  <si>
    <t>La Unidad Funcional 3 no presenta la información SIG bajo los estándares de la "Metodología General para la Elaboración y Presentación de Estudios Ambientales-Numeral 4.2". Se presenta GDB de cartografía temática, la GDB “Cobertura_Corredor2.gdb” está corrupta, por lo cual no se puede ingresar a revisar la información almacenada en ella. La GDB temática está bajo la Resolución 2182 de 2016. ¿La ANI cuenta con el modelo de datos actualizado y completo del dicha unidad funcional?</t>
  </si>
  <si>
    <t>La Unidad Funcional  4 no presenta la información SIG bajo los estándares de la "Metodología General para la Elaboración y Presentación de Estudios Ambientales-Numeral 4.2". Se presenta la GDB "C3_Ye_de_Villa_Rica_Hasta_Paso_de_la_Bolsa.gdb", pero esta no tiene información de zonificaciones, predial, aprovechamientos forestales etc. ¿La ANI cuenta con el modelo de datos actualizado y completo del dicha unidad funcional?</t>
  </si>
  <si>
    <t>La Unidad Funcional 5 no presenta la información SIG bajo los estándares de la "Metodología General para la Elaboración y Presentación de Estudios Ambientales-Numeral 4.2". Solo se observan salidas graficas tipo *.JPG y *.PDF. No se presentan archivos tipo MXD ni las GDB de cartografía temática, base y de intermedios para revisar la información cartográfica. ¿La ANI cuenta con el modelo de datos actualizado y completo del dicha unidad funcional?</t>
  </si>
  <si>
    <t>En las Unidades Funcionales donde se deban realizar compensaciones ambientales por pérdida de biodiversidad ¿La ANI tiene contemplado dónde y cómo se van a realizar dichas compensaciones?</t>
  </si>
  <si>
    <t>En los PAGA se menciona que sólo se requerirá el trámite de permiso de aprovechamiento forestal en caso de que se identifique la necesidad de remover o intervenir especies arbóreas y/o que el volumen a remover sea superior a los 20 m3.¿La ANI tiene identificadas y caracterizadas en qué Unidades Funcionales se deberán adelantar los trámites de aprovechamiento forestal y/o levantamiento de veda?</t>
  </si>
  <si>
    <t xml:space="preserve">En todas las Unidades Funcionales se contempla la construcción de vías, sin embargo, no se menciona en los documentos revisados si existen áreas protegidas que requieran trámites de sustracción de reserva. ¿ La ANI podría aclarar si en los diseños presentados dentro de el cuarto de información de referencia tendrán intervención en áreas protegidas? </t>
  </si>
  <si>
    <t>Revisando los PAGA, se evidencia que no se llevaron a cabo caracterizaciones de las comunidades hidrobiológicas en las Unidades Funcionales. ¿La ANI tiene información relacionada con la composición taxonómica de este grupo en el área de influencia de cada una de las Unidades Funcionales?</t>
  </si>
  <si>
    <t>¿ La ANI cuenta con las bases de datos de las caracterizaciones del componente biótico?</t>
  </si>
  <si>
    <t>Se solicita confirmar que el diseño estructural de las obras nuevas (puentes vehiculares y peatonales, muros de contención, y obras de drenaje), se realizará bajo los parámetros del CCP-14, y si este mismo código será tomado como base para la revisión de las obras existentes.</t>
  </si>
  <si>
    <t>De acuerdo a lo identificado en la información incluida en el cuarto de datos en la Carpeta D, se evidencia que el inventario de cantidades tan solo se presenta para las estructuras correspondientes a la Unidad Funcional 1. Se solicita confirmar que solo la unidad Funcional 1 cuenta con una valoración de su intervención en términos de cantidades. Se entendería entonces, que las unidades  funcionales 2, 4 y 5, aún no se encuentran valoradas sus intervenciones en términos de cantidades.</t>
  </si>
  <si>
    <t xml:space="preserve">Se solicita aclarar y precisar que se pretende con lo mencionado en términos de “Durabilidad” en el informe Estudio de Puentes, Pontones y Viaductos – Corredor 1 (volumen VII-referencia: D2111), numeral 3 (ver imagen), referente a que los análisis, diseños y construcción, para puentes nuevos deben garantizar que los materiales poseen una durabilidad de 100 años. 
</t>
  </si>
  <si>
    <t>En la revisión de la información incluida en el cuarto de datos, no se evidencio la existencia de planos de diseño estructurales y memorias de cálculo para puentes peatonales nuevos. Se solicita confirmar si dicha información será incluida en el cuarto de datos.</t>
  </si>
  <si>
    <t>H-H7-H7124-2  -  predio 001C-
H-H7-H713  -  ANEXOS FORMATO GCSP-F-124_ PEAJE PASO LA TORRE-
H-H7-H713-1  -  711-05-038861-2007 PERMISO VERTIMIENTOS TRAMO 5_ PEAJE PASO LA TORRE-
H-H7-H713-2  -  DT- VAL 45963 _OFICIO INVIAS A CORPORACIÓN_ TRAMO 5-
H-H7-H713-3  -  RESOLUCION 0711 No. 711 TRAMO 5 CONCESIÓN DE AGUAS_ PEAJE PASO LA TORRE-
H-H7-H713-4  -  UTDVVCC-P-EPU-532-2018_ NOTIFICACION CESION DE PERMISOS TRAMO 5-
H-H7-H714  -  PLANOS FORMATO GCSP-F-081_ INVENTARIO SISTEMA ELÉCTRICO (CARRETERO) -TRAMO 5-
H-H7-H714-1  -  1-INT A DESNIVEL SALIDA VAR YUMBO-
H-H7-H714-2  -  2-PEATONAL MATAPALO VAR YUMBO-
H-H7-H714-3  -  3-PTE VEHICULAR SOBRE RIO CAUCA-
H-H7-H714-4  -  4-INTERSECCION A DESNIVEL MULALO-
H-H7-H714-5  -  5-PEATONAL PELONGO-
H-H7-H714-6  -  6-PEATONAL SAN MARCOS-
H-H7-H714-7  -  7-PASO DEPRIMIDO VIJES-
H-H7-H714-8  -  8-PUENTE PEATONAL YOTOCO-
H-H7-H714-9  -  9- PUENTE PEATONAL YOTOCO-CARVAJAL-
H-H8-H81-8  -  8. GCSP-F-066 inventario puentes peatonales-
H-H8-H8129  -  Peatonal Acequia-
H-H8-H8130  -  Peatonal Aeropuerto-
H-H8-H8131  -  Peatonal Matapalo-
H-H8-H8133  -  Peatonal Tres Esquinas-</t>
  </si>
  <si>
    <t>Se solicita indicar si el gálibo mínimo vertical de todos los puentes peatonales será el especificado en el numeral 2.3.3 del CCP-14.</t>
  </si>
  <si>
    <t>Para la intersección Versalles, se solicita aclarar si la única solución estructural posible es el deprimido o si es posible considerar la solución para esta intersección mediante un puente elevado.</t>
  </si>
  <si>
    <t>Si bien se incluye en la carpeta “D” del cuarto de datos, la información correspondiente a Fichas SIPUCOL, encontramos que solo se suministran para algunos puentes existentes. Se solicita a la ANI, el inventario y las fichas de inspección visual de todos los puentes peatonales y vehiculares existentes, de acuerdo con lo establecido en el SISTEMA DE ADMINISTRACIÓN DE PUENTES COLOMBIANOS – SIPUCOL;  así mismo, un listado general de obras existentes que incluya las fechas de construcción y de la última inspección realizada.</t>
  </si>
  <si>
    <t>Cuarto de datos Carpeta  D.  Puentes</t>
  </si>
  <si>
    <t>Se solicita a la ANI los planos y memorias de cálculo de los puentes existentes, puesto que en los informes presentados en la carpeta “D” del cuarto de datos, se menciona que se tiene dicha información.</t>
  </si>
  <si>
    <t>En el Apéndice Técnco 1, numeral 3.1. vías se indica lo siguiente: 
“En los términos indicados en el presente Apéndice Técnico y en el Contrato, se encuentran incluidas dentro del Proyecto las vías existentes que se describen a continuación. En consecuencia, como se señala en la Parte General del Contrato, la Entrega de la Infraestructura de la ANI al concesionario se hará en el estado en que se encuentre, por lo que la siguiente información no genera obligación alguna a cargo de la ANI, ni servirá de base para observación o condicionamiento de cualquier tipo al momento de la entrega por pretendidas o reales diferencias entre la información que aquí se incluye y la real condición del Corredor del Proyecto:”
En el cuarto de datos no se encuentra un estudio del estado de las estructuras del proyecto que permita, que los proponentes tengan idea del “estado en que se encuentran” las estructuras, para de esta manera realizar un estimado de los costos de operación y mantenimiento, o en caso de las UF que tienen como alcance rehabilitación o puesta a punto, que permita estimar los costos de estas intervenciones tanto en el Capex como en el Opex. Por tanto, es necesario que se publique el estado de las estructuras, más allá de un registro fotográfico. 
En caso de que la ANI no cuente con la información, solicitamos nos indique cuales estudios considera la ANI que es necesario que los oferentes realicen para conocer el estado real de las estructuras, si existen problemas de socavación u otras patologías que pongan en riesgo la estabilidad de las mismas y que, por tanto, las actividades de operación y mantenimiento, o rehabilitación o puesta a punto que se han establecido, no sean suficientes.</t>
  </si>
  <si>
    <t>Capítulo VI del Apéndice técnico VI, numeral 6.3</t>
  </si>
  <si>
    <t>Cual es el alcance de los diseños y construcción del espacio publico sobre todo en zonas urbanas  , favor aclarar</t>
  </si>
  <si>
    <t>No se encontró información en el cuarto de datos en relación a este componente, las carpetas se encuentran vacías H21, H101-2, H101-3, H102312, H1213 y las subcarpetas de estas, se solicita publicar esta informacion</t>
  </si>
  <si>
    <t>H21, H101-2, H101-3, H102312, H1213</t>
  </si>
  <si>
    <t>Se solicita a titulo informativo y/o referencial y de carácter no vinculante del estructurador acerca de los costos de operación y mantenimiento.</t>
  </si>
  <si>
    <t>Se solicita a titulo informativo y/o referencial y de carácter no vinculante, la informacion de referencia asociada a la estimacion del capex de referencia del proyecto de concesion.</t>
  </si>
  <si>
    <t>En el Apéndice técnico 1 “Alcance del proyecto”, en la Tabla 14 “Obras Especiales”, se indica la Ampliación del Acceso al Estadio Monumental de Palmaseca de la siguiente manera: “Ampliación de la plataforma para la implementación de dos carriles adicionales que, con base al estudio de tránsito a desarrollar, permitan el correcto acceso/salida del estadio”. Sin embargo, no se detalla información de este tramo, en cuanto a longitud, inicio y final del tramo, de igual forma menciona dos carriles adicionales, lo cual se entendería como una nueva calzada y no se presentan estudios previos para este tramo. De acuerdo a lo anterior solicitamos la publicación de la informacion tecnica correspondiente por parte del Estructurador , indicando la ruta en el cuarto de datos , en donde ha sido almacenada.</t>
  </si>
  <si>
    <t>Apendice Tecnico 1 - Tabla 14</t>
  </si>
  <si>
    <t>En los informes de diseño geométrico y de pavimentos de la estructuradora para la variante el Bolo, no se evidencia de forma clara la localización de la variante. Se evidencia que hay una parte en afirmado y otra parte en terreno natural, sin embargo, no se especifica la longitud de construcción y la longitud de rehabilitación, de igual forma no se presentan estudios previos para este tramo. Soclitamos aclarar e inidcar especificamente la localizacion de la intervencion y los diseños geotecnicos y de pavimentos para las intervenciones tanto de construccion como de rehabilitacion.</t>
  </si>
  <si>
    <t>Cuarto de Datos - Informe de diseño Geometrico</t>
  </si>
  <si>
    <t>Se evidencian en los informes presentados por el estructurador, que no se ejecutó la medición del indicador E5 - Textura en ninguna de las unidades funcionales. Solicitamos suministrar dicha informacion para la totalidad de las vias  existentes que conforman el proyecto</t>
  </si>
  <si>
    <t>Cuarto de Datos - Carpeta H acta de reversion de la anterior concesion y carpeta C Estudios de Geotecnia y Pavimentos</t>
  </si>
  <si>
    <t>No se evidenciaron evaluaciones estructurales o funcionales de evaluación de pavimentos   en los tramos La Herradura - Matapalo, Villa Rica – Caloto. Se solicita suministrar dicha información</t>
  </si>
  <si>
    <t>En el Apéndice técnico 4 del contrato, para el Indicador E4 "Coeficiente de Fricción Transversal", no se especifica el intervalo de la medida de los valores puntuales. Solicitamos informar cual sera el intervalo de medida de lso valores puntuales</t>
  </si>
  <si>
    <t>Apendice Tecnico 4- Tabla 3</t>
  </si>
  <si>
    <t>CHUBB SEGUROS, 28/05/2020</t>
  </si>
  <si>
    <t xml:space="preserve">SE SOLICITA VALIDAR EL TERMINO EMPLEADO Y SUS EFECTOS   TENIENDO EN CUENTA QUE LA DECLARATORIA DE CADUCIDAD NO SE DERIVA O GENERA EN LA ETAPA PRECONTRACTUAL, NI DA LUGAR A QUE LA SERIEDAD DE LA OFERTA SE HAGA EFECTIVA. </t>
  </si>
  <si>
    <t xml:space="preserve">COBERTURAS DE LA GARANTÍA DE SERIEDAD DE LA OFERTA EL CUAL ESTABLECE QUE PARA HACER EFECTIVA LA GARANTIA BASTARA CON  LA PRESENTACION DE LA ANI DEL ACTO ADMINISTRATIVO EN EL CUAL SE DECLARE  EL SINIESTRO . </t>
  </si>
  <si>
    <t xml:space="preserve">CONDICIONES  CARÁCTER INDEMNIZATORIO DE LA GARANTÍA DE SERIEDAD DE LA OFERTA </t>
  </si>
  <si>
    <t xml:space="preserve">EXTENSION DE  LAS OBLIGACIONES DE LA ETAPA DE OPERACIÓN Y MANTENIMIENTO  EN LA ETAPA PREOPERATIVA RESPECTO A LA VIGENCIA DE LAS GARANTIAS </t>
  </si>
  <si>
    <t>APROBACION DE LAS GARANTIAS : ACLARAR LOS EVENTOS EN LOS CUALES HABRA LUGAR A LA DECLARATORIA DE CADUCIDAD DEL CONTRATO</t>
  </si>
  <si>
    <t>VIGENCIA DE ESTABILIDAD DE MANTENIMIENTO ETAPA DE REVERSION</t>
  </si>
  <si>
    <t>ACLARAR Y/O CONFIRMAR EL LIMITE DE RESPONSABILIDAD RESPECTO A ESTAS OBRAS DE INFRAESTRUCTURA PENDIENTES , LA ASUNCION DE LOS RIESGOS DEL CONTRATISTA Y EL EFECTO O COBERTURA REQUERIDO  RESPECTO A LAS MISMAS  EN LAS GARANTIAS</t>
  </si>
  <si>
    <t>RELACIONAR PLAZO DE LA ETAPA DE REVERSIÓN</t>
  </si>
  <si>
    <t xml:space="preserve">DEFINICION DE REVERSION ESPECIAL </t>
  </si>
  <si>
    <t xml:space="preserve">VIGENCIA DE AMPARO DE ESTABILIDAD DE LAS OBRAS ETAPA PREOPERATIVA </t>
  </si>
  <si>
    <t xml:space="preserve">VIGENCIA DE AMPARO DE CALIDAD DE LOS BIENES SUMINISTRADOS EN ETAPA PREOPERATIVA  </t>
  </si>
  <si>
    <t xml:space="preserve">VIGENCIA DE LA POLIZA DE RESPONSABILIDAD EXTRACONTRACTUAL  </t>
  </si>
  <si>
    <t>BBVA Valores, 28/05/2020</t>
  </si>
  <si>
    <t>Respecto a las obras menores descritas en la Parte General, respetuosamente solicitamos:
- Indicar cómo se espera fondear la subcuenta descrita en el numeral 3.14(h)(x)
- En caso de que el fondeo de la subcuenta sea responsabilidad del concesionario y se evidencien sobrecostos en la ejecución de las obras menores, por favor aclarar que se aplicarían los mecanismos de bandas dispuestos en el contrato para otros conceptos (como redes y predios, entre otros)</t>
  </si>
  <si>
    <t>Contrato de Concesión - Parte General Numeral 3.14(h)(x) "Subcuenta Obras Menores"</t>
  </si>
  <si>
    <t>Amablemente solicitamos sea incluido en Secop una hoja de cálculo con los aportes descritos en las secciones 4.4 y 4.5 de la Parte Especial del contrato. Adicionalmente, les agradeceríamos nos confirmaran el total de aportes previstos para las subcuentas de Policía de Carreteras y Obras Sociales, por cuanto la sumatoria de los aportes pareciera arrojar diferencias con los totales descritos (al transcibir la información reportada en el contrato a una hoja de cálculo estamos llegando a totales diferentes con respecto a lo reportado en dicho documento)</t>
  </si>
  <si>
    <t>Contrato de Concesión - Parte Especial Numeral 4.4 "Giros de Equity" y 4.5 "Fondeo de Subcuentas del Patrimonio Autónomo"</t>
  </si>
  <si>
    <t>Considerando, entre otros: i) el tamaño de los proyectos 5G, que implicará grandes financiaciones en pesos, ii) el reducido número de bancos que financian carreteras en Colombia, y iii) que los proyectos 5G tienen una estructura similar en términos de garantías y seguridades a los proyectos 4G; se solicita comedidamente al Gobierno Nacional, a través de la ANI, ampliar la aplicabilidad del Artículo 2.1.2.1.2 del Decreto 2555 de 2010 (Modificado por el artículo 1° del Decreto 0816 del 28 de abril de 2014) a proyectos 5G, de manera que los establecimientos de crédito puedan aumentar el porcentaje al que hace referencia el inciso primero del citado artículo hasta un veinticinco por ciento (25%) de su patrimonio técnico, siempre y cuando el exceso corresponda a financiación de proyectos de infraestructura de la quinta generación de concesiones viales (5G).  De no hacerse esta modificación, los adjudicatarios de proyectos podrían verse enfrentados a serias restricciones para el financiamiento de sus proyectos.</t>
  </si>
  <si>
    <t>Artículo 2.1.2.1.2 del Decreto 2555 de 2010 (Modificado por el artículo 1° del Decreto 0816 del 28 de abril de 2014)</t>
  </si>
  <si>
    <t>Credicorp Capital, 28/05/2020</t>
  </si>
  <si>
    <t>¿Por favor aclarar si los aportes a la Subcuenta Interventoría y Gestión deben ser efectuados también en la Etapa de Reversión?</t>
  </si>
  <si>
    <t>¿Se ha considerado un plan de mitigación frente a un potencial riesgo de disminución en el tráfico esperado como consecuencia de la coyuntura actual? Teniendo en cuenta que la coyuntura actual causada por el covid-19 podría tener un efecto adverso en el tráfico del proyecto y que la proyección del TPDA está basada en un estudio de tráfico y demanda de 2018, se propone actualizar el estudio de tráfico y utilizar la Subcuenta de Contingencias y/o Subcuenta de Depósito Especial como medida de mitigación frente al potencial diferencial del recaudo real y el proyectado</t>
  </si>
  <si>
    <t>Estudio de tráfico y demanda: cuarto de información de referencia, carpeta 0AI1. Subcuenta de Depósito Especial: Contrato Parte Especial, sección 4.5(h). Subcuenta de Contingencias: Contrato Parte Especial, sección 4.5(i)</t>
  </si>
  <si>
    <t>Dada la coyuntura actual y su efecto en la operación de los peajes a nivel nacional, ¿qué medidas se han planteado para manejar el riesgo de posibles suspensiones en los cobros de los peajes que puderan ser decretados por el  Gobierno?</t>
  </si>
  <si>
    <t>Anexo 22. Matriz de riesgos del proyecto</t>
  </si>
  <si>
    <t>En la sección 2.4 del Contrato General se describe que en caso de llegar al plazo del contrato, este se terminaría aún en el evento en el que el proyecto no logre alcanzar el VPIP. Por esto, se sugiere incluir la posibilidad de llevar a cabo un incremento en los plazos de ejecución en estos eventos, hasta alcanzar el VPIP contractual.</t>
  </si>
  <si>
    <t xml:space="preserve">Contrato General, sección 2.4 </t>
  </si>
  <si>
    <t>Solicitamos incluir la posibilidad de obtener la garantía de aportes de equity por parte de varios financiadores y no a través de uno solo</t>
  </si>
  <si>
    <t>Proyecto de Pliego de Condiciones, sección 4.3.6</t>
  </si>
  <si>
    <t>Respecto al Contrato Parte Especial donde hace referencia a la sección 3.14 (h)(iv)(2) del Contrato General, en cuanto a la cascada de fondeos, ¿cómo se distribuye dentro de las unidades funcionales en el mes que se termina de fondear la Subcuenta de Contigencias y queda un remanente? ¿Se fondearía otra vez la UF0 junto con las otras unidades funcionales? Esto debido a que el remanente se distribuiría de acuerdo al porcentaje de cada unidad funcional y sin tener en cuenta la UF0 la suma de los porcentajes de retribución no es igual a 100%</t>
  </si>
  <si>
    <t>Contrato Parte Especial, capítulo II. Hace referencia a la sección 3.14 (h)(iv)(2) del Contrato General</t>
  </si>
  <si>
    <t>Respecto a la sección 4.4 del Contrato Parte Especial, se propone ampliar el cronograma de los aportes de equiy para no concentrarlos en el primer año</t>
  </si>
  <si>
    <t>Contrato Parte Especial, sección 4.4</t>
  </si>
  <si>
    <t>De acuerdo a la sección 4.5 del Contrato Parte Especial, se plantea la posibilidad de ampliar el plazo del fondeo de la Subcuenta de Contingencias para no concentrar los aportes en el primer año</t>
  </si>
  <si>
    <t>Contrato Parte Especial, sección 4.5</t>
  </si>
  <si>
    <t xml:space="preserve">¿Por favor confirmar si el IVA de la obra en activos fijos productivos podrá ser deducido del impuesto a la renta, de acuerdo a los estipulado en el artículo 258-1 del Estatuto Tributario? </t>
  </si>
  <si>
    <t xml:space="preserve">Con respecto a las obras relacionadas con el Factor de Calidad asociadas a los tramos Villa Rica - Caloto (UF2) y La Herradura - Matapalo (UF1), solicitamos que la estructura de riesgos de estas obras se incluya de acuerdo a la asignación de riesgos general del proyecto establecida en la Matriz de Riesgos, ya que de acuerdo a nuestro entendimiento actualmente el 100% de los riesgos de estos tramos estarían asociados al privado. </t>
  </si>
  <si>
    <t>Contrato Parte Especial, sección 3.11                            Anexo 22. Matriz de riesgos del proyecto</t>
  </si>
  <si>
    <t xml:space="preserve">Respecto al VPIP, ¿el cálculo del valor presente se realiza sobre el recaudo del peaje en cada mes o sobre la retribución de las unidades funcionales (liberación de recursos cuando se realiza la entrega de cada unidad funcional)? </t>
  </si>
  <si>
    <t>Contrato General, sección 3.4</t>
  </si>
  <si>
    <t>¿Cómo ha sido el comportamiento histórico real de los riesgos prediales, redes y socioambientales? Por favor compartir la información disponible por la ANI con el fin de evaluar adecuadamente posibles riesgos de sobrecostos</t>
  </si>
  <si>
    <t>Se plantea la posibilidad de que el riesgo del Cierre Financiero sea compartido teniendo en cuenta la coyuntura actual y su efecto en la ejecución del proyecto, particularmente por los efectos que ha tenido la crisis sanitaria que atraviesa el país como consecuencia del COVID-19, y su efecto en el sistema financiero</t>
  </si>
  <si>
    <t>PAVIMENTOS COLOMBIA S.A.S., 28/05/2020</t>
  </si>
  <si>
    <t>Señala el Proyecto de Pliego de Condiciones:
(a)	El Oferente Individual o un Integrante de la Estructura Plural deberá adjuntar la certificación de un cupo de crédito específico para este Proceso 9 de Selección, el cual deberá cumplir las siguientes condiciones:
(b)	Una certificación de aprobación de cupo de crédito específico por una cuantía no inferior a Doscientos cincuenta y ocho mil trescientos millones ($258,300,000,000 ) Pesos del Mes de Referencia.
(c)	Debe ser presentado de conformidad con el Anexo 11 de este Pliego de Condiciones.
(d)	Ser otorgado por una vigencia no inferior a un año y medio contado a partir de Cierre de la presente Licitación, y/o hasta que se realicen los Giros de Equity de que trata la Sección 4.4 de la Parte Especial del Contrato de Concesión, previstos para los primeros doce meses de ejecución del mismo.  
(e)	Debe ser presentado con la Oferta. 
(f)	Debe estar suscrito por un representante legal de un Banco Aceptable o el líder de un grupo de Bancos Aceptables. 
(g)	Ser otorgado a cualquier miembro de la Estructura Plural o al Oferente individual. Máximo podrá aportarse un (1) cupo de crédito por Integrante de la Estructura Plural y dos (2) cupos de crédito en caso de Oferente Individual; y  
(h)	Con fecha de expedición no mayor a 60 Días Hábiles antes de la Fecha de Cierre de la Licitación”. 
Ahora bien, efectuada la revisión el Anexo 11 del proyecto de Pliego de Condiciones, se evidencia que este cupo de crédito es otorgado por la entidad financiera al proponente (en caso de ser individual) o a uno de sus integrantes, pero en ningún caso se hace mención a la posibilidad de que la ANI pueda hacer efectiva dicha garantía de forma tal, que realmente cumpla el propósito para el cual fue previsto e inclusive, que sea considerada por los futuros Prestamistas como una garantía de los aportes que deben ser realizados por los futuros accionistas en la SPV.
Considerando que el cupo de crédito, tiene por fin garantizar que se realicen los giros de equity estipulados en el contrato de concesión, solicitamos que el mismo pueda hacerse efectivo de manera directa por la ANI, ante el eventual incumplimiento del Concesionario, lo anterior con el fin de que el mismo no sea única y exclusivamente un requisito habilitante propio de la fase precontractual, sino que el mismo, facilite la consecución de la financiación al futuro adjudicatario al otorgarse de antemano, una garantía en la realización de los aportes de equity, con lo cual se cumpliría realmente el fin perseguido del mencionado requisito.</t>
  </si>
  <si>
    <t>PROYECTO DE PLIEGO DE CONDICIONES NUMERAL 4.3.6
CUPO DE CRÉDITO ESPECÍFICO</t>
  </si>
  <si>
    <t>Corredor del Proyecto: Considerando que la definición del corredor del proyecto en la Parte Especial de la Minuta del Contrato es muy sucinta y que en el Apéndice Técnico no se especifica de un perímetro de proyecto, solicitamos de manera expresa se aclare cuál es la delimitación del corredor del proyecto, incluida su declaratoria de utilidad pública, dado que esta es necesaria para poder saber hasta dónde actuar en la vigilancia por ocupaciones, mantenimiento, descoles etc.</t>
  </si>
  <si>
    <t>CONTRATO PARTE GENERAL 
CLÁUSULA 1.42</t>
  </si>
  <si>
    <t>Elusión: Considerando que el proyecto excluye de la elusión las Nuevas Vías según como estas se definen en la Parte General, solicitamos que la entidad ponga a disposición de los oferentes todos los POT, PBOT y los EOT aplicables al proyecto,  a efectos de poder determinar las vías excluidas del concepto de Elusión .
¿Aunado a lo anterior, si la no ubicación o recibo del peaje es por responsabilidad de la Entidad Concedente, por qué es el Concesionario quien debe demostrar la actividad de elusión, con estudios y soportes a su cargo?
Se presenta como riesgos de la ANI, los efectos desfavorables derivados de la Elusión por parte de los usuarios de los peajes, cuando se habilite el uso de Nuevas Vías Públicas no contempladas durante la fase de estructuración. ¿Cómo se definen claramente cuáles son estos proyectos? O inversamente, cuáles fueron las vías consideras por la ANI en su estructuración como Nuevas Vías y por tanto están excluidas del riesgo de Elusión?</t>
  </si>
  <si>
    <t>CONTRATO PARTE GENERAL
CLÁUSULA 1.55</t>
  </si>
  <si>
    <t>Subcuenta de Tiquetes Prepagados: Solicitamos se precise en los apéndices del Contrato cuál es la obligación contractual en torno a la implementación de tiquetes Prepagados y cuáles son las especiaciones y/o disposiciones técnicas aplicables a los mismos, expedidas por el Ministerio de Transporte y/o autoridades similares.</t>
  </si>
  <si>
    <t>CONTRATO PARTE GENERAL
CLÁUSULA 1.188</t>
  </si>
  <si>
    <t xml:space="preserve">Financiera Técnica </t>
  </si>
  <si>
    <t>Plazo del Contrato: Solicitamos que la estructuración del proyecto contemple todo lo pertinente a la garantía de ingresos, tales como el soporte de ingresos a que hace alusión la definición 1.165 Soporte de Ingresos SI., máxime si se tiene presente que existe un alto riesgo de incertidumbre en lo pertinente al comportamiento del riesgo comercial o riesgo de demanda, en donde independientemente de que se levanten las medidas relacionadas con el aislamiento preventivo obligatorio, el comportamiento de los usuarios y sus prácticas de viaje pueden tener una variación sustancial, totalmente imprevisible y no consistente con los históricos de tráfico en del país.</t>
  </si>
  <si>
    <t>CONTRATO PARTE GENERAL
CLÁUSULA 2.4</t>
  </si>
  <si>
    <t>En uno de sus apartes indica que con la subcuenta Socio ambiental no se pueden pagar pasivos ambientales, este proyecto hereda varias licencias con varios pasivos de donde se debe sacar el valor para pagar los pasivos ambientales no generados por el concesionario, sino aquellos derivados de licencias y permisos ambientales otorgados con anterioridad? ¿O debe entenderse que la eventual cesión de las licencias en ningún caso involucrará la cesión de los pasivos ambientales generados de manera previa? Favor confirmar.</t>
  </si>
  <si>
    <t>CONTRATO PARTE GENERAL
CLÁUSULA 3.14</t>
  </si>
  <si>
    <t>Subcuenta ANI, A efectos de realizar los alivios de caja pertinentes, muy respetuosamente se propone que los fondeos resultantes de los Giros de Equity para esta subcuenta se hagan semestre anticipado y no año anticipado.</t>
  </si>
  <si>
    <t>Esta cláusula señala “En el evento que, el valor mínimo del aporte a la Subcuenta Interventoría y Coordinación descrito en la Parte Especial, por causas no imputables al Concesionario sea insuficiente para atender los reconocimientos destinados a la atención de los pagos al Interventor y al Equipo de Coordinación y Seguimiento del Contrato, los recursos adicionales serán aportados oportunamente y cuando se necesiten por el Concesionario, con previa aprobación de la ANI”, solicitamos se precise la tasa a  la ANI reconocerá al Concesionario la realización de esta financiación y fondeo adicional, el plazo y el procedimiento para el retorno de estos recursos al Concesionario.</t>
  </si>
  <si>
    <t>CONTRATO PARTE GENERAL
CLÁUSULA 3.14, (v) (9)</t>
  </si>
  <si>
    <t>Señala la Cláusula: “Los recursos disponibles en la Subcuenta MASC serán de monto agotable y se destinarán a la atención de los pagos al Amigable Componedor del Contrato y de los gastos administrativos y secretariales del mecanismo, exclusivamente en la porción a cargo de la ANI, que será equivalente al cincuenta por ciento (50%) de la suma correspondiente por dichos conceptos. Los costos y gastos en que incurra el Concesionario en la convocatoria del mecanismo de Amigable Composición serán asumidos en su totalidad por el Concesionario y no harán parte del concepto de gasto de la Subcuenta MASC”. Considerando que el Concesionario es quien fondea esta subcuenta, de la misma debería desembolsarse el 100% para pagar la totalidad de los costos en que se incurran, tanto por el Concesionario como por la ANI. Solicitamos hacer ajuste en la Minuta.</t>
  </si>
  <si>
    <t>CONTRATO PARTE GENERAL
CLÁUSULA 3.14, (vii) (2)</t>
  </si>
  <si>
    <t>Indica la Cláusula “Presentar a la ANI y al Interventor un Plan de Redes dentro del plazo señalado en la Parte Especial, garantizando el cumplimiento del Plan de Obras y los plazos máximos otorgados para la ejecución de las Intervenciones de cada Unidad Funcional descrito en la Parte Especial En todo caso, el Concesionario deberá entregar a la Interventoría, con copia a la ANI, a los dos (2) Meses siguientes a la Fecha de Inicio, un cronograma del traslado y/o intervención de Redes, que indique las actividades que desarrollará y los plazos previstos para su ejecución”. Considerando que a los dos meses de iniciado el contrato los diseños fase 3 no han obtenido la NO OBJECIÓN, por tanto, no se puede dimensionar la afectación de redes en el momento propuesto, no es posible hacer entrega del cronograma del traslado e intervención de redes. Solicitamos que su radicación se haga concomitante con el plan de redes indicado en la cláusula.</t>
  </si>
  <si>
    <t>CONTRATO PARTE GENERAL
CLÁUSULA 4.2 (P)</t>
  </si>
  <si>
    <t>Plazo adicional para el Concesionario sin sanciones: Solicitamos que el valor de pago en favor de la ANI que debe ser realizado por el concesionario (literal k) así como el fondeo en la Subcuenta Interventoría y Coordinación, en este evento se liquide solamente sobre los días adicionalmente utilizados fuera del plazo original y no los que inicialmente pudiera solicitar el Concesionario al momento de tramitar su solicitud, ya que los primeros pueden ser menores.</t>
  </si>
  <si>
    <t>CONTRATO PARTE GENERAL
CLÁUSULA 4.10</t>
  </si>
  <si>
    <t>Modificaciones y Adecuaciones a los Estudios de Factibilidad de Trazado y Diseño Geométrico: (b) Cuando los Estudios de Trazado y Diseño Geométrico que presente el Concesionario conforme a lo establecido en las Secciones 6.1 y 6.2 de esta Parte General, sobrepasen, excedan y/o se extiendan más allá del área de la franja de terreno del corredor vial del Proyecto que ha sido declarada de utilidad pública e interés social en los términos de la Sección 6.2(b) de esta Parte General, será obligación del Concesionario asumir los efectos favorables y/o desfavorables de dichas modificaciones, en cuanto al valor base de la modificación y a la totalidad de los riesgos, entiéndase la totalidad, como la sumatoria de los riesgos y/o la porción del riesgos a cargo del Concesionario más los riesgos y/o porción de riesgos a cargo de la ANI descritos en las Secciones 13.3(a), 13.3(b), 13.3(c) y 13.3(e) de esta Parte General, en cuanto a dicha modificación. Lo anterior salvo que dichas variaciones sean producto del trámite y/o el otorgamiento de la Licencia Ambiental solicitado por la Autoridad Estatal competente. Sin perjuicio de lo anterior, el Concesionario mantiene siempre la obligación de entregar las Intervenciones en los términos y condiciones establecidas en el Contrato, en cuanto a las Especificaciones Técnicas.  
Solicitamos que se precise que la asignación de riesgos no se altera, cuando el concesionario evidencie que existe una mejor alternativa técnica para el desarrollo del proyecto, ante lo cual, se debe tramitar la modificación de la Resolución de la línea de declaratoria de utilidad pública ante la ANI y la entidad debe proceder a su expedición.</t>
  </si>
  <si>
    <t>CONTRATO PARTE GENERAL
CLÁUSULA 6.1</t>
  </si>
  <si>
    <t>Seguridad e Higiene Industrial: ¿Están incluidos tanto el Capex como en el Opex los costos de los protocolos de bioseguridad y demás medidas resultantes de los cambios normativos que ha implementado el gobierno para el desarrollo de proyectos de infraestructura en el presupuesto de la Litación? Dónde pueden consultarse los protocolos base empleados creados por la ANI para su valoración? Dónde puede consultarse los documentos en donde la ANI documentó las variaciones de rendimientos, cambios en logística y cadenas de suministro, restricciones de movilización y demás circunstancias que impactan no solo el presupuesto, sino el cronograma de obras?</t>
  </si>
  <si>
    <t>CONTRATO PARTE GENERAL
CLÁUSULA 16.2</t>
  </si>
  <si>
    <t>Esta cláusula indica que la ANI asumirá “Parcialmente, los efectos favorables y/o desfavorables producto del acaecimiento de eventos no asegurables. Se refieren de manera exclusiva al daño emergente, derivado de actos de terrorismo, guerras o eventos que alteren el orden público, o hallazgos arqueológicos, de minas o yacimientos. Los efectos de este riesgo no podrán ser pagados a través del Fondo de Contingencias en la medida en que la asunción de este riesgo se realiza exclusivamente, en los términos de esta Parte General”. A qué se refiere con parcialmente, bajo el entendido que estos riesgos son 100% ANI, pues no pueden ser asignados al Concesionario y no son riesgos asegurables?</t>
  </si>
  <si>
    <t>CONTRATO PARTE GENERAL
CLÁUSULA 13.3 (x)</t>
  </si>
  <si>
    <t>Obras Menores ¿Cómo se diferencian los costos desarrollados por consultas previas que se remuneran como Obras Menores, de aquellos que se consideren como “Obras Sociales”?</t>
  </si>
  <si>
    <t>CONTRATO PARTE GENERAL
CLÁUSULA 19.1</t>
  </si>
  <si>
    <t>En la retribución especial, hay una situación injusta con el concesionario: sucede cuando una unidad funcional se ha terminado parcialmente y lo que falta por ejecutar obedece a que no se tiene disponibilidad de un predio, y en la gestión de ese predio se ha declarado la fuerza mayor predial, esta fuerza mayor no es responsabilidad del concesionario y por la no disponibilidad de dicho predio el concesionario no tiene la retribución completa, esto no debería ser así. Si la responsabilidad no es atribuible al concesionario la retribución debería ser del 100%.</t>
  </si>
  <si>
    <t>Evento Eximente de Responsabilidad. El plazo para responder los eventos eximentes por la parte convocada de 30 días hábiles es muy largo, dado los impactos que se generan para el proyecto. Se solicita reducirlo al menos a 30 días calendario.</t>
  </si>
  <si>
    <t>CONTRATO PARTE GENERAL 
CLÁUSULA 14.2</t>
  </si>
  <si>
    <t>Entrega de Infraestructura: dada la obligación del Concesionario de vigilar los derechos de vía (del AT 2 CLÁUSULA 3.3.11), la longitud del proyecto, solicitamos se confirme si en el cuarto de datos existe la totalidad de la información suficientemente detallada para que al momento de ofertar, los proponentes puedan establecer si existen lugares con afectación de derechos de vía que deban ser objeto de atención inmediata al momento de la entrega de la infraestructura concesionada.</t>
  </si>
  <si>
    <t xml:space="preserve">CONTRATO PARTE ESPECIAL 
CLÁUSULA 3.6  </t>
  </si>
  <si>
    <t>Estructura Tarifaria: no existe referencia sobre esta cláusula que corresponde a las tarifas especiales, tampoco existe referencia de tarifas especiales ni en la parte especial ni en el apéndice técnico uno. Es necesario que se defina claramente cuales estaciones de peaje tienen tarifa especial, que categorías contemplan tarifa especial, cual es el procedimiento para acceder a la tarifa especial, cuáles son los topes o fórmula de cálculo de los beneficiarios de la tarifa especial. 
Adicionalmente, en la minuta no existe ninguna referencia las tarifas de peajes, solamente en la presentación del estructurador del proyecto hace referencia a las tarifas de los peajes para lo cual presenta 7 categorías, hoy el operador de los peajes es un contratista INVIAS y solo se cobran 5 categorías, además hay diferencias entre en ambos respecto de las tarifas especiales. 
Por tanto, el cuadro tarifario de cada estación peaje debe quedar en la parte especial incluyendo las tarifas especiales.  
Finalmente, se requiere que la Parte Especial se especifique el valor del Fondo de Seguridad Vial para cada estación de peaje y cada categoría.</t>
  </si>
  <si>
    <t>CONTRATO PARTE ESPECIAL 
CLÁUSULA 4.2</t>
  </si>
  <si>
    <t>Estudio de Trafico y Demanda: Para las proyecciones de tráfico a considerar frente a las Nuevas Vías, se tienen las siguientes preguntas:
a)	¿El corredor Cali Candelaria se incluyó con las nuevas especificaciones de doble calzada para determinar las proyecciones de tráfico, dado que este es un corredor elusorio y gratuito que le quita tráfico al corredor de la Recta Cali Palmira (estaciones de peaje CIAT y Estambul)?
b) En las proyecciones de tráfico se proyectó el número de carros cañeros? Podría precisarse el estudio de tráfico cuanto número de ejes consideró?</t>
  </si>
  <si>
    <t>INFORMACIÓN TÉCNICA DE SOPORTE</t>
  </si>
  <si>
    <t>Alcance de la Intervenciones (iv) Puesta a Punto: Señala la cláusula enunciada: “Consistente en los alcances definidos en el concepto de Rehabilitación, junto con la actualización de la señalización a la normatividad vigente y la instalación y/o actualización de los sistemas ITS a lo dispuesto en los pliegos del contrato y la normatividad vigente, siempre cumpliendo con lo dispuesto en el presente Apéndice Técnico 1 y demás apéndices del contrato.” 
A fin de establecer el alcance de este tipo de intervenciones, solicitamos se precise:
a)	Debe realizarse algún tipo de acondicionamiento de forma tal que la infraestructura sea llevada a Ley 105 de 1993 o en términos generales, se mantienen las condiciones actuales y por tanto, se mantienen las condiciones técnicas al momento en que fueron construidas? 
Consecuentemente con lo anterior;
i	¿Todos los anchos de calzada, carril, ancho del corredor vial, márgenes, separador central, bermas interna y externa existentes de cada UF se mantienen?  No es necesario ejecutar ninguna ampliación? En el acta de entrega de la infraestructura se va entregar el inventario detallado de estas dimensiones? De ser negativa la respuesta, solicitamos que las mismas sean incorporadas en el Apéndice Técnico 1.
ii	¿Todas las curvas verticales y horizontales existentes de cada UF se mantienen o se mejoran a Ley 105 de 1993?
iii	¿Si una alcantarilla u obra hidráulica cumple con los caudales requeridos, pero no cumple la especificación de dimensión mínima a Ley 105 de 1993 debe demolerse y volver a construir?
iv	¿Todos los anchos de tablero de los pontones, puentes, puentes peatonales, viaductos y alcantarillas (de cabezal a cabezal) existentes de cada UF, se mantienen o se amplían a Ley 105 de 1993?
v	¿Todas las barandas y las juntas de los pontones, puentes y viaductos existentes de cada UF, se mantienen o se mejoran a Ley 105 de 1993? 
vi	Se debe diseñar e instalar fibra óptica a lo largo de todos los corredores. ¿Los sistemas de comunicación y los postes de SOS existente en cada una de las UF, se deben diseñar y construir el sobre ancho de la calzada de 1 m de ancho por 10 m de largo?
vii	¿Toda la señalización vertical y horizontal existente en cada una de las UF, debe renovarse así cumpla las especificaciones técnicas vigentes al momento del cierre?
viii	¿Para el cumplimiento del Indicador de IRI y otros indicadores, puede diseñarse y ejecutarse con el micro-fresado, whitetoping, mejoramiento de losas, lechadas o slurries?
ix	¿Una estructura que no esté cumpliendo especificaciones debe ser demolida o podría ser reforzada?
x	¿Todos los elementos de ITS existentes en cada una de las UF, debe renovarse así cumpla las especificaciones?
xi	¿Todos los puentes peatonales existentes en cada una de las UF, se deben mejorar sus rampas de acceso a Ley 105 de 1993 o quedan cómo están?
xii	¿Todos los elementos de contención y barreras existentes en cada una de las UF, deben renovarse así cumpla las especificaciones?
xiii	¿Todos los descoles de las alcantarillas existentes en cada una de las UF, deben mejorarse a Ley 105 de 1993 y llevar hasta los límites de los corredores viales?
xiv	¿Todas las instalaciones e infraestructura de las estaciones de peaje, pesaje, centros de control de operación y las áreas de servicio existentes en cada una de las UF, aunque cumplan las especificaciones deben demolerse y volverse a construir o instalar nuevos equipos?</t>
  </si>
  <si>
    <t>APÉNDICE TÉCNICO 1
CLÁUSULA 6.2</t>
  </si>
  <si>
    <t xml:space="preserve">FACTOR DE CALIDAD: Reconocemos la necesidad que la ANI estipule en el contrato: “La ANI ha puesto a disposición del Concesionario la información que tiene a su disposición en relación con el Proyecto. No obstante, lo anterior, la ANI manifiesta que no garantiza que tal información sea completa, adecuada o suficiente para la ejecución del Proyecto, siendo responsabilidad del Concesionario la realización de la debida diligencia sobre cada uno de estos aspectos”. 
Sin embargo, no existe información en el Cuarto de Datos que permita dimensionar el alcance de las dos intervenciones y poder ofertar el factor de calidad en cuento al mejoramiento de las vías La Herradura – Matapalo y Caloto. Según la Parte Especial se tendría que rectificar curvas para poder hacer el mejoramiento a la velocidad de diseño especificado en este apéndice, la definición de corredor existente es lo que existe de “cerca a cerca”, esto ocasionaría conflictos prediales en el diseño y construcción. Favor confirmar nuestro entendimiento.
Favor confirmar si el estudio de tráfico y mejoramiento incluyo las condiciones mejoradas de estas dos vías, dado que son totalmente vías elusoriás la primera sirve de elusión de la estación de peaje CIAT y la segunda de Elusión a la estación de peaje Villarrica.  </t>
  </si>
  <si>
    <t>APÉNDICE TÉCNICO 1
CLÁUSULA 7</t>
  </si>
  <si>
    <t>CONSULTAS PREVIAS: se requiere que la ANI incluya en el Cuarto de Datos, los expedientes completos de las tres consultas previas realizadas para poder dimensionar y presupuestar la gestión y la ejecución de los compromisos de dichas consultas, que estarán a cargo del nuevo Concesionario.</t>
  </si>
  <si>
    <t>APÉNDICE TÉCNICO 1
CLÁUSULA 9</t>
  </si>
  <si>
    <t>TALUDES Y REMOCIÓN DE DERRUMBES: Con esta Cláusula el Concesionario es responsable por la estabilidad de todos los taludes existentes de cada UF al igual que el mantenimiento de todas las estructuras de contención y manejo de aguas. Por favor precisar como esto fue considerado en CAPEX y OPEX del proyecto?</t>
  </si>
  <si>
    <t>APÉNDICE TÉCNICO 2
CLÁUSULA 6.3.7</t>
  </si>
  <si>
    <t>Directrices Generales de Mantenimiento: en el siguiente aparte de esta cláusula, se deben eliminar los siguientes apartes: “o la(s) que la sustituya(n), modifique(n), adicione(n) o derogue (en) durante la ejecución del Contrato” y “(según estas normas sean adicionadas o modificadas de tiempo en tiempo)” por ser de un alcance en valor de inversión de imposible previsión y calculo en las estructuras de los puentes.</t>
  </si>
  <si>
    <t>APÉNDICE TÉCNICO 2
CLÁUSULA 6.4</t>
  </si>
  <si>
    <t>El presupuesto de Opex considero solamente consideró dos  Ambulancias, Grúa Grande, Grúa Pequeña, Carro de Inspección y Carro-taller, que no es suficiente para atender las necesidades del corredor, se solicita que la entidad revise el OPEX e incluya la valoración de bienes adicionales para la prestación del servicio para atender 306 Kilómetros de corredores viales.</t>
  </si>
  <si>
    <t>APÉNDICE TÉCNICO 2 Y 4</t>
  </si>
  <si>
    <t>Redes: En la relación de las interferencias no se listan las afectaciones en los dos corredores del Factor de Calidad (La Herradura – Matapalo y La Y de Villa Rica – Caloto), por favor precisar, cuáles son las intervenciones previstas en esta zona en materia de redes de servicios públicos.</t>
  </si>
  <si>
    <t>APÉNDICE TÉCNICO 5</t>
  </si>
  <si>
    <t>Se debe aclarar exactamente cuáles son los indicadores que aplican para la etapa pre operativa. Si bien se establece que son aquellos identificados en el apéndice 4, en este último no está del todo claro cuáles son los aplicables, por lo que se requiere su adecuada desagregación.</t>
  </si>
  <si>
    <t xml:space="preserve">APÉNDICE TÉCNICO 4 </t>
  </si>
  <si>
    <t>Solicitamos se aclare que la aplicación de la sección 4.9 ampliación por eventos eximentes o causas imputables a la ANI, es sin perjuicio de la sección 14.1 es decir en estos casos también es procedente firmar acta de terminación parcial.</t>
  </si>
  <si>
    <t>CONTRATO PARTE GENERAL
CLÁUSULA 4.9</t>
  </si>
  <si>
    <t>Establecer que el plazo de cura por no terminación de las UF es del 20% del plazo inicial y no "hasta" el 20%.</t>
  </si>
  <si>
    <t>ACCIONA, 28/05/2020</t>
  </si>
  <si>
    <t>Se solicita tener acceso al Documento “Resolución de Peajes” nombrado en las Sección 3.3 de la Parte General y 4.2.a de la Parte Especial del Contrato, al igual que a las Tarifas actualmente vigentes en cada una de las 8 Estaciones de Peaje y que servirán de base para las actualizaciones por IPC sucesivas como indica la sección 4.2.b de la Parte Especial. En ese sentido se solicita incorporar en el Contrato una cláusula de confirmación de que las Tarifas actuales serán revisadas con el IPC en caso que la entrega de las Estaciones de Peaje se retrase más allá de 15-enero-2021 y años sucesivos</t>
  </si>
  <si>
    <t>Parte Especial y Parte General del contrato de concesión bajo el esquema de APP</t>
  </si>
  <si>
    <t>Durán &amp; Osorio Abogados, 28/05/2020</t>
  </si>
  <si>
    <t>Dentro de los parámetros definidos en el apendice, no se identifica la implementación de sobre anchos conforme al vehículo de diseño seleccionado. Se solicita a la entidad la aclaración del cumplimiento o no de este parametro, el cual incide directamente en el calculo de cantidades de obra</t>
  </si>
  <si>
    <t xml:space="preserve">APÉNDICE TÉCNICO 1 ALCANCE DEL PROYECTO / tablas caracteristicas geometricas de tramos de construcción </t>
  </si>
  <si>
    <t>La solución propuesta para la intersección de la Av. Centenario con la vía Ye de Villa - Rica Jamundí no soluciona todos los movimientos. Se solicita aclarar.</t>
  </si>
  <si>
    <t>APÉNDICE TÉCNICO 1 ALCANCE DEL PROYECTO / Unidad Funcional 3</t>
  </si>
  <si>
    <t>Tanto el trazado proyectado en la estructuración, como el apendice Tecnico 1,se define unicamente dos intersecciones. Sin embargo, el diseño del corredor se desarrolla por una zona rural, sub-urbana y urbana, intersectando con varias vías secundarias, terciarias y accesos a predios (Ej: K04+894, K12+068, K11+070). Se solicita a la entidad incluir dentro del alcance y presupuesto el total de intersecciones a nivel, desnivel, y accesos que realmente se requieren para dar una solución integral de conectividad a la zona en donde se desarrolla  la UF3. En caso contrario, se solicita a la entidad incluir dentro de sus riesgos, dado los sobre costos asociados a las soluciones de intersecciones y accesos adicionales que sean requeridos por la interventoría en la etapa de pre-construcción</t>
  </si>
  <si>
    <t>APÉNDICE TÉCNICO 1 ALCANCE DEL PROYECTO / Unidad Funcional 3 /Tabla 16 – Intersecciones que como mínimo debe intervenir el Concesionario UF3
CAPÍTULO XIII ECUACIÓN CONTRACTUAL Y ASIGNACIÓN DE RIESGOS
Contrato parte general capitulo 13.3 Riesgos de la ANI</t>
  </si>
  <si>
    <t>UF3. Se observa que en la abscisa K04+894 se propone un paso a desnivel sobre una vía existente. No obstante, dentro de los diseños no se incluye el diseño de los enlaces de conexión. Se solicita aclarar el alcance.</t>
  </si>
  <si>
    <t>El trazado proyectado en la estructuración no considera el análisis de velocidades especificas conforme a lo establecido a la normativa vigente (Manual de diseño geométrico de carreteras INVIAS 2008), lo anterior impacta directamente sobre los principales parámetros geométricos como lo son radios, peraltes, distancia de visibilidad de parada, longitud de las curvas verticales, distancia entre PIV, lo que obligará a un cambio de trazado desde la fase de pre-construcción. Se solicita a la entidad corregir la Tabla 15 dado  que se debe referir a la velocidad de Diseño de 80 km/h (Velocidad de todo el tramo homogéneo??), y no Velocidad de operación existente. En caso contrario  se solicita a la entidad incluir en los riesgos que los sobre costos asociados al cambio de diseño como resultado al  cumplimiento Tabla 15 – Características Geométricas y técnicas de Entrega para vías a cielo abierto UF3, sea asumido igualmente por la entidad</t>
  </si>
  <si>
    <t xml:space="preserve">APÉNDICE TÉCNICO 1 ALCANCE DEL PROYECTO / Unidad Funcional 3 /Tabla 15 – Características Geométricas y técnicas de Entrega para vías a cielo abierto UF3
CAPÍTULO XIII ECUACIÓN CONTRACTUAL Y ASIGNACIÓN DE RIESGOS
Contrato parte general capitulo 13.3 Riesgos de la ANI
</t>
  </si>
  <si>
    <t>Excepciones a la velocidad de Diseño (% respecto a la longitud del subsector), Se solicita a la entidad aclara si corresponde al 4% de la longitud del tramo, o por lo contrario a 4 km del tramo, de igual manera aclarar que Velocidad de diseño debe cumplir en ese tramo de exepción a Vd 80 km/h</t>
  </si>
  <si>
    <t xml:space="preserve">APÉNDICE TÉCNICO 1 ALCANCE DEL PROYECTO / Unidad Funcional 3 /Tabla 15 – Características Geométricas y técnicas de Entrega para vías a cielo abierto UF3
</t>
  </si>
  <si>
    <t>El trazado proyectado en la estructuración no considera el análisis de velocidades especificas conforme a lo establecido a la normativa vigente (Manual de diseño geométrico de carreteras INVIAS 2008), lo anterior impacta directamente sobre los principales parámetros geométricos como lo son radios, peraltes, distancia de visibilidad de parada, longitud de las curvas verticales, distancia entre PIV, lo que obligará a un cambio de trazado desde la fase de pre-construcción. Se solicita a la entidad corregir la Tabla 19 dado  que se debe referir a la velocidad de Diseño de 80 km/h (Velocidad de todo el tramo homogéneo??), y no Velocidad de operación existente. En caso contrario  se solicita a la entidad incluir en los riesgos que los sobre costos asociados como resultado al cambio de diseño por el  cumplimiento Tabla 19 – Características Geométricas y técnicas de Entrega para vías a cielo abierto UF4, sea asumido igualmente por la entidad.</t>
  </si>
  <si>
    <t xml:space="preserve">APÉNDICE TÉCNICO 1 ALCANCE DEL PROYECTO / Unidad Funcional 4 /Tabla 19 – Características Geométricas y técnicas de Entrega para vías a cielo abierto UF4
CAPÍTULO XIII ECUACIÓN CONTRACTUAL Y ASIGNACIÓN DE RIESGOS
Contrato parte general capitulo 13.3 Riesgos de la ANI
</t>
  </si>
  <si>
    <t>La Intersección Av. Bicentenario - Vía Ye de Villa Rica-Jamundí, no da solución de retornos sobre la doble calzada de la UF4. Se solicita a entidad establecer los retornos requeridos dentro del alcance y presupuesto</t>
  </si>
  <si>
    <t xml:space="preserve">APÉNDICE TÉCNICO 1 ALCANCE DEL PROYECTO / Unidad Funcional 4 /Tabla 19 – Características Geométricas y técnicas de Entrega para vías a cielo abierto UF4
</t>
  </si>
  <si>
    <t>Para el tramo Glorieta Cencar – Glorieta Las Américas el alcance corresponde a puesta a punto sobre la calzada existente. Construcción de la segunda calzada y mantenimiento periódico de la doble calzada. Sin embargo, de acuerdo al diseño dela estructuración para cumplir con los anchos de berma requeridos en el apéndice técnico es necesario ampliar la calzada existente (derecha) en algunos sectores, lo cual implica un mejoramiento. Se solicita a la entidad aclarar el tipo de intervención sobre este tramo</t>
  </si>
  <si>
    <t xml:space="preserve">APÉNDICE TÉCNICO 1 ALCANCE DEL PROYECTO / Unidad Funcional 5 
</t>
  </si>
  <si>
    <t>Velocidad de operación existente (Km/h), Se solicita a la entidad aclarar si esta corresponde a Velocidad de diseño. En ese caso se recomienda corregir en todas las tablas de caracteristicas geometricas</t>
  </si>
  <si>
    <t>APÉNDICE TÉCNICO 1 ALCANCE DEL PROYECTO / Unidad Funcional 5 / Tabla 23 – Características Geométricas y técnicas de Entrega para vías a cielo abierto UF5</t>
  </si>
  <si>
    <t xml:space="preserve">En la intervención prevista se precisa que corresponde a una rehabilitación y mejoramiento. Sin embargo, no se define con claridad que longitud corresponde a cada tipo intervención, se solicita a la entidad aclarar lo pertinente, considerando que desde el punto de vista geométrico un proyecto de rehabilitación dista significativamente de uno de mejoramiento. </t>
  </si>
  <si>
    <t>APÉNDICE TÉCNICO 1 ALCANCE DEL PROYECTO / Corredor Caloto - Villa Rica</t>
  </si>
  <si>
    <t>Si bien cita que la velocidad de operación del corredor existente es de 60 km/h, no se precisa cuál es la velocidad de diseño. Se solicita la aclaración a la entidad de lo pertinente.</t>
  </si>
  <si>
    <t>KMA CONSTRUCCIONES S.A.S., 28/05/2020</t>
  </si>
  <si>
    <t>De la manera mas atenta solicitamos a la entidad precisar si el proyecto actualmente cuenta con bases de Operaciones existentes.
Si la respuesta es negativa, comedidamente solicitamos precisar las características físicas que deben cumplir las bases de operaciones como parte del alcance en el desarrollo de actividades a realizar por parte del concesionario. Igualmente confirmar la ubicación de estas.
Si la respuesta es positiva y existen bases de operaciones, comedidamente solicitamos informar el alcance en las adecuaciones a realizar por parte del concesionario, y la ubicación de dichas bases de operaciones.
Finalmente, solicitamos precisar si la finalización de las obras asociadas a bases de operaciones son condiciones para la finalización de etapa de construcción de  la unidad funcional donde la misma se encuentra ubicada.</t>
  </si>
  <si>
    <t>Apendice Tecnico 1
Alcance del Proyecto
Apendice Tecnico 2 Condiciones para la operación y mantenimiento</t>
  </si>
  <si>
    <t>Entendemos que dentro del alcance de las obras que debe ejecutar el concesionario, no se encuentra contemplado ningún tipo de intervención en las bocacalles y/o conectantes acopladas con los diferentes pasos urbanos en los cuales el concesionario deberá realizar intervenciones de acuerdo con lo previsto en el Apéndice Tecnico 1. ¿Es correcto nuestro entendimiento?</t>
  </si>
  <si>
    <t>Apendice Tecnico 1
Alcance del Proyecto</t>
  </si>
  <si>
    <t>Dentro de las intervenciones a realizar por parte del Concesionario, se ha contemplado intervenciones en ciclorutas existentes a lo largo del proyecto.
De la manera más atenta solicitamos precisar:
1. Ubicaciones, longitudes y abscisas de las ciclorutas a intervenir.
2. Tipo de intervenciones a realizar sobre las ciclorutas. Las definiciones sobre: Puesta a punto, mantenimiento rutinario, mantenimiento, periódico, rehabilitación aplica para vías de automotores. Cuales serían las especificaciones para las intervenciones en ciclorutas.</t>
  </si>
  <si>
    <t>El numeral 4.1 del Apéndice Técnico, División por unidades funcionales – Tabla 5 – unidades funcionales del proyecto menciona una longitud de 59.91 km del tramo: Santander de Quilichao – Ye de Villa Rica – Intersección Candelaria – Intersección Acceso Sur Palmira – Intersección Cali-Palmira 3 (Palmira-El Cerrito) 
Comedidamente solicitamos a la entidad precisar que la longitud aproximadamente es de 64.71 km ya que la misma incluye el tramo: Intersección acceso sur palmira - Intersección Cali- Palmira 3 el cual tiene una longitud aproximada de 4.8 km</t>
  </si>
  <si>
    <t>El numeral 4.3 del Apéndice Técnico, Unidad funcional 2 – Tabla 11 – Características geométricas y técnicas para vías a cielo abierto UF2 menciona “Si” en su descripción “Iluminación” para el tramo Cali – Palmira.
Comedidamente solicitamos precisar:
1. Que diseño de iluminación debe presupuestar el concesionario a lo largo del tramo de aproximadamente 19.1 km (Iluminación en el separador en los sectores externos de la doble calzada).
2. Entendemos que la operación de la iluminación no es responsabilidad del concesionario por lo tanto los costos en operación asociados por consumo de alumbrado público y mantenimiento de la infraestructura no serán cubiertos por el concesionario. Únicamente el concesionario tendrá la obligación de construir la infraestructura asociada con la iluminación.</t>
  </si>
  <si>
    <t>Entendemos que la construcción de la segunda calzada entre Cali y Candelaria se encuentra actualmente en construcción. Frente a esta consideración solicitamos las siguientes aclaraciones:
1. Entendemos que la puesta a punto de este tramo no aplica como consecuencia de la vigencia de las pólizas de estabilidad que tendrá el corredor una vez termine su ejecución. 
Por favor confirmar nuestro entendimiento.
2. Para qué fecha se tiene prevista la finalización de las obras que actualmente se encuentran desarrollándose en el tramo Cali – Candelaria?</t>
  </si>
  <si>
    <t>Entendemos que dentro del alcance de obras que debe ejecutar el concesionario no se encuentra contemplado ningún tipo de intervención en espacio público o andenes en los diferentes pasos urbanos en los cuales el concesionario deberá realizar intervenciones de acuerdo con lo previsto en el Apéndice Tecnico 1. ¿Es correcto nuestro entendimiento?</t>
  </si>
  <si>
    <t>El documento Apendice Tecnico 1 menciona en la Nota 3 de la Tabla Numero 5 que todas las bahías de paraderos de transporte Publico existentes en los costados de la vía hacen parte de la misma y por tanto se tendrán las mismas obligaciones de intervención.
Con el animo de presupuestar en debida forma el proyecto comedidamente solicitamos:
1. Precisar el alcance de las intervenciones a desarrollar en los paraderos de transporte público.
2. Indicarnos si es responsabilidad del concesionario realizar operación y mantenimiento de la infraestructura y el mobiliario urbano asociados al paradero de transporte publico durante el periodo de concesión e indicar las actividades de operación y mantenimiento para las mismas</t>
  </si>
  <si>
    <t>El numeral 4.2 Unidad funcional 1 en su tabla 6 no define los requisitos técnicos específicos para los siguientes tramos:
1. Variante San Marcos
2. Variante Yotoco
3. Enlace de acceso a Vijes
Comedidamente solicitamos precisar los requisitos técnicos para los anteriores tramos.</t>
  </si>
  <si>
    <t>El numeral 4.3 Unidad Funcional 2 en su tabla 11 precisa los requisitos técnicos de los diferentes tramos de dicha UF.
Comedidamente solicitamos precisar el tramo Intersección Cali palmira 5 – Intersección acceso sur Palmira el cual no se encuentra contenido en dicha Tabla.
Igualmente, dentro del tramo Ye de Villarica – Intersección acceso Sur Palmira existe un tramo en doble calzada que no tiene su precisión correspondiente en la Tabla numero 11. Comedidamente solicitamos precisar este tramo.</t>
  </si>
  <si>
    <t>El numeral 4.7 Infraestructura de reversión especial menciona: “……a mas tardar para el cumplimiento de los procedimientos y fechas definidas en la sección 3.1..”
Comedidamente solicitamos corregir sección 3.1 a sección 3.10</t>
  </si>
  <si>
    <t>La Tabla 25 perteneciente al numeral 4.7 Infraestructura de reversión especial menciona para el tramo Palmira – Pradera como intervención prevista “Construcción de Doble Calzada”. Comedidamente solicitamos precisar que el alcance será el mejoramiento de la calzada existente y la construcción de una segunda calzada adosada a la existente.</t>
  </si>
  <si>
    <t>El numeral 5.1 subnumeral c) menciona: “el centro de control de operación debe entrar en operación tan pronto se inicie el contrato de concesión y deberá reformarse de acuerdo con el plan de obras”.
Comedidamente solicitamos precisar cuales son las condiciones mínimas que debe cumplir el centro de control de operación durante la etapa preoperativa.</t>
  </si>
  <si>
    <t>En concordancia con la observación anterior comedidamente solicitamos precisar cuáles son las condiciones mínimas que debe cumplir los siguientes elementos durante la etapa preoperativa:
1. Estaciones de Pesaje.
2. Áreas de Servicio
3. Sistemas de comunicación y postes SOS
4. Paneles LED (Avisos electrónicos inteligentes)</t>
  </si>
  <si>
    <t>Comedidamente solicitamos precisar si aplica o no aplica el mantenimiento rutinario de las vías existentes referentes a obras a Factor de Calidad e Infraestructura de reversión especial durante la etapa preoperativa.</t>
  </si>
  <si>
    <t>El Capitulo IX Obligaciones de Consultas previas menciona las diferentes obligaciones que debe acatar el concesionario para las UF3 y UF4 como consecuencia de los acuerdos alcanzados con las comunidades. Frente a estas obligaciones comedidamente solicitamos las siguientes precisiones:
1. Existe un Componente ambiental que prevé obligaciones específicas. Entendemos que estas obligaciones ambientales especificas que son resultado de los acuerdos aplican únicamente para la UF3 y UF4. Favor confirmar nuestro entendimiento.
2. Entendemos que todos los costos asociados al cumplimiento de las obligaciones por consultas previas serán pagados a través de la subcuenta de compensaciones socioambientales. Favor confirmar nuestro entendimiento.
3. Entendemos que cualquier construcción de obras civiles (Puentes peatonales, Locaciones, áreas de construcción, etc) asociados a los compromisos y acuerdos con las comunidades no serán requisito para la suscripción del acta de terminación de la etapa de construcción para las unidades funcionales donde se encuentran ubicadas dichas futuras obras. Favor Confirmar nuestro entendimiento</t>
  </si>
  <si>
    <t>Hacemos notar que en varios apartes del Contrato Parte Especial y Parte General enuncian una subcuenta compensaciones ambientales, sin embargo, entendemos que para este proyecto la subcuenta se denomina socioambiental, por tal motivo solicitamos precisar en los documentos.</t>
  </si>
  <si>
    <t>Contrato Parte General y Especial</t>
  </si>
  <si>
    <t>BACOSTA, 29/05200</t>
  </si>
  <si>
    <t xml:space="preserve">Quisiéramos saber donde se pueden consultar las observaciones realizadas al proceso que se menciona en el asunto de este correo. </t>
  </si>
  <si>
    <t>KMA CONSTRUCCIONES S.A.S., 3/06/2020</t>
  </si>
  <si>
    <t>El numeral 2.1 prevé en su subnumeral h) como servicio obligatorio: “Cercado de los predios que se encuentran en el corredor del proyecto y mantenimiento del cercado durante el término de la concesión.”
Entendemos que cercado nuevo aplicará únicamente para los predios que sean necesarios adquirir como consecuencia de actividades de construcción de nuevos tramos. Para el caso de vías existentes no será necesario realizar una nueva renovación del cercado existente.
Comedidamente solicitamos corroborar nuestro entendimiento.</t>
  </si>
  <si>
    <t>Apendice Tecnico 2 Condiciones para la operación y mantenimiento</t>
  </si>
  <si>
    <t>El numeral 3.1.8 supervisión de obras menciona: “… Sin perjuicio de las obligaciones de la interventoría en materia de supervisión, el Concesionario deberá evaluar de manera permanente el cumplimiento de los indicadores contenidos en el contrato, para lo cual efectuará sus propias verificaciones y mediciones.”
De la manera mas atenta solicitamos a la entidad precisar lo siguiente:
1. Numero de mediciones que deberá realizar el concesionario por indicador.
2. Tipología de mediciones a realizar
3. Frecuencia en el número de mediciones.
Lo anterior con el animo de presupuestar en debida forma esta actividad.</t>
  </si>
  <si>
    <t>El numeral 3.2.1 del Apendice tecnico 2 menciona: “El procedimiento para la entrega del manual de operación y su correspondiente revisión por parte de la Interventoría, será el establecido en la sección 9.5 del contrato parte General.”
El contrato parte General en su sección 9.5 menciona:
“ (a) Dentro de los treinta (30) Días siguientes a la Fecha de Inicio, el Concesionario deberá entregar al Interventor el Manual de Operación y Mantenimiento que cumpla con los términos del Apéndice Técnico 2 del Contrato.”
Comedidamente solicitamos ampliar el plazo para la elaboración del manual de operación a por lo menos sesenta (60) días calendario. Dicho manual es un documento de vital importancia para la ejecución de diferentes actividades por parte del concesionario. Su preparación y elaboración en tiempos adecuados permitirá contar con un documento idóneo para seguimiento y control.</t>
  </si>
  <si>
    <t>Apendice Tecnico 2 Condiciones para la operación y mantenimiento
Contrato parte General</t>
  </si>
  <si>
    <t>El subnumeral 3.3.3.2.3 Emisora de Radio menciona la metodología que debe cumplirse para prestar este servicio. Entendemos que la puesta en marcha y entrega de la emisora de radio de acuerdo con las especificaciones y alcances del apéndice tecnico 2 aplican para la etapa de Operación y Mantenimiento.
Comedidamente solicitamos confirmar nuestro entendimiento.</t>
  </si>
  <si>
    <t>El Subnumeral 3.3.4.1 Equipamiento Básico menciona en referencia a la infraestructura de los peajes:
“Además del equipamiento de cobro y control, el Concesionario deberá dotar a la Estación de Peaje con el equipamiento y los servicios públicos suficientes para sustentar su Operación, incluyendo la construcción de edificaciones de apoyo para servicios sanitarios y de descanso para el personal que trabaja en la Estación de Peaje, estacionamientos para los vehículos del Concesionario, oficinas, área para el manejo seguro de dinero y, espacios para la ubicación de equipos de computación que permitan el almacenaje y transmisión de datos, pero sin limitarse a ellos.”
Comedidamente solicitamos a la entidad precisar el alcance de las anteriores generalidades mediante los siguientes datos:
1. Áreas mínimas m2.
2. Numero de áreas mínimas que debe cumplir el concesionario.
2. Numero de edificaciones por tipología a cumplir.
Todo lo anterior para presupuestar en debida forma el proyecto.</t>
  </si>
  <si>
    <t>El Apendice Tecnico 2 en su subnumeral 3.3.4.3 Tecnología de cobro y control de tráfico menciona:
“Antes de la suscripción del Acta de Terminación de Unidad Funcional en la que se encuentra ubicada la correspondiente Estación de Peaje, el Concesionario deberá instalar al menos un carril para cobro automático en todas las Estaciones de Peaje de la(s) vía(s) de manera que se pueda hacer un recorrido completo utilizando este sistema de pago.”
Comedidamente solicitamos precisar si la instalación del carril para cobro automático aplica en cada sentido.
Adicionalmente resaltamos lo siguiente. En el Apendice Tecnico 1 Subnumeral 5.6 Estaciones de Peaje Nuevas se establece:
“No se requieren estaciones de peaje nuevas, sin embargo, debe adaptarse para las existentes un carril en cada sentido con el sistema de recaudo electrónico.”
Con base en las explicaciones de los dos apéndices técnicos entendemos que:
1. La incorporación de carriles para cobro automática podrá involucrar o la instalación de un nuevo carril y/o la adaptación de un carril existente.
2. Esta incorporación aplica por cada sentido de peaje.
Comedidamente solicitamos confirmar nuestro entendimiento.</t>
  </si>
  <si>
    <t>Apendice Tecnico 2 Condiciones para la operación y mantenimiento
Apendice Tecnico 1 Alcance del proyecto</t>
  </si>
  <si>
    <t>El apéndice tecnico 2 en subnumeral 3.3.4.3 establece:
“En el evento en que la ANI y/o INVIAS establezca una tecnología o estándar para el recaudo automático o semiautomático de peajes para todo el país, el Concesionario deberá participar de dicho estándar y adoptar la tecnología instalada en las Estaciones de Peaje de la(s) vía(s) objeto de la concesión a la normatividad que para el efecto se establezca, de conformidad con lo establecido en el numeral 8.3 de la Parte General del Contrato.”
El contrato parte general numeral 8.3 estipula: 
“En cualquier momento de ejecución del Contrato, el Concesionario deberá implementar el protocolo tecnológico para recaudo electrónico de Peajes que llegare a indicar la ANI. En el caso que esa implementación implique costos adicionales a los que corresponden a las obligaciones a cargo del Concesionario relacionadas con la adopción de tecnologías de recaudo previstas en este Contrato, particularmente en el Apéndice Técnico 2, la ANI asumirá los sobrecostos (entendido como la diferencia entre el costo de la implementación de las nuevas tecnologías y el costo previsto respecto de las obligaciones a cargo del Concesionario en este Contrato).”
Esta metodología redactada en el contrato parte general, aplica únicamente en el hipotético caso que el Concesionario no hubiese implementado o instalado las nuevas tecnologías de acuerdo con los lineamientos actuales del contrato. Comedidamente solicitamos precisar a la entidad la metodología de reconocimiento de sobrecostos en el hipotético caso de que la ANI obligue al concesionario de implementar un protocolo tecnológico para recaudo electrónico que no utilice o utilice parcialmente la tecnología ya implementada o instalada.</t>
  </si>
  <si>
    <t>El apéndice tecnico 2 en su numeral 3.3.5.1 Sistema de Control de Tráfico menciona:
“En cada Estación de Peaje, el Sistema de Control de Tráfico deberá contar al menos con los siguientes equipos: equipos de detección y sensores de pista (o carril); paneles de mensajes variables (al menos dos por cada área de peaje), de acuerdo con lo establecido en el numeral 2.9.1.8 de la Resolución 546 de 2018; equipos de monitoreo meteorológico; vehículos de inspección de tráfico; circuito cerrado de TV (CCTV); cámara panorámica, detectores de altura, y sistemas de control de velocidad, los cuales, en todo caso, obedecerán al soporte técnico del Estudio de Detalle respectivo.”
Con el ánimo de presupuestar en debida forma esta obligación, comedidamente solicitamos precisar:
1. Tipología de equipos a instalar.
2. Numero de equipos por tipología a instalar.
3. Especificaciones técnicas de los equipos que se pretenden instalar.
Las anteriores precisiones para: Estaciones de peaje, pesaje, áreas de servicio, etc.</t>
  </si>
  <si>
    <t>El apéndice tecnico 2 en su numeral 3.3.5.1 Sistema de Control de Tráfico menciona:
“Los equipos de control de tráfico deberán ser instalados en todas las Estaciones de Peaje y en otros puntos donde se requiera monitorear el tráfico, los cuales serán definidos conjuntamente por el Concesionario y la Interventoría.”
Con el animo de presupuestar en debida forma el proyecto comedidamente solicitamos precisar el número y ubicación de puntos adicionales para instalar sistemas de control de tráfico. Igualmente precisar el numero de equipos y sus tipologías a instalar en dichos puntos.</t>
  </si>
  <si>
    <t>El apéndice tecnico 2 en su numeral 3.3.5.1 Sistema de Control de Tráfico menciona:
“Además del equipo de control de velocidad que se entregará a la Policía de Carreteras, el Concesionario debe instalar, en los sitios críticos de la vía, un sistema de monitores de velocidad que le permita evaluar, para fines informativos propios de la Policía de Carreteras y de la ANI, velocidades promedio del tránsito de la(s) vía(s). Estos equipos consistirán en medidores de cantidad y flujo de vehículos por radar y cámaras equipadas para medir velocidad y toma de fotos de matrícula vía Esta información deberá ser entregada a la ANI cuando la requiera y como parte de los informes mensuales, y servirá como base para evaluar, de forma conjunta, la necesidad de instalar señalización adicional por parte del Concesionario o de movilizar a la Policía de Carreteras a zonas donde el riesgo de accidentes esté aumentando o de realizar algún tipo de intervención destinada a disuadir a los usuarios con respecto al exceso de velocidad. El número y localización de estos equipos obedecerá al Estudio técnico que el Concesionario realice.”
Entendemos que todas las obligaciones por parte del concesionario de instalar equipos adicionales a los contractuales y contractuales para la Policía de Carreteras establecidas en el párrafo mencionado con anterioridad, serán pagados con cargo a la subcuenta de Policía de Carreteras
Comedidamente solicitamos confirmar nuestro entendimiento.</t>
  </si>
  <si>
    <t>El apéndice tecnico 2 subnumeral 3.3.7 Seguridad Vial menciona:
“El Concesionario deberá identificar los sectores de la vía donde se presenta la circulación de peatones y ciclistas y disponer de las instalaciones que permitan el tránsito seguro de esos usuarios ya sea para atravesar la vía o transitar en forma paralela a la misma, así como la ubicación de escuelas, centros de salud u otras entidades que atraigan flujos peatonales con el objeto que se dispongan carriles de incorporación y salida, así como de las instalaciones necesarias que garanticen su integridad, como andenes, puentes y pasos peatonales protegidos.”
Con el animo de presupuestar en debida forma el proyecto para la presentación de una oferta, comedidamente solicitamos a la ANI precisar 
La ubicación, el número y la tipología de las instalaciones mencionadas con anterioridad, las cuales se encuentran resaltadas.</t>
  </si>
  <si>
    <t>El apéndice tecnico 2 subnumeral 6.3.4 Iluminación, menciona:
“El Concesionario se obliga a asegurar la adecuada iluminación de todas y cada una de las Estaciones de Pesaje, Estaciones de Peaje, Centros de Control de Operación, intersecciones a nivel y a desnivel, paraderos y pasos peatonales, y Áreas de Servicio de la(s) vía(s), con el fin de dar seguridad a la Operación en estos sitios.”
Dicho párrafo plantea la obligación de que el Concesionario instale iluminación de intersecciones a nivel, intersecciones a desnivel, paraderos y pasos peatonales. Sin embargo, de acuerdo con el apéndice Tecnico 1 Alcance de las obras, y las tablas correspondientes a la caracterización geométrica y técnica de dicho apéndice, la única obligación en términos de instalación de infraestructura para iluminación corresponde al tramo Cali – Palmira de la UF2. 
Entendemos que la única nueva infraestructura para iluminación adicional a la existente se instalará en el tramo mencionado en el apéndice tecnico 1 como Cali – Palmira de la UF2
Comedidamente solicitamos confirmar nuestro entendimiento.</t>
  </si>
  <si>
    <t>El Numeral 5.1 Sistema de Gestión de la seguridad vial menciona:
“El Concesionario deberá estructurar y aplicar un sistema de gestión de la seguridad vial – SGSV, que le permita la identificación, evaluación y priorización de los peligros que puedan afectar los distintos usuarios del Proyecto, de tal manera que se puedan poner en marcha medidas de Intervención apropiadas para reducir el riesgo a un nivel tan bajo como sea razonablemente posible.” 
Frente a la obligación mencionada con anterioridad comedidamente solicitamos a la entidad confirmar nuestro entendimiento:
1. Entendemos que el SGSV es un plan que aplica para todas las unidades funcionales incluyendo los tramos de reversión especial. Los únicos tramos exentos de este plan serán los tramos correspondientes a obras adicionales por Factor de Calidad. Comedidamente solicitamos confirmar nuestro entendimiento.
Igualmente solicitamos precisar a la entidad:
1. Cual es el plazo máximo para la presentación a Interventoría del SGSV y si el mismo deberá ser presentado de acuerdo con la etapa de ejecución del proyecto. Es decir, presentar un SGSV para la etapa preoperativa y un SGSV para la etapa operativa.
2. Entendemos que el SGSV para la etapa operativa no aplica para los tramos de reversión especial. Comedidamente solicitamos confirmar nuestro entendimiento</t>
  </si>
  <si>
    <t>Apéndice Tecnico 3. Especificaciones Generales</t>
  </si>
  <si>
    <t>COMPROMISO LEGAL, 4/06/2020</t>
  </si>
  <si>
    <t>Me presento, mi nombre es Guillermo Durán, soy el gerente de Compromiso Legal, empresa especializada en gestión predial.
Por solicitud de un grupo de proponentes interesados en el proyecto  Malla Vial del Valle del Cauca 5G, estamos estudiando la información de la estructuración en el cuarto de datos, sin embargo tenemos varias dudas al respecto.
Necesitamos contactarnos con la persona que esta al frente del proyecto por parte del estructurador ICEACSA, principalmente en la parte técnica y predial,  para poder resolver dudas y proceder a su estudio en campo.
Tenemos entendido que ellos brindan este acompañamiento y necesitamos reunirnos lo antes posible para poder resolver dudas y compartir información, ya que el tiempo para el cierre de la licitación esta muy encima.
No hemos podido contactarlos por la página web ni en sus oficinas ya que no están trabajando en su espacio físico.
Mi celular es 3004859217, estoy al tanto para lo pertinente.</t>
  </si>
  <si>
    <t>Seguros Mundial SA, 5/06/2020</t>
  </si>
  <si>
    <t xml:space="preserve">Minuta del contrato </t>
  </si>
  <si>
    <t xml:space="preserve">Pliego de Condiciones y Minuta Contractual </t>
  </si>
  <si>
    <t>Adecuar y modificar el pliego conforme a lo estipulado en el artículo 2.2.1.2.3.1.6. del Decreto 1082 de 2015 a saber: “Garantía de los Riesgos derivados del incumplimiento de la oferta. La garantía de seriedad de la oferta debe cubrir la sanción derivada del incumplimiento de la oferta, en los siguientes eventos: 1.    La no ampliación de la vigencia de la garantía de seriedad de la oferta cuando el plazo para la adjudicación o para suscribir el contrato es prorrogado, siempre que tal prórroga sea inferior a tres (3) meses. 2.    El retiro de la oferta después de vencido el plazo fijado para la presentación de las ofertas. 3.    La no suscripción del contrato sin justa causa por parte del adjudicatario. 4.    La falta de otorgamiento por parte del proponente seleccionado de la garantía de cumplimiento del contrato.”, así las cosas no es viable que la garantía de seriedad de la oferta se extienda a cubrir: “La no constitución del Contratista en los términos establecidos en el presente Pliego.” ni “El no cumplimiento de los requisitos previstos en el Contrato para la suscripción del Acta de Inicio de Ejecución
Esto en la medida que conforme a lo señalado en la cláusula 9.3.2 del proyecto de pliego de condiciones: “La no constitución del SPV en los plazos y términos indicados en este Pliego de 45 Condiciones, facultará a la ANI para hacer efectiva la Garantía de Seriedad de la 46 Oferta, a menos que dicho plazo sea prorrogado por la entidad.” Circunstancia que no se encuentra cubierta por la garantía de seriedad de la oferta conforme a lo señalado en el Decreto 1082 de 2015</t>
  </si>
  <si>
    <t xml:space="preserve"> Adecuar y modificar el pliego conforme a lo estipulado en el artículo 2.2.1.2.3.1.6. del Decreto 1082 de 2015 a saber: “Garantía de los Riesgos derivados del incumplimiento de la oferta. La garantía de seriedad de la oferta debe cubrir la sanción derivada del incumplimiento de la oferta, en los siguientes eventos: 1.    La no ampliación de la vigencia de la garantía de seriedad de la oferta cuando el plazo para la adjudicación o para suscribir el contrato es prorrogado, siempre que tal prórroga sea inferior a tres (3) meses. 2.    El retiro de la oferta después de vencido el plazo fijado para la presentación de las ofertas. 3.    La no suscripción del contrato sin justa causa por parte del adjudicatario. 4.    La falta de otorgamiento por parte del proponente seleccionado de la garantía de cumplimiento del contrato.”, así las cosas no es viable que la garantía de seriedad de la oferta se extienda a cubrir: “La no constitución del Contratista en los términos establecidos en el presente Pliego.” ni “El no cumplimiento de los requisitos previstos en el Contrato para la suscripción del Acta de Inicio de Ejecución.”
Esto en la medida que conforme a lo señalado en la cláusula 9.3.2 del proyecto de pliego de condiciones: “La no constitución del SPV en los plazos y términos indicados en este Pliego de 45 Condiciones, facultará a la ANI para hacer efectiva la Garantía de Seriedad de la 46 Oferta, a menos que dicho plazo sea prorrogado por la entidad.” Circunstancia que no se encuentra cubierta por la garantía de seriedad de la oferta conforme a lo señalado en el Decreto 1082 de 2015</t>
  </si>
  <si>
    <t>Piego de Condiciones</t>
  </si>
  <si>
    <t>En línea con las disposiciones generales establecidas en la Ley 1508 y sus Decretos reglamentarios y los documentos de política pública CONPES asociados a las mismas, uno de los elementos principales de las Asociaciones Públicos Privadas es la transferencia de riesgos del público al privado y enmarcada en esta transferencia el riesgo de construcción (en su totalidad) se considera un elemento de transferencia 100% al Privado  dado que es quien está en mejor capacidad de asumirlo. , la no consecución del mismo será el riesgo que tendrá que evaluar cada interesado en el proceso por lo que no se considera procedente su observación.</t>
  </si>
  <si>
    <t>En línea con las disposiciones generales establecidas en la Ley 1508, sus Decretos reglamentarios y los documentos de política pública CONPES asociados a las mismas, uno de los elementos principales de las Asociaciones Públicos Privadas es la transferencia de riesgos del público al privado, enmarcada en esta transferencia se encuentra el riesgo de construcción (en su totalidad) cuya transferencia está asigando 100% al Privado, por tal motivo la Entidad no considera  procedente su observación.</t>
  </si>
  <si>
    <t>Es importante resaltar que la Entrega de la Infraestructura  es una obligación de la ANI, con la cual se suscribirá el Acta de Inicio y, por tanto, dará inicio a la ejecución del Contrato que, de acuerdo con la Sección 2.3(b) del Contrato Parte General, será 30 días hábiles siguientes a la suscripción del mismo.
De igual forma el Contrato Parte Especial, en la Tabla de Referencias, Sección 2.3 (b (ix), establece lo siguiente, Para el presente Proyecto se exige como requisito adicional para la suscripción del Acta de Inicio o expedición de la Orden de Inicio del Contrato, la Entrega de la totalidad de la Infraestructura descrita en las Secciones 3.6 y 3.7 de esta Parte Especial .
De acuerdo a lo indicado anteriormente, los plazos contractuales, se encuentran planteados de tal forma que la entrega de la infraestructura se dé sin contratiempos, dicho lo anterior es responsabilidad del privado incluir dentro de sus estudios las estimaciones financieras asociadas el estado de la infraestructura, razón por la cual este riesgo deberá ser asumido por el, tal como se indica en la Sección 13.2 (a) (xvii del Contrato Parte General. Por tal motivo no es procedente su observación.</t>
  </si>
  <si>
    <t>En línea con las disposiciones generales establecidas en la Ley 1508, sus Decretos reglamentarios y los documentos de política pública CONPES asociados a las mismas, uno de los elementos principales de las Asociaciones Públicos Privadas es la transferencia de riesgos del público al privado, enmarcada en esta transferencia se encuentra el riesgo de construcción (en su totalidad) cuya transferencia está asigando 100% al Privado, por tal motivo la Entidad no considera procedente su observación.</t>
  </si>
  <si>
    <t>En línea con las disposiciones generales establecidas en la Ley 1508, sus Decretos reglamentarios y los documentos de política pública CONPES asociados a las mismas, uno de los elementos principales de las Asociaciones Públicos Privadas es la transferencia de riesgos del público al privado, enmarcada en esta transferencia se encuentra el riesgo de construcción (en su totalidad) cuya transferencia está asigando 100% al Privado.
Dicho lo anterior se debe tener presente que la ejecución de los estudios, diseños, obras e intervenciones son especialidad del Concesionario y por tanto es su  responsabilidad asumir los efectos frente a las variaciones en las cantidades de obra de operación y mantenimiento.  Por tal motivo la Entidad no considera  procedente su observación.</t>
  </si>
  <si>
    <t>No se considera procedente su observación toda vez que las actividades de control de evasión son facultativas del concesionario y no de temas de manejo público como establece la observación (ya que estos eventos constituyen otro riesgo y se encuentra debidamente tipificado en el Contrato y asignado al público ). 
Adicionalmente, el Concesionario contará con el apoyo de la Policía de Carreteras para los procedimientos relativos, conforme la Sección 3.3.9. del Apéndice Técnico 2, incluyendo las funciones asignadas a la ANI.</t>
  </si>
  <si>
    <t>Se aclara al interesado que la prestación de los Servicios Adicionales, como su nombre lo expresa, es adicional a las prestaciones de las obligaciones del Concesionario. En el sentido que será el Concesionario quien contraiga estos contratos, es responsabilidad del privado los efectos positivos y negativos derivados de la ejecución de dichas prestaciones, por tal motivo no se considera procedente suobservación..</t>
  </si>
  <si>
    <t>Se aclara al interesado que tal  los programas de concesiones de APP, en línea con las disposiciones generales establecidas en la Ley 1508, sus Decretos reglamentarios y los documentos CONPES asociados a las mismas, uno de los elementos principales de las Asociaciones Públicos Privadas es la transferencia de riesgos del público al privado. Enmarcada en esta transferencia la no obtención del financiamiento es un riesgo transferido al privado. Adicionalmente, el interesado deberá considerar las condiciones actuales bajo la coyuntura  al momento de presentar su oferta. En este sentido no se considera procedente su observación.</t>
  </si>
  <si>
    <t>Se aclara al interesado que tal  los programas de concesiones de APP, en línea con las disposiciones generales establecidas en la Ley 1508, sus Decretos reglamentarios y los documentos CONPES asociados a las mismas, uno de los elementos principales de las Asociaciones Públicos Privadas es la transferencia de riesgos del público al privado. Enmarcada en esta transferencia este es un riesgo transferido al privado. Adicionalmente, el interesado deberá considerar las condiciones actuales bajo la coyuntura  al momento de presentar su oferta. En este sentido no se considera procedente su observación.</t>
  </si>
  <si>
    <t>Se aclara al interesado que tal  los programas de concesiones de APP, en línea con las disposiciones generales establecidas en la Ley 1508, sus Decretos reglamentarios y los documentos CONPES asociados a las mismas, uno de los elementos principales de las Asociaciones Públicos Privadas es la transferencia de riesgos del público al privado. Enmarcada en esta transferencia las variaciones en la liquidez generada por variaciones en el tráfico es un riesgo transferido al privado. Adicionalmente, el interesado deberá considerar las condiciones actuales bajo la coyuntura  al momento de presentar su oferta. En este sentido no se considera procedente su observación.</t>
  </si>
  <si>
    <t>Se aclara al interesado que las condiciones establecidas responden a que la Entidad al ser la concedente del Proyecto y siendo la ejecución del mismo el mayor interés de la Entidad, requiere hacer seguimiento y contar con la certeza de que se cuente con los recursos adecuados para la ejecución del proyecto. Adicionalmente se aclara que el plazo de 9 meses, es contado a partir del Acta de Inicio de la Etapa de Construcción, evento que está sujeto al cumplimiento de condiciones precedentes, las cuales en su mayoría hacen parte del proceso que deben surtirse para el cierre del proceso de consecución de recursos de deuda.  La Entidad acoge la observación y ampliará el plazo para acreditar el cierre financiero de 9 meses a 18 meses contados a partir del Acta de Inicio de Construcción.</t>
  </si>
  <si>
    <t>Se aclara al interesado que en el momento en que el Concesionario lo considere pertinente, durante la ejecución del contrato podrá solicitar el Plan de Aportes, esto teniendo en cuenta que la actualización del Plan de contingencia y Plan de Aportes, es facultativo del Ministerio de Hacienda y Crédito Público.</t>
  </si>
  <si>
    <t xml:space="preserve">Se aclara al interesado que el elemento mencionado no tiene relación con lo establecido para la fórmula C, toda vez que esta fórmula reconoce los elementos del AR independiente de la fuente de financiación de los mismos. </t>
  </si>
  <si>
    <t xml:space="preserve">Se aclara el interesado que para los efectos mencionados se realiza la actualización del TE en etapa de construcción y operación y mantenimiento, tasa que efectivamente captura lo mencionado. </t>
  </si>
  <si>
    <t xml:space="preserve">Se confirma el entendimiento del interesado y de igual manera se realiza el ajuste respectivo para dar mayor claridad al respecto. </t>
  </si>
  <si>
    <t xml:space="preserve">La entidad considera pertinente mantener la redacción actual, dado que precisamente la contabilización del VPIP se hará teniendo en cuenta el momento en que efectivamente la ANI realice los aportes. </t>
  </si>
  <si>
    <t xml:space="preserve">Se aclara al interesado que para la estimación de estas Tasas  se busca la TE respectiva de manera tal que permitan el repago de la deuda y en alguna proporción el repago del equity para las fórmulas C y F. Adicionalmente, respecto a las diferencias que se presentan entre las TEs según la causal de terminación, las mismas responden precisamente a un análisis de variación de tasas a cada causal y las responsabilidades asociadas a las mismas. </t>
  </si>
  <si>
    <t xml:space="preserve">Se aclara al interesado que el concepto del AR dentro de la fórmula reconoce los costos y gastos que ha realizado el concesionario durante cada periodo de ejecución del contrato (h), independiente del periodo en el que se evalué la liquidación, tal y como se estipula en la sección 18.3 (e) del Contrato Parte General. En ese sentido aun cuando haya habido reversión de alguna Unidad Funcional por construcción misma, el ARh va mantener el valor de la ejecución que se haya realizado a lo largo de la vida del contrato. 
</t>
  </si>
  <si>
    <t xml:space="preserve">De manera general la Entidad aclara que, en cuanto a la propuesta de inclusión de la fórmula F, la Entidad realizó este ajuste tomando como base las experiencias en terminaciones de contratos y la  necesidad de incluir un límite para las fórmulas de terminación C. La estimación de la misma aun bajo su condición de límite, no  genera una exposición a la financiación de la inversión del proyecto, toda vez que las variables asociadas a la misma están directamente relacionadas con la fórmula c previamente desarrollada en contratos 4G. 
Con el fin de ejemplificar el entendimiento de la fórmula,  las variables Uh y Eh por defecto deberían ser consistentes con la variable ARh (en la medida en que éstas son las únicas fuentes posibles de financiación en etapa preoperativa), en el mismo sentido la variable Rh es la fuente de recursos con la cual se atienden las variables Amorth, Inth y Divh  (amortizaciones de capital, intereses y repago de dividendos) con lo cual el resultado de ambas fórmulas debería ser consistente a lo largo del ejercicio generando un límite asociado únicamente a las restricciones que se definan sobre la fórmula f. </t>
  </si>
  <si>
    <t xml:space="preserve">Se informa al interesado que no se acepta su observación. Las reglas para que el Líder pueda ceder su posición se encuentran claramente definidas en el Contrato Parte General en la Sección 19.6. </t>
  </si>
  <si>
    <t xml:space="preserve">Se aclara al interesado que efectivamente los contratos sin desembolsos no podrán ser acreditados. </t>
  </si>
  <si>
    <t>Se aclara al interesado que la Entidad realizó el análisis solicitado y no se considera procedente.   Similar a como se ejecutó el programa 4G, para acreditar Experiencia en Inversión solamente se tuvo en cuenta como monto acreditable el valor desembolsado antes de la Fecha de Cierre.</t>
  </si>
  <si>
    <t xml:space="preserve">Se informa al interesado que el porcentaje y los recursos asociados al mismos son suficientes para la operación de la totalidad del proyecto. </t>
  </si>
  <si>
    <t xml:space="preserve">La Entidad considera que en caso de que aplique este tipo de mecanismos, el Concesionario tendrá la facultad de acceder a ellos y reflejarlos como aportes de equity, los cuales estarán cobijados bajo las fórmulas de liquidación y por lo tanto no se considera realizar el ajuste solicitado. </t>
  </si>
  <si>
    <t xml:space="preserve">Se aclara al interesado que la Entidad considera que durante esta Etapa no se considera procedente la actualización por TE de los montos, sino únicamente por inflación. </t>
  </si>
  <si>
    <t xml:space="preserve">Se informa al interesado que no se acepta su observación. El plazo establecido se considera razonable y acorde con las necesidades del Proyecto </t>
  </si>
  <si>
    <t>El entendimiento es correcto, la Subcuenta Redes es exclusivamente para el costo del traslado y/o intervención de Redes.</t>
  </si>
  <si>
    <t>Se aclara al interesado que el CONPES 3714 de 2011 no es aplicable a este riesgo y tipo de proyectos toda vez que los mismos se enmarcan en proyectos de Asociación Público Privada, para los cuales prima la especificidad señalada en los CONPES 3107 de 2001 y 3760 de 2013, más allá de los lineamientos del marco general de contratación sobre el que versa el CONPES 3714. En estos lineamientos se indica que el riesgo soberano es asumido por el inversionista privado.
Adicionalmente, la entidad no considera procedente cambiar la asignación, toda vez que hace parte de la debida diligencia de los interesados considerar dichos eventos en los proyectos de inversión.</t>
  </si>
  <si>
    <t>Se aclara al interesado que el CONPES 3714 de 2011 no es aplicable a este riesgo y tipo de proyectos toda vez que los mismos se enmarcan en proyectos de Asociación Público Privada, para los cuales prima la especificidad señalada en los CONPES 3107 de 2001 (con su modificación en el CONPES 3133 de 2001) y 3760 de 2013 (con su modificación en el 3800 de 2014), más allá de los lineamientos del marco general de contratación sobre el que versa el CONPES 3714. En el Cuadro 4 del CONPES 3133 se indica expresamente que los riesgos regulatorios para proyectos carreteros son asumidos por el Concesionario, mientras que el 3760 indica que esta clase de riesgos se siguen rigiendo por el 3107 (y consecuentemente el 3133 que lo amplió) salvo por los eventos que allí se describen.
Se precisa que dentro del área de regulatorios los riesgos #32, #33 y #36 están asignados plenamente a la ANI conforme establecen los CONPES indicados, mientras que el riesgo tributario (#35) está compartido conforme lo establece el CONPES 3800.</t>
  </si>
  <si>
    <t xml:space="preserve">Se le informa al interesado que no se considera procedente la observación, lo anterior toda vez que se considera de suma importancia que el pronunciamiento de la ANI se dé en estos términos.  Adicionalmente, la Entidad ha evidenciado que en ningún de los contratos que se encuentran en ejecución, se ha hecho necesario un pronunciamiento de este tipo. </t>
  </si>
  <si>
    <t>La entidad considera que el Contrato Parte General en sus Secciones 1.167 y 3.14(g)(vi) se encuentra ampliamente desarrollado los elementos sobre los cuales se solicita claridad, no obstante en caso que el interesado tenga una inquietud puntual sobre esta subcuenta, la Entidad estará atenta a responderla.</t>
  </si>
  <si>
    <t xml:space="preserve">La Entidad considera valiosa la retroalimentación y las propuestas realizadas por el interesado sin embargo aclara que el planteamiento de las fórmulas son consistentes con los lineamiento establecidos por Colombia Compra Eficiente, por lo que las mismas respetan las características de un proceso licitatorio de este tipo.
Adicionalmente, la aleatoriedad de las fórmulas no generan un incentivo a una baja rigurosidad en los estudios de los proponentes pues no es posible prever un puntaje con propuestas ineficientes. </t>
  </si>
  <si>
    <t>La Entidad considera que al ser riesgos asignados al Privado, este deberá tomar las respectivas medidas para mitigar el impacto del mismo a través de los mecanismo que consideren necesarios. De igual manera,  el contrato contempla dentro de su estructura distintos eventos de fuerza mayor y eventos eximentes de responsabilidad, para los cuales aplican una asignación de riesgo distinta. Por tal motivo su observación no es procedente .</t>
  </si>
  <si>
    <t>Se aclara al interesado que la Matriz de Riesgos está alineada con los CONPES 3760 y 3107.  </t>
  </si>
  <si>
    <t>Se aclara al interesado que la Reversión Especial regulada en la sección 3.10 no tienen ningún efecto en las condiciones de operación de las estaciones de peaje ni en el recaudo.</t>
  </si>
  <si>
    <t>La Entidad no considera procedente la observación, en la medida en que la TDI es una variable que captura los efectos de largo plazo del proyecto, teniendo en cuenta el horizonte del proyecto, y no debe estar afectada por circunstancias transitorias, sino que se calcula con promedios e información basada en situaciones de normalidad en el largo plazo sobre las variables contempladas. La Entidad considera que la TDI del proyecto es adecuada para la magnitud y condiciones del mismo.</t>
  </si>
  <si>
    <t>Se informa al interesado que la regulación del cambio tributario está definida tanto en la Sección 1.22 como en la 3.16 de la Parte General del Contrato, dentro de las cuales están explicitos los eventos cubiertos.</t>
  </si>
  <si>
    <t>Se informa al interesado que la observación no se considera procedente, ya que la estimación de los recursos netos para el proyecto (descontando el porcentaje mencionado) resultan suficientes para la ejecución adecuada del proyecto.  </t>
  </si>
  <si>
    <t>Se informa al interesado que no se acepta su observación. Se elimina la fórmula de liquidación del Contrato en caso de vencimiento del Plazo sin obtener VPIP dado que los riesgos de obtención de rentabilidad del negocio, variación de los ingresos y obtención del VPIP se asignan al Concesionario en este contrato de acuerdo con las secciones 13.2 (xviii) y (xxv) de la Parte General.La naturaleza de los contratos de Asociación Público Privada (APP) involucra la retención y transferencia de riesgos entre las partes sin que exista una garantía de ingreso para el Concesionario, a diferencia de lo que ocurre con otras modalidades contractuales, como por ejemplo, la obra pública. Los contratos de APP son contratos aleatorios, lo que quiere decir que no existe equivalencia de prestaciones entre las Partes y algunos aspectos están sujetos a lo que pueda ocurrir en el futuro. En este caso, el alea del contrato consistente en no obtener el VPIP una vez vencido el plazo del mismo está a cargo del Concesionario y en esta medida, es un riesgo asumido por este.De acuerdo con lo anterior, el Adjudicatario suscribirá un contrato en donde aceptará expresamente asumir el riesgo de que, eventualmente, terminado el plazo del Contrato de Concesión no obtenga la totalidad del ingreso esperado, situación que es perfectamente compatible con proyectos de APP en el entorno internacional y con la legislación colombiana. En esta medida, resulta incoherente afirmar que la situación descrita anteriormente pueda implicar una confiscación, en los términos previstos por el artículo 34 de la Constitución Política. Resulta claro que estamos frente a un acuerdo contractual libremente consentido por el Concesionario en donde este asume los riesgos a él asignados y, en función de los mismos, tuvo la libertad y oportunidad suficiente para modelar sus expectativas de ingreso.Finalmente, se aclara al interesado que la confiscación, de acuerdo con jurisprudencia de la Corte Constitucional y la Corte Suprema de Justicia, consiste en el apoderamiento arbitrario de todos los bienes de una persona por el Estado, sin compensación alguna y bajo la apariencia de una sanción, cuando en la realidad se trata de una represalia generalmente por parte de quienes detentan el poder (Sentencia C-459/2011 y Sentencias de junio 21 de 1899; marzo 6 de 1952; agosto 10 de 1964 y julio 29 de 1965, entre otras). En esta línea, es posible afirmar que la confiscación consiste en una limitación inconstitucional al derecho de propiedad.Ahora bien, los tramos que serán intervenidos por el Concesionario en el marco del Contrato de APP son de propiedad del Estado colombiano, quien otorga al Concesionario la disponibilidad de los mismos de forma tal que este pueda adelantar las actividades de diseño, construcción, operación y mantenimiento establecidas en el Contrato. En esta medida, el Estado le otorga al Concesionario el derecho a explotar los tramos y recaudar los peajes asociados a los mismos para remunerar su actividad, sin transferir ningún título de propiedad sobre el Proyecto respecto del cual pueda predicarse una confiscación en los términos previstos por la Constitución Política.</t>
  </si>
  <si>
    <t>Se informa al interesado que no se acepta su observación. Efectivamente los riesgos de obtención de rentabilidad del negocio, variación de los ingresos y obtención del VPIP están asignados al Concesionario de acuerdo con las secciones 13.2 (xviii) y (xxv) de la Parte General del contrato, como ocurre en varios contratos de concesión que se encuentran en ejecución o que se están estructurando.De acuerdo con lo anterior, el Adjudicatario suscribirá un contrato en donde aceptará expresamente asumir el riesgo de que, eventualmente, terminado el plazo del Contrato de Concesión no obtenga la totalidad del ingreso esperado, situación que es perfectamente compatible con proyectos de APP en el entorno internacional y con la legislación colombiana. En esta medida, resulta incoherente afirmar que la situación descrita anteriormente pueda implicar una confiscación, en los términos previstos por el artículo 34 de la Constitución Política. Resulta claro que estamos frente a un acuerdo contractual libremente consentido por el Concesionario en donde este asume los riesgos a él asignados y, en función de los mismos, tuvo la libertad y oportunidad suficiente para modelar sus expectativas de ingreso.</t>
  </si>
  <si>
    <t>Contrario a la percepción del interesado, la Entidad considera que las nuevas reglas planteadas dan mayor claridad a la aplicabilidad de esta fórmula respecto a la planteada en los contratos de 4G. No se considera pertinente definir un consultor específico en la medida en que está previsto en el contrato que se escogerá entre las Partes. En todo caso, es preciso recordar que este mecanismo solo aplicará para el evento en que se presente una Terminación Anticipada por decisión unilateral de la ANI, en virtud de lo autorizado por el Artículo 32 de la Ley 1508 de 2012.</t>
  </si>
  <si>
    <t>Se aclara al interesado que no se considera pertinente modificar el mecanismo de asignación de puntaje pues el planteamiento de las fórmulas es consistente con los lineamientos establecidos por Colombia Compra Eficiente, en tal sentido considera la Entidad que las mismas respetan las características de un proceso licitatorio de este tipo. Adicionalmente, la aleatoriedad de las fórmulas no genera un incentivo a una baja rigurosidad en los estudios de los proponentes pues no es posible prever un puntaje con propuestas ineficientes.</t>
  </si>
  <si>
    <t>Tal y como se ha manejado en todos los procesos concesionados y en línea con lo establecido en la asignación de riesgos estatales para estos tipos de proyectos, el riesgo tributario asociado al impuesto de renta, se ha considerado un riesgo del privado, por lo que no se considera procedente la solicitud.  </t>
  </si>
  <si>
    <t>Se aclara al interesado que el porcentaje descrito es el resultado de una articulación de un proceso de evaluación surtido entre las entidades asociadas a este tipo de procesos (ANI, MHCP, entre otras), por lo que el mismo se considera adecuado para la asunción de este riesgo, teniendo en cuenta lo anterior su observación no es procedente.</t>
  </si>
  <si>
    <t>La Entidad se permite aclarar al interesado que los riesgos deberán ser asignados contractualmente a quien esté en mejor capacidad de administrarlos, y a quien esté en mayor capacidad de gestionar los diferentes mecanismos de mitigación. Por tal motivo la entidad considerá pertinente mantener la asignación de los riesgos que se encuentra actualmente, teniendo en cuenta lo anterior su observación no es procedente.</t>
  </si>
  <si>
    <t>Se aclara al interesado que de acuerdo con lo previsto en la sección 3.14 (h) (vi) (7), se estipula que los aportes adicionales en los que incurra el concesionario mencionados en la sección  3.14 (h) (vi) (6) serán pagados por la Entidad al concesionario; lo cual está en línea con la asignación del riesgo al público. De igual manera, de acuerdo con lo previsto en la sección 3.14 (h) (v) (10), se estipula que los aportes adicionales en los que incurra el concesionario mencionados en la sección  3.14 (h) (v) (9) serán pagados por la Entidad al concesionario; lo cual está en línea con la asignación del riesgo al público. Por lo anterior la Entidad no considera procedente la observación.  </t>
  </si>
  <si>
    <t>Se informa al interesado que la Entidad no considera procedente la observación y el riesgo deberá ser asignado al privado (por lo que si impacto deberá ser tenido en cuenta por los interesados al momento de presentar su oferta), toda vez que los efectos generados por el acaecimiento de este tipo de riesgo hace parte de los riesgos que asume un inversionista en cualquier tipo de proyectos. </t>
  </si>
  <si>
    <t xml:space="preserve">Los porcentajes para el cálculo de retribución, hacen parte de la manera en como se irá asignando el recaudo en la medida en que se dé inicio al proyecto. A diferencia de la unidad 0, que retribuirá desde el primer mes del contrato, estos porcentajes acumularán en las respectivas unidades funcionales, y dichos montos acumulados serán retribuidos únicamente con la firma  del Acta de Terminación de la Unidad Funcional Correspondiente.  Finalmente, cabe resaltar que los porcentajes no necesariamente están relacionados al fin de la construcción de cada unidad funcional, puesto que como previamente se mencionó los mismos corresponden a la distribución del recaudo en la Subcuenta respectiva de cada unidad funcional, mas no a la retribución inmediata como sería el caso de la UF0, y simplemente irán aumentando un acumulado hasta la firma del Acta de Terminación de UF. </t>
  </si>
  <si>
    <t>BlackRock, 9/06/2020</t>
  </si>
  <si>
    <t>POWERCHINA INTERNATIONAL GROUP LTD, 15/06/2020</t>
  </si>
  <si>
    <t>A. Ingresos:
1. Entendemos que los pagos de DR de los años 8, 13 y 18 contemplados bajo el contrato 4G serían reemplazados por una estructura de “soporte de ingresos” la cual operaría anualmente. Queremos que por favor se aclare si dicha compensación buscará cubrir el ingreso efectivo por peajes no recibido o algún tipo de rubro o concepto diferente.
2. Consideramos negativo que no exista algún tipo de compensación al final de la concesión (ie. DR del 29) si no se logra alcanzar el VPIP contractual. Esto representa una desmejora sustancial en el perfil de riesgos del proyecto en caso de que los ingresos por peajes disminuyan por cualquier razón durante la vida de la concesión.
3. Nos parece negativo para los intereses del sponsor el que se limite el ingreso por derechos comerciales en algunos proyectos.</t>
  </si>
  <si>
    <t>B. Contractual:
1. Entendemos que el nuevo contrato no incluiría un periodo mínimo de 25 años para Operación y Mantenimiento. Es decir, el contrato terminaría apenas se obtenga el VPIP, aún si esto fue antes del año 25. En caso de ser así, nos parece un cambio negativo que afecta nuestra percepción de los proyectos. Como fondo de deuda, manejamos recursos
importantes de los fondos de pensiones y aseguradoras los cuales tienen una naturaleza de largo plazo. No somos una entidad financiera con balance que pueda rotar su cartera fácilmente. Necesitamos parámetros muy estrictos con respecto a la vida final y vida media de nuestros préstamos y este cambio definitivamente afecta nuestra capacidad de ofrecerle a nuestros inversionistas la seguridad y duración en el uso adecuado de sus recursos.
2. En relación con el proceso de consultas previas, nos parece positivo que antes de la apertura del proceso de selección se busque que la ANI haya concluido dicho proceso con las comunidades. Sin embargo, solicitamos su ayuda para entender de mejor manera el manejo de las responsabilidades y costos asociados en caso de que haya consultas
posteriores y una vez la firma constructora ha sido seleccionada. En caso de que se pretenda transferir en su totalidad la responsabilidad y costo al Concesionario pensamos que sería un cambio bastante negativo y que debería ajustarse.
3. Entendemos que las facultades de verificación e inspección de la ANI y el Interventor se extenderán al Patrimonio Autónomo Deuda. Nos gustaría entender las motivaciones para esta modificación y qué implicaciones tendría dicha labor de verificación e inspección. 
4. Emitir un compromiso en firme como soporte del Cierre Financiero va a ser muy difícil de acreditar para cualquier prestamista considerando que para dicho momento todavía no se habrá finalizado el periodo de debida diligencia ni de negociación de los términos contractuales. Se debe retomar el concepto de certificado.</t>
  </si>
  <si>
    <t>C. Pago por terminación:
1. En general, nos gustaría que la naturaleza y la formulación del pago por terminación no se modificaran con respecto a lo que conocemos del marco 4G. El pago por terminación como fue estructurado ha representado uno de los pilares fundamentales del programa y modificarlo puede tener serias implicaciones con respecto a la percepción de riesgo de
cada proyecto, encareciendo su financiamiento.
2. No consideramos adecuado el uso del componente F ya que no reconoce ciertas actividades que se han ejecutado pero que todavía no se han pagado. 
3. Es importante tener en cuenta que dicha fórmula también tiene que operar cuando al iniciar el periodo de Operación y Mantenimiento, se refinancia la deuda adquirida durante construcción. La nueva deuda tiene que contar con las mismas protecciones que la deuda inicial. Por lo tanto, nos preocupa la subjetividad que puede tener el cálculo en ciertos momentos por el uso de expresiones tales como “que hayan sido ejecutadas para contribuir a satisfacer el interés público, (B) que estén estrictamente asociadas al objeto del Contrato, (C) que los costos correspondan a precios de mercado asociados a las condiciones particulares del Proyecto al momento de su causación de acuerdo con la modalidad
contractual y (D) que el bien y/o servicio haya sido debidamente entregado y/o prestado (…)”.
4. Nos parece muy positivo la certificación que el Interventor entregará de la variable ARh, sin embargo, nos parece cuestionable que se haga referencia a “valores máximos” en el certificado. Esto genera un gran cuestionamiento sobre los valores que se irían a certificar.</t>
  </si>
  <si>
    <t>D. Sanciones:
1. El concepto de sanciones debe estar mejor regulado en el contrato. Nos preocupa que no exista claridad sobre los “triggers” específicos que causan dichas sanciones y el monto a pagar por las mismas.</t>
  </si>
  <si>
    <t>E. Otros:
1. En aquel caso en que ocurra una inhabilidad sobreviniente, y los prestamistas decidan no proceder con la Toma de Posesión, no se debería terminar el Contrato de Concesión. La ANI debería encargarse de conseguir un cesionario, con el fin de no generar un deterioro de las obras y lograr el servicio público adecuado, el cual debe cumplir con las características determinadas por la entidad contratante y el visto bueno de los financiadores y este deberá asumir la deuda del proyecto en los mismos términos en que el contratante cedido la tenga.</t>
  </si>
  <si>
    <t>Pliego de condiciones Capitulo 1 - Información General - numeral 1.8 Visitas al lugar donde se desarrollará el Proyecto, debida diligencia e información sobre el Proyecto</t>
  </si>
  <si>
    <t xml:space="preserve">JURIDICA ESTRUCTURACIÓN </t>
  </si>
  <si>
    <t xml:space="preserve">JURÍDICA CONTRATACIÓN </t>
  </si>
  <si>
    <t xml:space="preserve">Se aclara al interesado que la estructura del contrato actualmente permite la remuneración de los Recursos de Patrimonio, incluido el pago de intereses y del principal de la deuda subordinada, así como el reparto de utilidades que arroje la operación del Concesionario, subordinado al pago de todos los costos y gastos del Proyecto y a la remuneración de los Recursos de Deuda y solamente podrá efectuarse en la Etapa de Operación y Mantenimiento, excepto si media acuerdo expreso en contrario de los Prestamistas, de acuerdo con lo dispuesto en la Sección 1.155 Recursos de Patrimonio del contrato, y que está acorde con el programa 4G. </t>
  </si>
  <si>
    <t>La ANI considera que la fórmula establecida para el pago de la Compensación Especial ante imposibilidad de terminación de una Unidad Funcional por la existencia de Eventos Eximentes de Responsabilidad y/o razones imputables a la ANI es adecuada. La fórmula prevista tiene en cuenta el porcentaje de inversión efectivamente realizada para realizar el reconocimiento de esta de acuerdo con las fracciones establecidas. En esta medida, se informa al interesado que no se acepta su observación.   
Respecto al incumplimiento de la ANI en la obligación de pago al concesionario aplicará lo dispuesto en la Sección 3.6 Intereses Remuneratorios y de Mora, enmarcado en el resto de condiciones del contrato.</t>
  </si>
  <si>
    <t>La entidad ha evaluado su observación y no considera pertinente realizar el ajuste solicitado, teniendo en cuenta que eliminar la referencia mencionada permitiría a los concesionario realizar aportes diferentes a lo que actualmente se encuentra aprobado en el Contrato de Concesión, que corresponde a los aportes establecidos en la Minuta Parte Especial, Capítulo IV, por lo anterior se mantiene la redacción actual, y no es procedente la observación</t>
  </si>
  <si>
    <t xml:space="preserve">La entidad se permite aclarar al interesado que los mecanismos mencionados en la observación aplican únicamente para proyectos de Iniciativa Privada de acuerdo con el Decreto 1082, Artículo 2.2.2.1.5.5, dado que este es un proyecto de Iniciativa Pública el mecanismo para cubrir riesgos a cargo del Estado es el Fondo de Contingencias. Por lo anterior su observación no es procedente. </t>
  </si>
  <si>
    <t xml:space="preserve">Se informa al interesado que no se acepta su observación. La ANI reconocerá una compensación por menor Recaudo de Peaje en eventos de Elusión si la circunstancia se mantiene por más de 90 días contados desde el Día que se declare formalmente la Elusión por parte de la ANI través del acto administrativo correspondiente. El plazo de los 90 días se considera que es el periodo necesario para la adecuada identificación y activación de la compensación. </t>
  </si>
  <si>
    <t>Se informa al interesado que en caso de presentarse un cupo de crédito en moneda extranjera, la ANI verificara el cumplimiento del monto establecido en el numeral 4.3.6.(a)(i) de acuerdo con el procedimiento establecido en el numeral 6.5 y el Anexo 11.</t>
  </si>
  <si>
    <t xml:space="preserve">Se aclara al interesado que tal y como se plantea en el pliego de condiciones estas obras permiten otorgar un puntaje adicional, sin incrementar el esquema de retribución en el contrato. </t>
  </si>
  <si>
    <t xml:space="preserve">Tal como lo establece el Pliego de Condiciones, en la cláusula  5.2.2, La Oferta Económica en ningún caso podrá ser superior al Valor Máximo de la Oferta Económica. La no presentación de la Oferta Económica o cuando, habiéndose presentado, esta supere el Valor Máximo de la Oferta Económica, dará lugar al rechazo de la Oferta. Por tanto se le aclara al interesado que esto no es posible.
</t>
  </si>
  <si>
    <t xml:space="preserve">Se informa al interesado que para el caso de monedas extranjeras diferentes al dolar, se tomará como tasa de referencia la publicada por OANDA, tal como lo establece el Pliego de Condiciones en la cláusula 6.5 Conversión de Moneda. </t>
  </si>
  <si>
    <t>Se informa al interesado que para que sea válida las conversiones de moneda, deberán seguirse los procedimientos establecidos en las secciones: 6.5.1, 6.5.2, 6.5.3, y 6.5.4. La Entidad evaluará el procedimiento con el Anexo diligenciado.  El Anexo 9 tiene las instrucciones de diligenciamiento e indica quién debe suscribirlo.  Por otra parte, en la Sección 4.3.1 se especifica quienes deben suscribir el Anexo 10 (A)</t>
  </si>
  <si>
    <t xml:space="preserve">Se informa al interesado que el Anexo mencionado se encuentra publicado en el link del Proceso. </t>
  </si>
  <si>
    <t>Se aclara al interesado que el Plazo Máximo para la Etapa de Reversión se encuentran establecidos en la Sección 1.143 “Plazo Máximo de la Etapa de Reversión" del  Contrato Parte General.</t>
  </si>
  <si>
    <t xml:space="preserve">Se aclara al interesado que la estructura tarifaria está establecida por una resolución de peajes la cual será remitida y asociada al Contrato de Concesión y publicada con el Pliego de Condiciones definitivo. </t>
  </si>
  <si>
    <t>Todo lo relacionado a los aportes de Equity se encuentra tanto en la definición misma de Giros de Equity  como en las demás secciones relacionadas a los mismos.   En la definición 1.88 Giros de Equity se establece el mecanismo de Deuda Subordinada de socios al proyecto para aportar los Giros de Equity adicional a los fondeos a la Cuenta Proyecto establecidos en la Minuta Parte Especial Sección 3.9 .</t>
  </si>
  <si>
    <t xml:space="preserve">Se aclara al interesado que el porcentaje de retribución de la Unidad funcional 0 es fijo como se establece en la sección 4.1 del Contrato Parte Especial. 
Este porcentaje fue estimado contemplando los requerimientos de operación y mantenimiento durante la ejecución del contrato. </t>
  </si>
  <si>
    <t xml:space="preserve">No se considera procedente la observación y deberán aplicarse las condiciones de tasas establecidas en el Pliego de Condiciones, Sección 6,5. </t>
  </si>
  <si>
    <t>Es importante resaltar que la Entrega de la Infraestructura  es una obligación de la ANI, con la cual se suscribirá el Acta de Inicio y, por tanto, dará inicio a la ejecución del Contrato que, de acuerdo con la Sección 2.3(b) del Contrato Parte General, será 30 días hábiles siguientes a la suscripción del mismo.
De igual forma el Contrato Parte Especial, en la Tabla de Referencias, Sección 2.3 (b (ix), establece lo siguiente, Para el presente Proyecto se exige como requisito adicional para la suscripción del Acta de Inicio o expedición de la Orden de Inicio del Contrato, la Entrega de la totalidad de la Infraestructura descrita en las Secciones 3.6 y 3.7 de esta Parte Especial .
Adicionalmente, la ANI ya le comunicó al INVIAS la necesidad de contar con la infraestructura del proyecto que se encuentra a su cargo. Sumado a esto,  ya se encuentran en proceso de firma los Convenios de Entrega de infraestructura con los municipios de Jamundí, Santiago de Cali y Palmira, así como con las Gobernaciones de Cauca y Valle del Cauca. 
De acuerdo a lo indicado anteriormente, los plazos contractuales, se encuentran planteados de tal forma que la entrega de la infraestructura se dé sin contratiempos, dicho lo anterior es responsabilidad del privado incluir dentro de sus estudios las estimaciones financieras asociadas el estado de la infraestructura, razón por la cual este riesgo deberá ser asumido por el, tal como se indica en la Sección 13.2 (a) (xvii del Contrato Parte General. Por tal motivo no es procedente su observación.</t>
  </si>
  <si>
    <t>Se aclara al interesado que el VPIP  para el proyecto fue establecido teniendo en cuenta que el Concesionario asumirá estos gastos, por lo tanto los mismos serán remunerados con la retribución. Por lo expuesto no es procedente su observación</t>
  </si>
  <si>
    <t xml:space="preserve">respuesta enviada por reina el 21 de junio </t>
  </si>
  <si>
    <t xml:space="preserve">Se aclara al interesado que la regulación observada se considera adecuada toda vez que:
  - la obligación de desarrollar los estudios y diseños fase III es del concesionario, y por lo que asumirá los riesgos asociados a esta obligación dentro del cual puede presentarse este evento.
  - la redacción contenida en la sección observada plantea que la propuesta de solución es desarrollado por el concesionario, es decir que esta en su facultad realizar propuestas que pueda asumir. 
</t>
  </si>
  <si>
    <t>Se aclara al interesado que se considera el plazo de 540 días establecido en el Contrato de Concesión,  adecuado para las gestiones y trámites que debe realizar la entidad con el fin de cubrir las obligaciones de pago de dinero a su cargo. Por tal razón no es procedente su observación</t>
  </si>
  <si>
    <t>La entidad  no considera pertinente realizar el ajuste solicitado, teniendo en cuenta que eliminar la referencia mencionada permitiría a los concesionario realizar aportes diferentes a los que actualmente se encuentran  en el Contrato de Concesión los cuales son requeridos para inyectar recursos líquidos para el desarrollo del proyecto y están establecidos en la Minuta Parte Especial, capítulo IV. Por lo anterior se mantiene la redacción actual, y no procede la observación</t>
  </si>
  <si>
    <t>La entidad considera que tomando como base las experiencias en terminaciones de contratos se considera necesario incluir un límite para las fórmulas de terminación, por lo que no es procedente la observación. Dicho esto es importante resaltar que se considera que la aplicación de la fórmula f, no  genera una exposición a la financiación de la inversión del proyecto, toda vez que las variables asociadas a la misma están directamente relacionadas con la fórmula c previamente desarrollada en contratos 4G. 
De manera general y con el fin de ejemplificar el entendimiento de la fórmula,  las variables Uh y Eh por defecto deberían ser consistentes con la variable ARh (en la medida en que éstas son las únicas fuentes posibles de financiación en etapa preoperativa), en el mismo sentido la variable Rh es la fuente de recursos con la cual se atienden las variables Amorth, Inth y Divh  (amortizaciones de capital, intereses y repago de dividendos) con lo cual el resultado de ambas fórmulas debería ser consistente a lo largo del ejercicio generando un límite asociado únicamente a las restricciones que se definan sobre la fórmula f, lo cual genera únicamente un límite específico. 
Nota: sin perjuicio de lo planteado en esta respuesta, solamente serán vinculantes las regulaciones efectivamente publicadas en los Pliegos del proceso licitatorio.</t>
  </si>
  <si>
    <t xml:space="preserve">La Entidad aclara al interesado que las condiciones establecidas del fondo de contingencias están limitadas en plazo y/o un monto fijo de acuerdo con lo establecido en el capítulo IV de la Parte Especial, literal (i), con lo cual se aseguran los recursos para atender las contingencias a este valor.   Por otra parte, dentro de la estructuración financiera la entidad estableció que los montos de la Subcuenta de Depósito Especial serán de libre disposición de la ANI para servir como fuente de pago de otro proyecto de infraestructura, por lo tanto no serán utilizados para las contingencias que ya tienen establecidas sus fuentes de recursos. </t>
  </si>
  <si>
    <t xml:space="preserve">Se aclara al interesado que de acuerdo con lo previsto en la sección 3.14 (h) (vi) (7), se estipula que los aportes adicionales en los que incurra el concesionario mencionados en la sección  3.14 (h) (vi) (6) serán pagados por la Entidad al concesionario; lo cual está en línea con la asignación del riesgo al público. De igual manera, de acuerdo con lo previsto en la sección 3.14 (h) (v) (10), se estipula que los aportes adicionales en los que incurra el concesionario mencionados en la sección  3.14 (h) (v) (9) serán pagados por la Entidad al concesionario; lo cual está en línea con la asignación del riesgo al público. </t>
  </si>
  <si>
    <t>Se informa al interesado que aunque en la sección que menciona se hace referencia al Fondo de seguridad Vial, toda vez que esta hace parte de la resolución de tarifa vigente,  dentro de la definición 1.131  "Peaje" se contempla contribuciones distintas o sobretasa, adicionales a la del Fondo Seguridad Vial, como se presenta a continuación: "...El valor del Peaje destinado al Proyecto no incluirá los valores por contribución al Fondo de Seguridad Vial, ni ninguna otra sobretasa o contribución similar que tenga destinación diferente al Proyecto", por lo cual no es necesario ajustar la fórmula mencionada en su observación.</t>
  </si>
  <si>
    <t xml:space="preserve">Se informa al interesado que en el caso propuesto aplica el procedimiento de conversión de monedas establecido en la Sección 6.5.1 y 6.5.2 según se trate de moneda diferente al Dólar o de Dólares. </t>
  </si>
  <si>
    <t>Se informa al interesado que se acepta su observación y se hará el ajuste correspondiente en el Contrato Parte Especial con el fin de que la sumatoria de cada período sea el 100%.</t>
  </si>
  <si>
    <t xml:space="preserve">Se informa al interesado que la observación no se considera procedente, ya que durante la estrucutración financiera dicha estimación de recursos netos para el proyecto (descontando el porcentaje mencionado) resultan suficientes para la ejecución adecuada del proyecto. </t>
  </si>
  <si>
    <t>Se le aclara al interesado que: 
i) conforme a la Sección 19.1 (b) las Obras Menores, serán ejecutadas, financiadas, operadas y mantenidas por el Concesionario y la ANI asumirá el pago de las Obras Menores con los recursos de la respectiva subcuenta.  
ii) su entendimiento es correcto, tal y como lo describe la Sección  3.14(h)(xi)(1) de la Parte General.</t>
  </si>
  <si>
    <t xml:space="preserve">Se le aclara al interesado que conforme a la Sección 19.1 (b) las Obras Menores, serán ejecutadas, financiadas, operadas y mantenidas por el Concesionario y la ANI asumirá el pago de las Obras Menores con los recursos de la respectiva subcuenta.  
</t>
  </si>
  <si>
    <t>Se aclara al interesado que se realizarán los ajustes respectivos de modo que no se presenten inconsistencias entre los números y las sumatorias totales de estas subcuentas.</t>
  </si>
  <si>
    <t xml:space="preserve">Se aclara al interesado que de acuerdo con lo regulado en el Contrato de Concesión - Parte Especial, el concesionario deberá realizar aportes a la Subcuenta de Interventoría y Coordinación durante la Etapa de Reversión. </t>
  </si>
  <si>
    <t>La entidad se permite aclarar al interesado que si a la Fecha de Terminación de la Etapa de Operación y Mantenimiento el Concesionario no ha obtenido el VPIP, la ANI no reconocerá al Concesionario el saldo no devengado del VPIP y, consecuentemente, la ANI no hará reconocimiento alguno, ni se entenderá que ofrecerá garantía alguna al Concesionario que permita eliminar o mitigar los efectos causados por la no obtención del VPIP.</t>
  </si>
  <si>
    <t>Se aclara al interesado que con base en lo establecido en el parágrafo 1 de la sección 4.3.6 de los Pliegos de condiciones en la cual se establece la posibilidad de que la cuantía a certificar a través de la suma de varias certificaciones, implica que los oferentes pueden presentar más de un financiador.</t>
  </si>
  <si>
    <t xml:space="preserve">La Entidad aclara al interesado que conforme a los estipulado en la Tabla de Referencia del Contrato Parte Especial 3.14 (h) (iv)(2), se especifica el orden y los montos para el fondeo de la Subcuenta de Recaudo de Peaje. En este sentido, el porcentaje establecido para el fondeo de la Unidad Funcional 0, aplicará sobre los recursos que hayan quedado disponibles, luego de haber realizado el fondeo a la Subcuenta de depósito Especial. Posteriormente y una vez atendido el fondeo de la Unidad Funcional 0, con los recursos remanentes, se fondeará la Subcuenta de Contingencias hasta alcanzar el monto señalado o la fecha máxima y finalmente, con el remanente del Recaudo de Peaje con los porcentajes destinado a las demás Unidades Funcionales con base en la estipulado en la sección 4.1 de la Parte Especial. 
</t>
  </si>
  <si>
    <t>La Entidad aclara que esto hace parte del análisis tributario que deberá adelantar cada Interesado con el fin de presentar su oferta económica.</t>
  </si>
  <si>
    <t>Se aclara al interesado que el cálculo del VPIP según se define el VPIP en el Contrato Parte General sección 1.194 y Parte Especial (Capítulo II - Tabla de Referencias a la Parte General, sección 1.194), el VPIP "es el valor presente del Recaudo Proyecto. Adicionalmente Recaudo Proyecto está definido como: "Corresponde al valor resultante de descontar al Recaudo de Peaje, los montos que hayan sido trasladados a las Subcuentas Contingencias y Depósito Especial del Recaudo, en los términos definidos en las Secciones 4.5(i) y 4.5(h) esta Parte Especial"</t>
  </si>
  <si>
    <t xml:space="preserve">Se informa al interesado que se acepta su observación y se efectuarán los ajustes correspondientes en el documento definitivo. </t>
  </si>
  <si>
    <t>Se informa al interesado que la referida sección 3.14(g)(ix) ya indica la fuente de los recursos de esta subcuenta (convenios o acuerdos de cooperación) y sus usos (programas de mitigación y adaptación al Cambio Climático), así como la condición que estos sean recursos de fuente externa. Considerado lo anterior se aclara que la ejecución de estas iniciativas  solo se presentará bajo el amparo de este tipo de convenios.</t>
  </si>
  <si>
    <t xml:space="preserve">Se informa al interesado que la observación no es procedente, ya que con base en la estimación de los recursos netos para el proyecto (descontando el porcentaje mencionado) se considera que los mismos resultan suficientes para la ejecución del proyecto incluyendo el pago de la financiación y riesgos a cargo de la ANI hasta el monto previsto en la parte Especial. </t>
  </si>
  <si>
    <t>Se informa al interesado que no se acepta su observación. La entidad considera que las tipologías permitidas para los  Prestamistas de la Sección 3.8(d) establece bien las calidades necesarias para contar con financiadores adecuados y a su vez son suficientemente amplias para acoger a los posibles interesados en financiar el Proyecto que se encuentran actualmente en el mercado.</t>
  </si>
  <si>
    <t>Se informa al interesado que la ANI y/o el Interventor contarán con la facultad de realizar auditoría y control permanente sobre el Patrimonio Autónomo y el Patrimonio Autónomo-Deuda sin excepción.</t>
  </si>
  <si>
    <t>Se informa al interesado que su entendimiento es correcto</t>
  </si>
  <si>
    <t>Se informa al interesado que la titularidad de todos los bienes que comprenden la infraestructura concesionada es siempre de la ANI y por lo tanto es ella quien contabiliza la propiedad, planta y equipo en nombre de la nación. Lo relacionado con la UF3 se contabilizará conforme lo indicado por la CINIIF 12 al igual que ocurre con las demás unidades funcionales.</t>
  </si>
  <si>
    <t>Se aclara al interesado que la Entidad tendrá acceso a la información de dichos EEFF y tendrá el derecho de auditar la información de ese patrimonio autónomo sin que sea parte integrante del mismo.</t>
  </si>
  <si>
    <t>Se aclara al interesado que en línea con lo estipulado en la tabla de referencias  del Contrato Parte Especial, en la referencia 3.1 (b) (iv) se establece que "Para este Proyecto no se contemplan otras fuentes para la Retribución". Esta es una redacción estándar de la parte general pero por lo indicado no aplica para este proyecto.</t>
  </si>
  <si>
    <t>Se informa al Interesado que dado que la ANI es la beneficiaria de la subcuenta, sí se requerirá de autorización para realizar las devoluciones. Por otro lado el GMF será asumido por el concesionario como ocurre con todos los gravamenes e impuestos del patrimonio autónomo.</t>
  </si>
  <si>
    <t xml:space="preserve">Se informa al interesado que no se acepta su observación. De acuerdo con lo indicado por la Sección observada, esta instalación deberá hacerse por el Concesionario a su entero costo y riesgo. </t>
  </si>
  <si>
    <t xml:space="preserve">Se aclara al interesado que no es procedente la observación toda vez que cualquier costo asociado a obras adicionales (adiciones en el marco de la ley, nuevas consultas previas, entre otras) serán compensadas o pagadas según los mecanismos establecidos para las mismas. En ese sentido se aclara que el porcentaje de RP, estará destinado exclusivamente al reconocimiento de las actividades de operación y mantenimiento con base en el alcance original del Proyecto. </t>
  </si>
  <si>
    <t xml:space="preserve">Se aclara que la Subcuenta de compensaciones Ambientales podrán ser utilizadas únicamente para las acciones establecidas específicamente en la definición 1.32 del Contrato Parte General dentro de las cuales no se incluyen los costos mencionados. Estos costos deberán ser ejecutados como parte del presupuesto de Gestión Ambiental por parte del concesionario, en línea con lo establecido en la sección 8.1 (a) del Contrato Parte General. </t>
  </si>
  <si>
    <t>Se informa al interesado que no se acepta su observación. La ANI considera que la regla establecida en la Sección 3.14. es razonable de acuerdo con el evento que pretende regularse. Si el Concesionario fondea en exceso los montos establecidos en la Parte Especial respecto de las subcuentas de la Cuenta Proyecto y la Cuenta ANI, no se le reconocerá sobre el monto en exceso intereses en los términos establecidos en la Sección 3.6.</t>
  </si>
  <si>
    <t xml:space="preserve">Se informa al interesado que no se acepta su observación. La ANI considera que el porcentaje establecido para reconocer la variación en el valor de los tributos es razonable. </t>
  </si>
  <si>
    <t>Se aclara al interesado que el contrato no contempla Aportes ANI</t>
  </si>
  <si>
    <t>Se informa al interesado que en caso de contar con recaudo de peaje al momento de la terminación anticipada se aplicará el porcentaje %RP durante la fase de reversión, el cual fue calculado respecto a la estimación de ingresos del proyecto para que sea suficiente para cubrir los gastos de esa fase. En todo caso la fase de reversión contempla un periodo corto y las obligaciones son menores a las de las demás etapas, por lo tanto las diferencias no serían materiales.</t>
  </si>
  <si>
    <t xml:space="preserve">Se informa al interesado que estos costos se compensan implícitamente dentro de la fórmula de liquidación vía actualización con TE e inflación, por lo que incluirlos dentro del AR duplicaría su contabilización. </t>
  </si>
  <si>
    <t xml:space="preserve">Se informa al interesado que no se acepta su observación. La ANI considera que el fondeo previsto en el Contrato es razonable de acuerdo con las necesidades del Proyecto y el destino de cada una de las Subcuentas. </t>
  </si>
  <si>
    <t xml:space="preserve">Se informa al interesado que los aportes a la Subcuenta Contingencias se encuentran debidamente identificados en la Sección 4.5(i) de la Parte Especial. </t>
  </si>
  <si>
    <t>Se aclara que el interesado deberá hacer sus propios análisis con base en las normas contables y tributarias vigentes, teniendo en cuenta las reversiones que deberán hacerse.</t>
  </si>
  <si>
    <t>Se informa al interesado que la sección referida indica que despúes de presupuestado el costo de los amigables componedores, de haber recursos disponibles en la Subcuenta MASC, los mismos podrán destinarse al pago de honorarios de árbitros y demás gastos que se causen con ocasión de la convocatoria del Tribunal de Arbitramento. No se considera pertinente incluir el gasto a cargo del concesionario dentro de estos recursos, se aclara que en la estructuración financiera, los recursos que el concesionario debe fondear son retribuidos por la ANI en su totalidad, por esta razón no se cubren los gastos de ambas partes.</t>
  </si>
  <si>
    <t xml:space="preserve">Teniendo en cuenta que las retenciones sobre la retribución o la compensación especial, están asociadas a incumplimientos por parte del concesionario, se considera que el manejo de los rendimientos actual de esa subcuenta es adecuado a modo de alinear los incentivos respectivos. </t>
  </si>
  <si>
    <t>Se informa al interesado que se considera que el periodo establecido es necesario para la adecuada identificación de la materialización del riesgo a cargo de la ANI y la activación y cálculo de la compensación. Por otro lado al ser un plazo conocido y expreso dentro del contrato debería permitir a los financiadores realizar los dimensionamientos respectivos respecto a estos eventos.</t>
  </si>
  <si>
    <t>Se informa al interesado que no se acepta su observación la ANI considera que el plazo establecido en el Contrato es razonable de acuerdo con las condiciones del Proyecto y la compensación por imposibilidad de instalación de las Estaciones de Peaje.
Así mismo se aclara que el cero al que refiere el interesado está enmarcado dentro del numeral (i) y (iii) de la sección 3.3 (h)(iv), dentro de la cual se está indicando cómo calcular la diferencia que multiplicada por 90% equivaldrá a la compensación que se pagará por menor recaudo. Es decir que el hecho de restar este cero del recaudo que se hubiera producido para esos casos, es equivalente a tomar la totalidad del recaudo dejado de percibir como base para la compensación.</t>
  </si>
  <si>
    <t>Se informa al interesado que  se ajustará la minuta del contrato para incluir el mecanismo de soporte de ingresos en algunos años y hasta por los montos que se señalarán en la parte especial.  La entidad se permite aclarar al interesado que si a la Fecha de Terminación de la Etapa de Operación y Mantenimiento el Concesionario no ha obtenido el VPIP, la ANI no reconocerá al Concesionario el saldo no devengado del VPIP dado que está otorgando un soporte de ingresos y para este proyecto existe una historia de tráfico de 8 peajes existentes.</t>
  </si>
  <si>
    <t xml:space="preserve">Se aclara al interesado que su entendimiento es correcto y tal y como se define en el Parte Especial, para efectos de este contrato el VPIP será calculado con base en el Recaudo Proyecto dentro del cual no se tiene incluido dicho porcentaje. </t>
  </si>
  <si>
    <t>Teniendo en cuenta que la obtención del cierre financiero y el cumplimiento del mismo es una obligación expresa del Concesionario y que la efectiva ejecución del mismo depende en su totalidad de las negociaciones y documentos contractuales que hayan suscrito y acordado entre el Concesionario y los financiadores, se considera pertinente y adecuado mantener la redacción tal y como está estipulada en esta sección.</t>
  </si>
  <si>
    <t xml:space="preserve">Se aclara al interesado que la Entidad considera que los proponentes tienen la capacidad de incluir el análisis respectivo dentro de su debida diligencia y capturar cualquier consideración respecto al mismo en su propuesta y oferta económica.  
</t>
  </si>
  <si>
    <t>La Entidad se permite informar al interesado que considera procedente su observación y realizará las modificaciones pertinentes en la "Tabla de Referencia a la parte general"  que se presenta en el Capítulo II de la Parte Especial</t>
  </si>
  <si>
    <t>No se incluyen en la Subcuenta Compensaciones Socioambientales. Acorde con la Sección (b) del Capítulo IX, "El Concesionario, a su cuenta y riesgo asume la totalidad de las obligaciones contenidas en la Resoluciones que otorgan las licencias ambientales al igual que las de los otros actos administrativos asociados a estas."</t>
  </si>
  <si>
    <t xml:space="preserve">La entidad se permite aclarar que teniendo en cuenta que esta tasa continua siendo vigente, no se considera procedente realizar este cambio. </t>
  </si>
  <si>
    <t xml:space="preserve">Se informa al interesado que se realiza un ajuste en las secciones mencionadas para que el manejo de los rendimientos sean consistentes a lo largo del Contrato incrementando dichas subcuentas. </t>
  </si>
  <si>
    <t>Se informa al interesado que no se acepta su observación. En el momento de presentar su oferta correspondiente al Factor de Calidad el interesado deberá evaluar el manejo de riesgos prediales, socioambientales y de redes de acuerdo con lo previsto en el Contrato Parte General. Se informa al interesado que los alcances de las obras del Factor de Calidad serán aclarados en los documentos definitivos en el sentido que son intervenciones que se realizan en vías existentes de categorías secundaria y terciaria por lo tanto los riesgos prediales, socioambientales y de redes son sustancialmente menores.</t>
  </si>
  <si>
    <t>Se informa al interesado que no se acepta su observación. En el evento en que exista desacuerdo entre las partes en relación con los montos de la liquidación del Contrato las partes deberán acudir al Amigable Componedor para solucionarlos. Dada la etapa en la que se encuentra el Contrato, la entidad considera que no hay lugar a establecer un procedimiento contractual para llegar a un acuerdo frente a los montos de la liquidación del Contrato.</t>
  </si>
  <si>
    <t xml:space="preserve">Se aclara al interesado los valores establecidos en el contrato parte especial corresponden a los porcentajes del recaudo que estará asociado a estas unidades funcionales. La retribución contrario a lo anterior, estará asociada al momento en que se termine la unidad funcional momento a partir del cual, se recibirá el acumulado del recaudo hasta ese periodo (de acuerdo a los porcentajes de la tabla señala en la Parte Especial) y de ahí en adelante el porcentaje asignado para ese momento. </t>
  </si>
  <si>
    <t xml:space="preserve">La entidad se permite aclarar que teniendo en cuenta que esta tasa continua siendo vigente, no se considera procedente realizar este cambio en este momento. </t>
  </si>
  <si>
    <t xml:space="preserve">Se informa al interesado que la entidad modificará el contrato parte general estableciendo un plazo para acreditar el cierre financiero del Concesionario de dieciocho (18) Meses contados desde la fecha de suscripción del Acta de Inicio de la Fase de Construcción. </t>
  </si>
  <si>
    <t xml:space="preserve">Se informa al interesado que las Compensaciones Socioambientales son requerimientos de las Autoridades Ambientales incluidas dentro de actos administrativos específicos del Proyecto. Teniendo en cuenta lo anterior, los plazos para la expedición de dichos requerimientos estarán regulados por la Autoridad Ambiental correspondiente. </t>
  </si>
  <si>
    <t>Se informa al interesado que se acepta su observación y se hará el ajuste en el documento definitivo, ya que las fuentes de financiación de la Sección 3.14(g)(ix)(1), son diferentes a las descritas en la Sección 3.1(b) de la parte general.  Se eliminará dicha referencia en el contrato parte general.</t>
  </si>
  <si>
    <t xml:space="preserve">Se informa al interesado que se realiza un ajuste en las secciones mencionadas para que el manejo de los rendimientos de estas subcuentas incrementen dichas subcuentas. </t>
  </si>
  <si>
    <t xml:space="preserve">Se informa al interesado que una vez agotados los fondos de la Subcuenta Obras Sociales, el Concesionario no estará obligado a efectuar fondeos adicionales. La ANI tendrá en cuenta los valores establecidos en la Parte Especial para la aprobación de proyectos que sean catalogados como Obras Sociales. </t>
  </si>
  <si>
    <t>Los alcances del convenio y de los protocolos a establecer con la Policía de Carreteras y cuales rubros se incluyen en la Subcuenta Policía de Carreteras se desarrolla en la Sección 3.3.9. Policía de Carreteras del Apéndice Técnico 2.</t>
  </si>
  <si>
    <t xml:space="preserve">Se informa al interesado que no se acepta su observación. Será riesgo asignado al Concesionario los efectos de las variaciones del Peso en relación con cualquier otra moneda, así como el riesgo de financiación, tal como está previsto en documentos Conpes que aplican para este sector, pero se recomienda al concesionario que en caso de decidir tomar financiación en otras monedas, haga uso de instrumentos financieros como coberturas, garantías o seguros, entre otro tipo de instrumentos existentes en el mercado que mitiguen este tipo de riesgos. </t>
  </si>
  <si>
    <t xml:space="preserve">Se informa al interesado que los ajustes a la asignación de riesgos se debe a las particularidades propias de las situaciones que impactan de alguna forma el riesgo y, en consecuencia, su asunción. La ANI considera que la regulación es armónica y no requiere modificaciones adicionales. </t>
  </si>
  <si>
    <t xml:space="preserve">Se informa al interesado que no se acepta su observación. La ANI asumirá los efectos favorables y/o desfavorables derivados de los cambios en Especificaciones técnicas producto de cambios en normatividad que establece especificaciones técnicas para los proyectos viales, siempre que la ANI ordene la adopción del cambio en las Especificaciones Técnicas y su respectiva aplicación al Proyecto.   Cualquier otro ajuste a Especificaciones Técnicas tendrá la regulación propuesta en el Contrato para el efecto. </t>
  </si>
  <si>
    <t xml:space="preserve">Se aclara al interesado que la ANI tiene la obligación de pagar al Concesionario el fondeo faltante para las Subcuentas Soporte Contractual e Interventoría y Coordinación en los términos establecidos en el Contrato para cubrir el riesgo de insuficiencia del valor estimado de recursos. </t>
  </si>
  <si>
    <t xml:space="preserve">Se informa al interesado que no se acepta su observación. La ANI considera que  exigir mínimo el 40% de ejecución de la Unidad Funcional para que aplique la compensación especial es razonable, considerando que en caso de surgir algún Evento Eximente, el concesionario halla realizado algún avance de obra significativo para poder otorgar esta compensación. </t>
  </si>
  <si>
    <t>Se informa al interesado que no se acepta su observación. La ANI considera que la regulación propuesta es adecuada, responde a las necesidades del Proyecto, y está alineada con los incentivos de avance de obra que requiere la Entidad.</t>
  </si>
  <si>
    <t xml:space="preserve">El Concesionario deberá asegurarse y evidenciar los pasos del Plan de Redes definidos en la Sección 3.2.1 del Apéndice Técnico 5 Redes, así como los procedimientos definidos en la Ley 1682 de 2013, especialmente del artículo 48 que determina los plazos máximos de respuesta y para llegar a acuerdos con las empresas prestadoras u operadoras de las Redes. Según el caso, la falta de acuerdo en el protocolo de seguridad será considerada en la revisión de la interventoría y de la ANI evidenciando las gestiones adelantadas por el Concesionario, acorde con las Secciones 3.2.1(c)(vi) a (xi) y 3.2.1(e)(iii) a (vii) del Apéndice Técnico 5, o si la falta de acuerdo en el protocolo de seguridad llega a impedir el traslado y/o intervención de las Redes en más de 180 Días en las condiciones de la Sección 8.2(i) de la Parte General entonces se tratará como Fuerza Mayor por Redes y se seguirá el procedimiento descrito en la Sección 8.2(i).
</t>
  </si>
  <si>
    <t>Se considera que los alcances del Proyecto deben inlcuir las obras en los taludes tal como se define en las Secciones 6.3(ii) y 6.4(v) del Apéndice técnico 1, de forma que se asegure la disponibilidad de las vías y la seguridad vial como lo exigen los requisitos de Operación y Mantenimiento, y la asignación del riesgo de construcción al privado en el desarrollo de las Intervenciones. Se aclara que los taludes no se excluyen del Corredor del Proyecto y de acuerdo con el Apéndice Técnico 7, estos hacen parte de las situaciones particulares a tener en cuenta en los Predios Requeridos si son requeridos para las Intervenciones, definido en la Sección 4.3(c)(vii) de dicho Apéndice. Por tal motivo no procede la solicitud.</t>
  </si>
  <si>
    <t>Dentro de los Estudios de Detalle que debe desarrollar el Concesionario en la Fase de Preconstrucción se encuentra el estudio de tránsito y transporte, para todos los corredores y tramos de la concesión. Con base en los resultados de dicho estudio, se deberá determinar la solución óptima para los problemas de congestión que se producen actualmente en la zona, motivados por el acceso/salida al Estadio en los días de eventos. Para esta Intervención se pretende incluir dos carriles de incorporación adosados al tramo Cali-Palmira que canalicen los flujos de entrada y salida al estadio, en este sentido se ampliará la decripción de parámetros de la Tabla 14 del Apéndice Técnico 1.</t>
  </si>
  <si>
    <t xml:space="preserve">En este tramo de 9,66 km de longitud de referencia los flujos de retorno requieren una solución intermedia aparte de las intersecciones de los extremos. Se aclarará en el Apéndice Técnico 1, en el sentido que se deben estudiar los distanciamientos apropiados entre retornos e intersecciones para una operación óptima de las vías. 
</t>
  </si>
  <si>
    <t>Las condiciones geométricas se refieren a la construcción de la segunda calzada, esto no restringe que la calzada existente tenga adaptaciones al modificar su operación al flujo unidireccional, por ejemplo en la dimensión de bermas internas o separadores entre otros, lo cual podrá ser determinado por el Concesionario en los Estudios de Trazado y Diseño Geométrico y Estudios de Detalle. Para dar mayor claridad se ajustará la tabla 23 del Apéndice Técnico 1</t>
  </si>
  <si>
    <t>1) La definición de estas Obras se hizo con los diseños del Cuarto de Información de Referencia, y se refiere a cumplir con la construcción de obras de drenaje, protecciones de terraplenes y otras obras adecuadas y acordes con la evaluación de impactos desarrollada durante la consulta previa. Según estos antecedentes, los Estudios de Detalle elaborados por el Concesionario podrán adaptar las soluciones propuestas de drenaje, protecciones, entre otras, que respondan a un adecuado manejo de los impactos, e incluir estas disposiciones dentro del plan de trabajo para la ejecución de los acuerdos y compromisos adquiridos con las comunidades étnicas en los procesos de consulta previa protocolizados.
2) Estas obras se derivan del alcance de las Intervenciones de la Infraestructura Proyectada del Capítulo IV del Apéndice Técnico 1, y su detalle será definido en los Estudios de Detalle, como tal esta parte de los acuerdos del numeral 27 no son una compensación. Al cumplir los alcances de la Infraestructura Prroyectada no habría lugar a incumplimientos por cuanto deberán incluir las soluciones iguales o equivalentes para el manejo de escorrentía. El plan de trabajo para la ejecución de los acuerdos y compromisos adquiridos con las comunidades étnicas en los procesos de consulta previa protocolizados contemplará los seguimientos de los acuerdos acorde con la Ley Aplicable, en los que pueda actualizarse el estado del Proyecto y los planteamientos de las Intervenciones a realizar. En esas instancias de seguimientos se podrán exponer las adaptaciones de los Estudios de Detalle de estas obras.
3) La parte del numeral 27 se refiere a la Infraestructura Proyectada, no a las compensaciones, por tal motivo son a cuenta y riesgo del Concesionario junto con las demás Intervenciones de la Infraestructura Proyectada.</t>
  </si>
  <si>
    <t>Estos datos están dispuestos en el Cuarto de Información de Referencia en los formatos en los que fueron entregados por las empresas operadoras o propietarias de las redes de servicios públicos. Igualmente, se precisa que esta información estará disponible a título meramente informativo acorde con las condiciones de la Sección 1.7 Cuarto de Información de Referencia del Pliego de Condiciones.</t>
  </si>
  <si>
    <t>Estos datos están dispuestos en el Cuarto de Información de Referencia en los formatos en los que fueron entregados por las empresas operadoras o propietarias de las redes de servicios públicos en la Carpeta F.  Debe tenerse en cuenta que parte de la información de redes de servicios públicos es confidencial según las condiciones definidas por los operadores y encargados de las redes. Igualmente, se precisa que esta información estará disponible a título meramente informativo acorde con las condiciones de la Sección 1.7 Cuarto de Información de Referencia del Pliego de Condiciones.</t>
  </si>
  <si>
    <t>Se informa que se complementará el Cuarto de Información de Referencia con planos de interferencias de redes específicas del Proyecto. Se aclara que la carpeta F tiene información de operadoras y propietarias de las redes y por esto los formatos obedecen al tipo entregado por las empresas de servicios púbilcos. La UF3 en particular tiene estimaciones de alumbrado en los tramos poblados, intersecciones y puntos especiales de seguridad vial como pasos peatonales, sin embargo no se presentan implantaciones en planos. Igualmente, se precisa que esta información estará disponible a título meramente informativo acorde con las condiciones de la Sección 1.7 Cuarto de Información de Referencia del Pliego de Condiciones.</t>
  </si>
  <si>
    <t>Se informa que se complementará el Cuarto de Información de Referencia con planos en formato abierto de los tramos de infraestructura existente de la concesión anterior que incluye el tramo en mención.  Igualmente, se precisa que esta información estará disponible a título meramente informativo acorde con las condiciones de la Sección 1.7 Cuarto de Información de Referencia del Pliego de Condiciones.</t>
  </si>
  <si>
    <t>La información disponible, a título informativo, de los tramos intersección Versalles-Parque del Azúcar, y las obras del Factor de Calidad se encuentran en la Carpeta G del Cuarto de Información de Referencia. Este tramo cuenta con dos fuentes de información, en la carpeta G11 estudios del tramo realizados por INVIAS que cuentan con información en planta-perfil, y la carpeta G12 con estudios realizados por el municipio que modifican los de INVIAS en una propuesta de paso deprimido en la intersección de Versalles.
El tramo Palmira-Candelaria cuenta con LiDAR incluido en la carpeta A12 y anexos, se revisará si respecto al índice faltan archivos de ortofotos para complementar el Cuarto de Información de Referencia.
Se aclara que respecto a las condiciones de geometría de la Salida Palmira - Pradera, se confirmará en los documentos definitivos cuales aplicarán sobre la doble calzada en el sentido de definir que se admite una sola plataforma o calzadas separados por separador. Debe tenerse en cuenta que las referencias cartográficas se obtuvieron al momento de la construcción del tramo sur de la segunda calzada de la calle 42, por lo cual puede haber diferencias frente a la segunda calzada ya construida.
Para el tramo de La Herradura - Matapalo se cuenta con la localización georeferenciada del tramo.
Se precisa que esta información estará disponible a título meramente informativo acorde con las condiciones de la Sección 1.7 Cuarto de Información de Referencia del Pliego de Condiciones.
Por otro lado, se informa al interesado que dentro de los Estudios de Detalle que debe desarrollar el Concesionario en la Fase de Preconstrucción se encuentra el estudio de tránsito y transporte, para todos los corredores y tramos de la concesión. Con base en los resultados de dicho estudio, se deberá determinar la solución óptima para los problemas de congestión que se producen actualmente en la intersecciones mencionadas.</t>
  </si>
  <si>
    <t xml:space="preserve">Se incluirá, en el Cuarto de Información de Referencia (carpeta G), la información disponible de la variante El Bolo y del tramo Villa Rica - Caloto. Esta información estará disponible a título meramente informativo acorde con las condiciones de la Sección 1.7 Cuarto de Información de Referencia del Pliego de Condiciones. 
Se complementará el Cuarto de Información de Referencia con planos en abierto de la infrarestructura existente de la anterior concesión que incluye la variante El Bolo. Se aclara que el nivel de detalle de los estudios y diseños publicados son de factibilidad.
En cuanto al acceso al Estadio, la Intervención pretende incluir dos carriles de incorporación adosados al tramo Cali-Palmira que canalicen los flujos de entrada y salida al estadio, en este sentido se ampliará la decripción de parámetros de la Tabla 14 del Apéndice Técnico 1. Igualmente, dentro de los Estudios de Detalle que debe desarrollar el Concesionario en la Fase de Preconstrucción se encuentra el estudio de tránsito y transporte, para todos los corredores y tramos de la concesión. Con base en los resultados de dicho estudio, se deberá determinar la solución óptima para los problemas de congestión que se producen actualmente en la zona, motivados por el acceso/salida al Estadio en los días de eventos.
</t>
  </si>
  <si>
    <t>Se informa al interesado que su entendimiento es correcto.
En los estudios de estructuración se identificaron las obras de drenaje existente y se comprobaron las capacidades hidráulicas de las mismas determinando, tal y como se indica en la tabla 6-1 del documento MV-CO1S-HS-IF-001-R0 (carpeta B111 del Cuarto de Información de Referencia), que hay varias que no cumplen y que deben de ser sustituidas por otras de mayor capacidad incluidos los señalados en diferente color. Cabe señalar que esta información estará disponible a título meramente informativo acorde con las condiciones de la Sección 1.7 Cuarto de Información de Referencia del Pliego de Condiciones. Por lo que le Corresponderá al Concesionario adelantar los estudios necesarios para la ejecución de las Intervenciones en el nivel de detalle requerido en el Contrato, y cumpliendo con lo dispuesto en los apéndices técnicos.</t>
  </si>
  <si>
    <t>La definición depende de los análisis de tráfico peatonal o biciusuarios que determine la necesidad de segregar los flujos mediante andenes. Se incluirán en el Apéndice Técnico 1 condiciones mínimas de andenes a construir en puentes relativos a tramos urbanos o suburbanos.</t>
  </si>
  <si>
    <t>Se informa al interesado que la sección que aplica para el corredor es la contenida en la tabla 19 del Apéndice técnico 1, que coincide con lo reflejado en el plano MV-CO3-DG-PL-001-SC-MJ R (2.00 metros de berma externa, dos carriles de 3.65 metros cada uno y 1.00 metros de berma interna). En su lectura debe tener en cuenta las transiciones a calzada sencilla que tiene esta Unidad Funcional.
Cabe señalar que esta información estará disponible a título meramente informativo acorde con las condiciones de la Sección 1.7 Cuarto de Información de Referencia del Pliego de Condiciones, por lo que le corresponderá al Concesionario adelantar los estudios necesarios para la ejecución de las Intervenciones en el nivel de detalle requerido en el Contrato, y cumpliendo con lo dispuesto en los apéndices técnicos. En este caso en particular, el Apéndice Técnico 1, en su tabla 19, indica las Características geométricas y técnicas de entrega para las vías a cielo abierto UF4.</t>
  </si>
  <si>
    <t xml:space="preserve">Los compromisos de vinculación de mano de obra con cada comunidad se establecieron dentro de las consultas previas y cada una de las cuales se hizo con alcances en los tramos del área de influencia de cada comunidad. Al respecto debe tenerse en cuenta que las consultas se desarrollaron sobre intervenciones definidas por tramos. Para estas consultas en específico, el alcance consultado para los concejos de San Isidro, Dos Aguas de Cascajal y Bocas de Palo es el de la Unidad Funcional 3 Avenida Bicentenario (antes Avenida Ciudad de Cali), como consta en los certificados 0964 y 0965 de 2018 emitidos por el Ministerio del Interior. Para el concejo de San Isidro se incluye también la Unidad Funcional 4, como consta en el certificado 1043 de 2018 emitido por el Ministerio del Interior. 
Esta documentación se puede consultar en el Cuarto de Información de Referencia Carpeta E23. </t>
  </si>
  <si>
    <t>Sí se incluyen oblligaciones de inclusión de iluminación. Las obligaciones específicas se incluyen en el Apéndice Técnico 2, especialmente en la Sección 6.3.4. Iluminación. Se aclara que aparte de estas condiciones y los puntos y tramos específicos que se incluyen en el Apéndice Técnico 1 para la inclusión de iluminación, no hay restricciones en su definición más allá del cumplimiento de la normativa relacionada en el Apéndice Técnico 3, por lo que bajo estas condiciones podrá ser definida por el Concesionario.
Se aclara que el mencionado Anexo 4A no hace parte del Contrato de Concesión por lo tanto no determina obligaciones para el Concesionario.
Se complementará información en el Cuarto de Información de Referencia sobre la iluminación de Cali-Palmira.
se precisa que esta información estará disponible a título meramente informativo acorde con las condiciones de la Sección 1.7 Cuarto de Información de Referencia del Pliego de Condiciones</t>
  </si>
  <si>
    <t>Sí se incluyen oblligaciones de inclusión de iluminación. Las obligaciones específicas se incluyen en el Apéndice Técnico 2, especialmente en la Sección 6.3.4. Iluminación de todas y cada una de las Estaciones de Pesaje, Estaciones de Peaje, Centro de Control de Operación, intersecciones a nivel y a desnivel, paraderos y pasos peatonales, y Áreas de Servicio. Se aclara que aparte de estas condiciones y los puntos y tramos específicos que se incluyen en el Apéndice Técnico 1 para la inclusión de iluminuación en el tramo Cali-Palmira, no hay restricciones en su definición más allá del cumplimiento de la normativa relacionada en el Apéndice Técnico 3, por lo que bajo estas condiciones podrá ser definida por el Concesionario.
Se aclara que el mencionado Anexo 4A no hace parte del Contrato de Concesión por lo tanto no determina obligaciones para el Concesionario.
En la carpeta H se incluye información de iluminación de la infrastrucctura existente, igualmente se informa que se complementará el Cuarto de Información de Referencia con el dimensionamiento de la iluminación de Cali-Palmira.
Finalmente, esta información estará disponible a título meramente informativo acorde con las condiciones de la Sección 1.7 Cuarto de Información de Referencia del Pliego de Condiciones</t>
  </si>
  <si>
    <t>Se recuerda al  interesado que el Contrato de Concesión establece que los Estudios de Factibilidad de Trazado y Diseño Geométrico son de referencia. 
La condición planteada en el numeral 6.3 hace referencia a la franja declarada de utilidad pública obtenida en la estructuración del proyecto, y la variación que pueda presentarse en los Estudios de Trazado y Diseño Geométrico y los Estudios de Detalle que realice el concesionario respecto a la misma. Por lo cual las observaciones planteadas no son procedentes. 
Respecto a la observación y las condiciones asociadas a la franja de utilidad pública definidas en la sección contractual correspondiente, se aclara al interesado lo siguiente:
 -  La intención de esta regulación es la de velar porque una modificación de este tipo no desborde de una manera desmedida los riesgos que asume la entidad (en especial lo referente a la adquisición predial, riesgos socioambientales, o de redes). 
 - En ningún aparte del contrato se plantea que sea obligatorio implementar los Trazados elaborados por la Entidad. La condición planteada en el numeral 6.3 hace referencia a la franja de utilidad pública y la variación que pueda presentarse en los Estudios de Trazado y Diseño Geométrico y los Estudios de Detalle que realice el concesionario respecto a la misma. 
 - Aunque tal y como se aclara en los numerales anteriores, la redacción observada se comporta como un límite más nunca como una restricción absoluta, la Entidad realizará algunos ajustes a esta regulación de manera tal que dicho límite sea más flexible.</t>
  </si>
  <si>
    <t>Se inforrma al interesado que se harán complementaciones en la carpeta CII- Pavimentos del Cuarto de Información de Referencia . Esta información estará disponible a título meramente informativo acorde con las condiciones de la Sección 1.7 Cuarto de Información de Referencia del Pliego de Condiciones.</t>
  </si>
  <si>
    <t>Se inforrma al interesado que se harán complementaciones al Cuarto de Información de Referencia incluyendo estudios de referencia del tramo Villarrica-Caloto en la Carpeta G y la ubicación georeferenciada de ambos tramos viales.  Esta información estará disponible a título meramente informativo acorde con las condiciones de la Sección 1.7 Cuarto de Información de Referencia del Pliego de Condiciones.</t>
  </si>
  <si>
    <t xml:space="preserve">La inspeccción visual permitirá evidenciar si la luminaria no está cumpliendo con las condiciones definidas en el Diseño de Detalle, ya sea por daños o por degradación de lúmenes. Se realizaran los ajustes en el Apendice Tecnico 2 y Apendice Tecnico 4, y se publicaran con los documentos de los Pliegos de Condiciones Definitivos. </t>
  </si>
  <si>
    <t>Se informa al interesado que se acepta su observación y se hará el ajuste correspondiente en los documentos del Pliego de Condiciones Definitivo.</t>
  </si>
  <si>
    <t>Dicha información corresponde a la debida diligencia a desarrollar por el Oferente para la presentación de la Oferta, incluida la definición que considere el Oferente sobre fuentes de materiales y zonas de disposición de sobrantes nuevas o existentes. Al respecto de zonas de disposición identificaddas y fuentes de materiales existentes puede encontrar información en los volúmenes de geotecnia y geología, esta información estará disponible a título meramente informativo acorde con las condiciones de la Sección 1.7 Cuarto de Información de Referencia del Pliego de Condiciones.</t>
  </si>
  <si>
    <t>Se informa al interesado, que el punto de inicio definido en el Apéndice Técnico 1 para el corredor Santander de Quilichao - Palmira, no  superpone los límites del proyecto Santander de Qulichao - Popayán.</t>
  </si>
  <si>
    <t>Se aclara al interesado que la Resolución de Peajes para el proyecto Nueva Malla Vial del Valle del Cauca Accesos a Cali y Palmira se publicará antes de la adjudicación del proyecto. De otra parte, se precisa que las tarifas asociadas a dicha resolución corresponderán con las tarifas vigentes, se publicarán en el cuarto de datos las resoluciones mediante las cuales se definen las actuales tarifas de peaje de las estaciones que componene el proyeto, por lo que la tarifa solamente será actualizada por inflación.</t>
  </si>
  <si>
    <t>Se aclara al interesado que la regulación establecida en la sección 6.3, no afecta a capacidad que tendrá el concesionario para realizar las optimizaciones de diseño, y  tendrá la libertad para optimizar sus Estudios y Diseños dentro de la franja de utilidad establecida. Se recuerda al  interesado que el Contrato de Concesión establece que los Estudios de Factibilidad de Trazado y Diseño Geométrico son de referencia. 
La condición planteada en el numeral 6.3 hace referencia a la franja declarada de utilidad pública obtenida en la estructuración del proyecto, y la variación que pueda presentarse en los Estudios de Trazado y Diseño Geométrico y los Estudios de Detalle que realice el concesionario respecto a la misma. 
Respecto a las condiciones asociadas a la franja de utilidad pública definidas en la sección contractual correspondiente, se aclara al interesado lo siguiente:
 -  La intención de esta regulación es la de velar porque una modificación de este tipo no desborde de una manera desmedida los riesgos que asume la entidad (en especial lo referente a la adquisición predial, riesgos socioambientales, o de redes). 
 - En ningún aparte del contrato se plantea que sea obligatorio implementar los Trazados elaborados por la Entidad. La condición planteada en el numeral 6.3 hace referencia a la franja de utilidad pública y la variación que pueda presentarse en los Estudios de Trazado y Diseño Geométrico y los Estudios de Detalle que realice el concesionario respecto a la misma. 
 - Aunque tal y como se aclara en los numerales anteriores, la redacción observada se comporta como un límite más nunca como una restricción absoluta, la Entidad realizará algunos ajustes a esta regulación de manera tal que dicho límite sea más flexible.</t>
  </si>
  <si>
    <t>Se informa al interesado que en los documentos correspondientes a los Pliegos de Condiciones Definitivos se ajustará la redacción, las condiciones de medición del porcentaje y aplicación de la mezclas asfálticas con grano de caucho reciclado.</t>
  </si>
  <si>
    <t>El incumplimiento de los Indicadores tiene los mismos efectos indistintamente de la Etapa del Proyecto. Para los Indicadores de la Etapa Preoperativa se aplicarán las condiciones que en específico para esta Etapa se definen en la Tablas 1 y 2 del Apéndice Técnico 4, y su incumplimiento tendrá las mismas consecuencias en el Índice de Cumplimiento.
Se ajustará la redacción en el Apendice Tecnico 4 en los documentos de los Pliegos de Condiciones Definitivos en lo referente a los indicadores de la Etapa Preoperativa, con el fin de que se de un mejor entendimiento respecto de sus obligaciónes.</t>
  </si>
  <si>
    <t>Se informa al interesado que este aspecto será aclarado en el Apendice Tecnico 2 en los documentos de los Pliegos de Condiciones Definitivos, por cuanto existe la posibilidad de iniciar el control de pesaje desde la Etapa Preoperativa con los equipos existentes. Si bien el Concesionario recibirá las estaciones de pesaje, para su uso efectivo en la determinación de infractores deberá efectuar los controles de calibración necesarios sobre los equipos de medición de peso. Se informa que la operación actual de las estaciones de pesaje está a cargo de INVIAS.
Igualmente, se informa al interesado que 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t>
  </si>
  <si>
    <t>Se aclara al interesado que la Sección 4.17(a)(v)(2) refiere claramente a  (A) las Especificaciones Técnicas del Apéndice Técnico 1 y (B) los Indicadores señalados en la Parte Especial, ahora bien las Especificaciones Técnicas según la definición 1.58 de la Parte General "Se entenderán por tales las normas y parámetros contenidos en los Apéndices Técnicos, los cuales establecen los resultados y parámetros mínimos exigibles al Concesionario respecto a las Intervenciones,  ...", es decir que para la suscripción del Acta de Terminación de Unidad Funcional se requiere el cumplimiento íntegro de las Intervenciones definidas en el Apéndice Técnico 1.</t>
  </si>
  <si>
    <t xml:space="preserve"> 
La información solicitada se puede consultar en los expedientes de las licencias que reposan en la ANLA. Sin embargo es pertinente aclarar que el Artículo 2.2.2.3.8.4 del Decreto 1076 de 2015 del 26 de mayo de 2015, señala que “El beneficiario de la licencia ambiental en cualquier momento podrá cederla total o parcialmente, lo que implica la cesión de los derechos y obligaciones de ella se deriva (…)” y no cesión de responsabilidades.
Es así que la ANLA ha señalado en diferentes actos administrativos que “la normativa vigente no contempla alguna posibilidad de cesión de los procesos sancionatorios, los cuales tienen el carácter de intuito personae, por lo cual, la cesión de derechos y obligaciones de una Licencia Ambiental o de un Plan de Manejo Ambiental no implica per se la cesión de los procesos sancionatorios promovidos con ocasión de las infracciones ambientales derivadas de los instrumentos de manejo ambiental, por las que está llamado a responder el titular del instrumento para la época de los hechos”. Por ende, ni procesos sancionatorios, ni multas serán objeto de cesión al adjudicatario de la concesión.</t>
  </si>
  <si>
    <t>Se informa al interesado que dicha información puede consultarse con el Ministerio de Transporte. igualmente cabe anotar la pertinencia de consultar la resolución 509 de 2020 que brinda los considerandos y resuelve la prórroga del plazo de implementación de la interoperabilidad del sistema IP/REV. En todo caso el proyecto contempla las obligaciones que fijó el Ministerio de transporte en materia de IP/REV</t>
  </si>
  <si>
    <t>Se informa al interesado que la presentación general del proyecto y el trazado en formato KMZ fue cargado al cuarto de datos el 27 de abril del año en curso. Esta información puede encontrarla en la Carpeta 5G subcarpeta N_Malla_vial_Valle_AC
Esta información estará disponible a título meramente informativo acorde con las condiciones de la Sección 1.7 Cuarto de Información de Referencia del Pliego de Condiciones.</t>
  </si>
  <si>
    <t xml:space="preserve">
Se aclara al interesado que para la reversión anticipada se tendrá en cuenta el  procedimiento previsto por la entidad para la Reversión solo en aquello que resulte aplicable, tal y como se señala en la sección observada “(…) para lo cual aplicará mutatis mutandi las disposiciones de la Sección 9.7(d) de la Parte General”.</t>
  </si>
  <si>
    <t xml:space="preserve">Se aclara al interesado que para la reversión anticipada se tendrá en cuenta el   procedimiento previsto por la entidad para la Reversión solo en aquello que resulte aplicable, tal y como se señala en la sección observada “(…) para lo cual aplicará mutatis mutandi las disposiciones de la Sección 9.7(d) de la Parte General”.
En ese sentido se precisa que no aplicará el plazo de 180 días </t>
  </si>
  <si>
    <t xml:space="preserve">Se informa al interesado que no se acepta su observación en eliminar la limitación expresada. La sección 6.3. regula los eventos en los cuales el Concesionario realice modificaciones y/o adecuaciones a los Estudios de Factibilidad de Trazado y Diseño Geométrico. Estas modificaciones y/o adecuaciones podrán: (i) mantenerse dentro del área de la franja de terreno declarada de utilidad pública e interés social, caso en el cual la asignación de riesgos del Proyecto se mantiene; o (ii) sobrepasar, exceder o extenderse más allá de dicha franja de terreno, caso en el cual aplicará la asignación de riesgos prevista en la Sección 6.3 (b). Si bien el grado de exactitud de los Estudios puede incidir en estas modificaciones y/o adecuaciones, el Concesionario está en facultad de  realizar las modificaciones y/o adecuaciones que estime pertinentes. 
</t>
  </si>
  <si>
    <t xml:space="preserve">Se aclara al interesado que los procedimientos y plazos de la Reversión Especial se definen en la Sección 3.10 de la Parte Especial e incluyen los tramos de Salida Palmira – Pradera, Salida Palmira – Candelaria, y la Intersección Sameco. Para estos tramos en mención la reversión se define en la fecha de la firma del Acta de Terminación de Unidad Funcional.
Debe tenerse en cuenta que para todos los tramos con Reversión Especial se mantienen las obligaciones de Operación y Mantenimiento en la Etapa Preoperativa, y mientras se completa el proceso de Reversión Especial son aplicables las condiciones de Operación y Mantenimiento de la Sección 3.10 (c).
Se aclara que con la Reversión Especial estos tramos serán revertidos a la ANI según las disposiciones de la Sección 3.10 de la Parte Especial. La ANI a su vez a través de acuerdos interadministrativos hará entrega de esos tramos a otras entidades municipales y departamentales según aplique.
</t>
  </si>
  <si>
    <t xml:space="preserve">Acorde con la Sección 3.10 de la Parte Especial, las obras del Factor de Calidad estarán sujetas a la Reversión Especial, al momento de la firma del Acta de Terminación de Unidad Funcional a la que hagan parte de acuerdo a los términos del Apéndice técnico y la Parte Especial. Las obligaciones de estos tramos serán las dispuestas a la Etapa Preoperativa.
El concesionario entregará la infraestructura de las obras del factor de Calidad, definida en la parte especial y el Apéndice Técnico, a la ANI, y esta a su vez a través de acuerdos interadministrativos hará entrega de esos tramos a otras entidades municipales y departamentales según aplique. Finalmente, en lo referente al Procedimiento de Verificación, se deberá cumplir con lo dispuesto en la Sección 4.17 de la Parte General.
</t>
  </si>
  <si>
    <t>Respecto a la solicitud planteada por el interesado respecto de las modificaciones de los Estudios de Trazado y Diseño Geométrico y los Estudios de Detalle, se aclara lo siguiente:
 -  La intención de esta regulación es la de velar porque una modificación de este tipo no desborde de una manera desmedida los riesgos que asume la entidad (en especial lo referente a la adquisición predial, riesgos socioambientales, o de redes). 
 - En ningún aparte del contrato se plantea que sea obligatorio implementar los Trazados elaborados por la Entidad. La condición planteada en el numeral 6.3 hace referencia a la franja de utilidad pública y la variación que pueda presentarse en los Estudios de Trazado y Diseño Geométrico y los Estudios de Detalle que realice el concesionario respecto a la misma. 
 - Aunque tal y como se aclara en los numerales anteriores, la redacción observada se comporta como un límite más nunca como una restricción absoluta, la Entidad realizará algunos ajustes a esta regulación de manera tal que dicho límite sea más flexible.</t>
  </si>
  <si>
    <t>Se informa al interesado que no se acepta su observación.
Si bien se trata de documentos que están correlacionados, son documentos diferentes y deben tratarse de esta forma. Por un lado, el Plan de Adquisición de Predios corresponde al documento que preparará el Concesionario y entregará a la ANI donde establecerá un Cronograma de Adquisición de Predios, así como una metodología de trabajo para adelantar la Gestión Predial, entre otros. Por otro lado, el Cronograma de Trabajo Predial corresponde al cronograma previsto para obtener la titularidad y disponibilidad de los Predios Requeridos para la ejecución del Proyecto a favor de la ANI, en armonía con el Plan de Obras.</t>
  </si>
  <si>
    <t xml:space="preserve">Se informa al interesado que la ultima versión del Estudio de Trafico y Demanda se encuentra publicado en la carpeta 0A del Cuarto de Información de Referencia, y fue el que sirvió de base para los escenarios de estructuración. 
Se aclara que esta información estará disponible a título meramente informativo acorde con las condiciones de la Sección 1.7 Cuarto de Información de Referencia del Pliego de Condiciones.
</t>
  </si>
  <si>
    <t>Se informa que los aforos tomaron información diferenciada de microbuses y de autobuses. Esta información será complementada en la carpeta 0AI2 del Cuarto de Información de Referencia. Las tablas de aforos continenen:
Automóvil 
Microbuses 
Autobuses 
Camión de 2 ejes pequeño (C2P). 
Camión de 2 ejes grande (C2G). 
Camión de 3 ejes C3  
Camión de 4 ejes C4 
Camiones de 5 ejes. 
Camiones de 6 ejes o más. 
Ejes cañeros.
Se aclara que esta información estará disponible a título meramente informativo acorde con las condiciones de la Sección 1.7 Cuarto de Información de Referencia del Pliego de Condiciones.</t>
  </si>
  <si>
    <t>Se aclara al interesado, que considerando que los pasajeros intermunicipales no cambian radicalmente sus hábitos de movilidad por la entrada en operación de proyectos de infraestructura de la escala del proyecto Nueva Malla Vial del Valle, es decir, se mantiene de manera general la tasa media de generación de viajes y la elección de la ruta; las proyecciones de la demanda de vehículos asociados a la operación del transporte público, se realizaron considerando los datos históricos de esta categoría vehicular y las proyecciones demográficas de los municipios del área de influencia directa del proyecto, que por ende representan los mayores índices de generación de viajes.
Como complemento a lo anteriormente mencionado, es importante resaltar que los cambios previstos en la oferta de transporte público, no generan un impacto que se traduzca en la generación de nuevas rutas de transporte público o cambio en los itinerarios de las rutas existentes. 
Se aclara que la información contenida en el Cuarto de Datos de Referencia estará disponible a título meramente informativo acorde con las condiciones de la Sección 1.7 Cuarto de Información de Referencia del Pliego de Condiciones.</t>
  </si>
  <si>
    <t>Se aclara al interesado que el escenario estimado para ese tramo La Virginia – Mediacanoa es de rehabilitación, sin cambios en la geometría de la vía, esto es principalmente mejoras en la funcionalidad del pavimento, aumento de su vida útil, y actualización de señalización. Se plantea que se conserve como vía bidireccional, de dos carriles. Dicho escenario mantiene los peajes existentes de Río Frío y Toro, por lo que no se prevee la instalación de las estaciones de peaje. 
Se aclara que la información contenida en el Cuarto de Datos de Referencia estará disponible a título meramente informativo acorde con las condiciones de la Sección 1.7 Cuarto de Información de Referencia del Pliego de Condiciones.</t>
  </si>
  <si>
    <t>Se infora al interesado que su entendimiento es correcto. Igualmente, se sugiere revisar la Sección 3.3 Peajes, Tráfico, Derecho de Recaudo e Ingresos por Explotación Comercial de la Parte General.</t>
  </si>
  <si>
    <t>Se informa al interesado que se incluirá la información solicitada en el Cuarto de Información de Referencia. Se aclara que esta información estará disponible a título meramente informativo acorde con las condiciones de la Sección 1.7 Cuarto de Información de Referencia del Pliego de Condiciones.</t>
  </si>
  <si>
    <t>Se informa al interesado que sí existe información en planos de interfencias identificadas, estos se complementarán en el Cuarto de Información de Referencia. Se aclara que esta información estará disponible a título meramente informativo acorde con las condiciones de la Sección 1.7 Cuarto de Información de Referencia del Pliego de Condiciones.</t>
  </si>
  <si>
    <t>Se informa al interesado que la carpeta es de referencias de base, se sugiere ver los planos del archivo C03-Localización-ODT. Se aclara que esta información estará disponible a título meramente informativo acorde con las condiciones de la Sección 1.7 Cuarto de Información de Referencia del Pliego de Condiciones.</t>
  </si>
  <si>
    <t>Se informa al interesado que la información disponible se encuentra en el Cuarto de Información de Referencia en formato de CIVIL3D. Sin embargo, de forma complementaria puede consultarse las bases cartográficas en la Carpeta A e información específica de estudios y diseños de la intersección Versalles y paso nacional Palmira en la Carpeta G. Se aclara que esta información estará disponible a título meramente informativo acorde con las condiciones de la Sección 1.7 Cuarto de Información de Referencia del Pliego de Condiciones.</t>
  </si>
  <si>
    <t>Se aclara al interesado que los perfiles se estimaron mediante zonas homogéneas definidas a partir de exploraciones cercanas, o como resultado de la información de fuentes secundarias localizadas en zonas cercanas. Se aclara que esta información estará disponible a título meramente informativo acorde con las condiciones de la Sección 1.7 Cuarto de Información de Referencia del Pliego de Condiciones.</t>
  </si>
  <si>
    <t>Se aclara al interesado que el criterio para la ejecución de la exploración correspondió a un reconocimiento de la geología y geomorfología definiendo zonas homogéneas preliminares. Esto permitió definir un perfil estratigráfico aproximado incluyendo zonas de ponteadero en las se ejecutó una perforación para precisar el perfil del punto. Se aclara que esta información estará disponible a título meramente informativo acorde con las condiciones de la Sección 1.7 Cuarto de Información de Referencia del Pliego de Condiciones.</t>
  </si>
  <si>
    <t>Se informa al interesado que los ZODMES se estimaron a efectos de las distancias de transporte, sin embargo al no existir restricciones en su localización se definieron con información secundaria. Se precisa que se adelantó un diseño preliminar de zodmes que se encuentra en los informes de geología y geotecnia de cada corredor. Además la localización de los mismos está en el Anexo "Planos". Se aclara que esta información estará disponible a título meramente informativo acorde con las condiciones de la Sección 1.7 Cuarto de Información de Referencia del Pliego de Condiciones. 
Finalmente, en su debida diligencia, le corresponderá al Proponente y al Concesionario identificar los ZODMES, de acuerdo con las obligaciones del pliego y las derivadas de la ejecución del proyecto.</t>
  </si>
  <si>
    <t>Se informa al interesado que dentro de los informes de geología y geotecnia se incluye información de referencia de fuentes y proveedores de materiales de cantera. Sin embargo, se aclara que esta información estará disponible a título meramente informativo acorde con las condiciones de la Sección 1.7 Cuarto de Información de Referencia del Pliego de Condiciones.
Finalmente, en su debida diligencia, le corresponderá al Proponente y al Concesionario identificar los distintos materiales agregados disponibles en la región.</t>
  </si>
  <si>
    <t>Se aclara al interesado que el informe incluye descripciones de experiencias en ese tipo de estabilizaciones que incluyen datos de los materiales usados en el trasdós. En las recomendaciones para la ejecución de los muros se menciona que el material debe cumplir con las especificiaciones INVIAS Artículo 220-2013. Igualmente, se aclara que no hay restricciones para definir la protección de los taludes, el Concesionario en los Estudios de Detalle podrá definir la solución que se ajuste con sus necesidades, y que cumpla con los dispuesto en los Apéndices Técnico. Se aclara que esta información estará disponible a título meramente informativo acorde con las condiciones de la Sección 1.7 Cuarto de Información de Referencia del Pliego de Condiciones.</t>
  </si>
  <si>
    <t>se aclara al interesado que el drenaje para el terraplén con neumáticos no es diferente del recomendado para la vía en general. Se estima que los taludes protegidos tienen drenaje superficial, de todas formas en el análisis de drenaje se recomienda vegetalizar la superficie y complementarse con la colocación de filtro en el trasdós. Se aclara que no hay restricciones para definir la manejo del drenaje en terraplenes, el Concesionario en los Estudios de Detalle podrá definir la solución que se ajuste con sus necesidades, y que cumpla con los dispuesto en los Apéndices Técnico. Se aclara que esta información estará disponible a título meramente informativo acorde con las condiciones de la Sección 1.7 Cuarto de Información de Referencia del Pliego de Condiciones.</t>
  </si>
  <si>
    <t>Se informa al interesado que el criterio para la ejecución de la exploración correspondió a un reconocimiento de la geología y geomorfología definiendo zonas homogéneas preliminares. Esto permitió definir un perfil estratigráfico aproximado para cada corredor. 
Se aclara que esta información estará disponible a título meramente informativo acorde con las condiciones de la Sección 1.7 Cuarto de Información de Referencia del Pliego de Condiciones.</t>
  </si>
  <si>
    <t>Se informa al interesado que se adelantaron ensayos de corte directo en muestras aptas cuyo resultado se presenta en el anexo "Ensayos de Laboratorio" de cada corredor. Se aclara que esta información estará disponible a título meramente informativo acorde con las condiciones de la Sección 1.7 Cuarto de Información de Referencia del Pliego de Condiciones.</t>
  </si>
  <si>
    <t>Se informa al interesado que dentro del volumen de cada unidad funcional en el numeral de exploración geotécnica se presenta la localización de los apiques realizados. En los reportes de ensayos la localización del apique incluye coordenadas. También, en los volúmenes de pavimentos se incluyen apiques de calibración de georadar. Se aclara que esta información estará disponible a título meramente informativo acorde con las condiciones de la Sección 1.7 Cuarto de Información de Referencia del Pliego de Condiciones.</t>
  </si>
  <si>
    <t>Se infora al interesado que para las Unidades Funcionales 1 y 2, se encuentran los resultados y análisis del Ïndice de Regularidad Internacional (IRI) dentro del informe en el numeral relacionado con  "resultados trabajos de campo". Además se presentan los datos crudos como archivo anexo. Por otro lado, se cuenta con información de mediciones de la UF4 que se complementará en el Cuarto de Inforrmación de Referencia. Se aclara que esta información estará disponible a título meramente informativo acorde con las condiciones de la Sección 1.7 Cuarto de Información de Referencia del Pliego de Condiciones.</t>
  </si>
  <si>
    <t>Se informa al interesado que para dar claridad a su inquietud, se incluirá en el Cuarto de Información de Referencia (carpeta G) la información disponible del tramo Villarica Caloto y la ubicación georreferenciada. Se aclara que esta información estará disponible a título meramente informativo acorde con las condiciones de la Sección 1.7 Cuarto de Información de Referencia del Pliego de Condiciones.</t>
  </si>
  <si>
    <t>Se informa al interesado que la caracterización geotecnica de esta unidad funcional se realizó mediante apiques.</t>
  </si>
  <si>
    <t>se informa al interesado que la información del paso nacional Palmira y la intersección Versalles proviene de estudios elaborados por el municipio de Palmira y por INVIAS. Se aclara que esta información estará disponible a título meramente informativo acorde con las condiciones de la Sección 1.7 Cuarto de Información de Referencia del Pliego de Condiciones.
Es importante mencionar que los escenarios de estructuración contemplaron costos de actualizaciones normativas sobre estas estructuras. Por lo que el Concesionario estará obligado a cumplir con las especificaciones técnicas consignadas en los Apéndices Técnicos.</t>
  </si>
  <si>
    <t>Se informa al interesado que a efectos de los escenarios de estructuración se consideraron costos de ajustes en el dimensionamiento de las obras. Se aclara que esta información estará disponible a título meramente informativo acorde con las condiciones de la Sección 1.7 Cuarto de Información de Referencia del Pliego de Condiciones. 
Se aclara que estas son definiciones a realizar por el Concesionario en los Estudios de Detalle, por lo cual deberá cumplir con las especificación técnicas consignadas en los Apéndices Técnicos.</t>
  </si>
  <si>
    <t>Se informa al interesado que las estructuras se inspeccionaron visualmente y los registros pueden consultarse en los anexos de fichas SIPUCOL. A partir de dicha inspección visual se estimaron las Intervenciones de conservación, o demolición y reemplazo. Se aclara que esta información estará disponible a título meramente informativo acorde con las condiciones de la Sección 1.7 Cuarto de Información de Referencia del Pliego de Condiciones.</t>
  </si>
  <si>
    <t>Se aclara al interesado que existe mayor información al respecto de obras de contención y puntes, por tanto se revisará el Cuarto de Información de Referencia, y se incluirá la información faltante de acuerdo a lo refenciado en el índice. Se aclara que esta información estará disponible a título meramente informativo acorde con las condiciones de la Sección 1.7 Cuarto de Información de Referencia del Pliego de Condiciones.</t>
  </si>
  <si>
    <t>Se aclara al interesado que existe mayor información al respecto de Puentes Peatonales, por tanto se revisará el Cuarto de Información de Referencia, y se incluirá la información faltante de acuerdo a lo refenciado en el índice. Se aclara que esta información estará disponible a título meramente informativo acorde con las condiciones de la Sección 1.7 Cuarto de Información de Referencia del Pliego de Condiciones.</t>
  </si>
  <si>
    <t>Se aclara al interesado que se pueden consultar las modelaciones para la intersección Versalles en la Carpeta G del Cuarto de Información de Referencia. Para las otras intersecciones de nueva construcción, no se estimaron reducciones relevantes por los niveles y capacidad de los tramos que enlazan. Se aclara que esta información estará disponible a título meramente informativo acorde con las condiciones de la Sección 1.7 Cuarto de Información de Referencia del Pliego de Condiciones.</t>
  </si>
  <si>
    <t>Se aclara al interesado que la geomorfología presentada en los informes y planos fue levantada en campo por lo que no se estimó necesario otro proceso de validación. Se aclara que esta información estará disponible a título meramente informativo acorde con las condiciones de la Sección 1.7 Cuarto de Información de Referencia del Pliego de Condiciones.</t>
  </si>
  <si>
    <t>Se infora al interesado que 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t>
  </si>
  <si>
    <t>Se informa al interesado que las fechas de realización de los trabajos de campo y mediciones realizadas se encuentran en el reporte de los datos crudos presentados como anexo en las unidades funcionales donde se realizaron las mediciones. La mayor parte de las campañas se desarrollaron en 2017 y 2018. Se aclara que esta información estará disponible a título meramente informativo acorde con las condiciones de la Sección 1.7 Cuarto de Información de Referencia del Pliego de Condiciones.</t>
  </si>
  <si>
    <t>Se aclara al interesado que las zonas de pesaje nuevas pueden ser propuestas por el Concesionario y no es una condición restringida en el Apéndice Técnico 1. En la Sección 5.2 del Apéndice Técnico 1 se establece que como mínimo hay que adecuar las 6 estaciones existentes. Es potestad del Concesionario valorar si la adecuación a las condiciones de la Sección 5.2 requiere ampliaciones de zonas con pavimento y denifirlo en sus Estudios de Detalle.</t>
  </si>
  <si>
    <t>Se informa al interesado que se incluirá en el Cuarto de Información de Referencia (carpeta G) la información disponible del tramo Villarica Caloto y la ubicación georreferenciada del mismo. Esta información estará disponible a título meramente informativo acorde con las condiciones de la Sección 1.7 Cuarto de Información de Referencia del Pliego de Condiciones.</t>
  </si>
  <si>
    <t xml:space="preserve">Se considera que la seguridad vial hace parte de las Especificaciones Técnicas a la luz de la definición de la Sección 1.58 de la Parte General. Adiconalmente, la seguridad vial se trata en las Secciones 4.3 y 5.1 del Apéndice Técnico 3; y las secciones 3.1.5 y 3.3.7 del Apéndice Técnico 2. Por tales motivos se entiende que el caso de la solicitud está inmerso en la primera condición "(1) impide la ejecución o el cumplimiento de la otra," y no hace falta incluir regulaciones adicionales.
</t>
  </si>
  <si>
    <t>Se informa al interesado que su entendimiento del punto (i) no es correcto. Si bien se deben adquirir Predios en los tramos de nueva construcción, dependiendo de los Estudios de Trazado y Diseño Geométrico, también pueden requerirse Predios en los tramos de mejoramiento. Además, en zonas urbanas no se aplicaría lo dispuesto en la ley 1228 de 2008.
De otra parte, No se estima la adquisición de Predios en los tramos de rehabilitación y mantenimiento aunque el Concesionario podría requerir de instalaciones, por ejemplo de operación, o si se llegan a determinar soluciones puntuales de mayor ocupación en los Estudios de Trazado y Diseño Geométrico sobre la infraestructura cuya intervención sea puesta a punto.
El entendimiento del punto (ii) es correcto ya que el alcance de la UF0 no incluye construcción ni mejoramiento.</t>
  </si>
  <si>
    <t>Se informa al interesado que se acepta su observación referente a unificar definiciones. Se realizaran los ajustes correspondientes en los documentos del Pliego de Condiciones Definitivo.</t>
  </si>
  <si>
    <t>Se informa al interesado que no se acepta su observación. Será obligación del Concesionario notificar a las autoridades de tránsito correspondientes en relación con aquellos eventos que tengan como finalidad Evasión y/o Elusión. En cumplimiento de lo anterior, el Concesionario deberá colaborar con las autoridades de tránsito en el control de la utilización de vías para evitar la ocurrencia de cualquiera de los dos eventos.</t>
  </si>
  <si>
    <t>Se informa al interesado que se tendrá en cuenta su observación y se realizaran los ajustes correspondientes en los documentos del Pliego de Condiciones Definitivo.</t>
  </si>
  <si>
    <t>Se informa al interesado que se acepta su observación y se cargará la información que se tenga sobre dichos contratos en el Cuarto de Referencia. Se aclrara que la información del Cuarto de Información de Referencia se incluye a título meramente informativo de acuerdo con las condiciones de la Sección 1.7 del Pliego de Condiciones. 
Finalmente, en su debida Diligencia, el Oferente podrá complementar la información realizando la consulta a la Entidad a cargo de los Contratos de Obra.</t>
  </si>
  <si>
    <t>Se informa al interesado que se acepta su observación y se cargará la información correspondiente en el Cuarto de Referencia. Se aclrara que la información del Cuarto de Información de Referencia se incluye a título meramente informativo de acuerdo con las condiciones de la Sección 1.7 del Pliego de Condiciones.</t>
  </si>
  <si>
    <t>Se informa al interesado que se cargará la información correspondiente en el Cuarto de Referencia. Se aclrara que la información del Cuarto de Información de Referencia se incluye a título meramente informativo de acuerdo con las condiciones de la Sección 1.7 del Pliego de Condiciones.</t>
  </si>
  <si>
    <t>Se informa al ineresado que el Concesionario deberá de llevar a cabo la evaluación de la infraestructura existente (obras de drenaje incluidas) y proponer las actuaciones necesarias para su buen funcionamiento cumpliendo las Especificaciones Técnicas, consignadas en el Apéndice Técnico 3 y en especial los Indicadores del Apéndice Técnico 4.</t>
  </si>
  <si>
    <t xml:space="preserve">Se le informa al interesado que tal y como se establece en el capítulo 13 del contrato, las condiciones de entrega de infraestructura son un riesgo que asumirá el futuro concesionario, por lo que todos los posibles interesados son responsables de realizar la debida diligencia con el fin de conocer el actual estado de la misma y proyectar cuales serían las condiciones de entrega de la infraestructura. 
Igualmente se aclara que en el Cuarto de Datos se encuentra la información más reciente con la que cuenta la Entidad, la con la cual se realizaron las estimaciones de la estructuración. Por último, se aclrara que la información del Cuarto de Información de Referencia se incluye a título meramente informativo de acuerdo con las condiciones de la Sección 1.7 del Pliego de Condiciones.Se le informa al interesado que tal y como se establece en el capítulo 13 del contrato, las condiciones de entrega de infraestructura son un riesgo que asumirá el futuro concesionario, por lo que todos los posibles interesados sin responsables de realizar la debida diligencia, en cuanto al estado de la infraestructura que podrían recibir. De todas formas, se aclara que en el Cuarto de Datos  se encuentra  la información  más reciente con la que cuenta la Entidad. </t>
  </si>
  <si>
    <t>Se informa al interesado que se harán ajustes y complementaciones al Cuarto de Información de Referencia respecto a las carpetas con información faltante. Por último, se aclrara que la información del Cuarto de Información de Referencia se incluye a título meramente informativo de acuerdo con las condiciones de la Sección 1.7 del Pliego de Condiciones.</t>
  </si>
  <si>
    <t>La Entidad informa al interesado que en el documento “ACCESO AL CUARTO DE INFORMACIÓN DE REFERENCIA”, subido a la plataforma del SECOP I, el 07.04.2020, se encuentra el link para realizar la consulta de la información obtenida durante la estructuración y cargada en el SharePoint.El link se encuentra en funcionamiento. 
De otra parte, se informa al interesado que se harán ajustes y complementaciones al Cuarto de Información de Referencia respecto a las carpetas con información faltante. Por último, se aclrara que la información del Cuarto de Información de Referencia se incluye a título meramente informativo de acuerdo con las condiciones de la Sección 1.7 del Pliego de Condiciones.La Entidad informa al interesado que en el documento “ACCESO AL CUARTO DE INFORMACIÓN DE REFERENCIA”, subido a la plataforma del SECOP I, el 07.04.2020, se encuentra el link para el SharePoint con dicha información de referencia. El link se encuentra en funcionamiento y se puede consultar la información de forma completa.</t>
  </si>
  <si>
    <t>Se informa al interesado que no se acepta su observación. La asignación de riesgos se modificará en el evento en que las modificaciones y/o adecuaciones sobrepasen, excedan y/o se extiendan más allá de la franja de terreno del corredor vial del Proyecto que ha sido declarada de utilidad pública e interés social. 
La condición planteada en el numeral 6.3 hace referencia a la franja declarada de utilidad pública obtenida en la estructuración del proyecto, y la variación que pueda presentarse en los Estudios de Trazado y Diseño Geométrico y los Estudios de Detalle que realice el concesionario respecto a la misma. 
Respecto a las condiciones asociadas a la franja de utilidad pública definidas en la sección contractual correspondiente, se aclara al interesado lo siguiente:
 -  La intención de esta regulación es la de velar porque una modificación de este tipo no desborde de una manera desmedida los riesgos que asume la entidad (en especial lo referente a la adquisición predial, riesgos socioambientales, o de redes). 
 - En ningún aparte del contrato se plantea que sea obligatorio implementar los Trazados elaborados por la Entidad. La condición planteada en el numeral 6.3 hace referencia a la franja de utilidad pública y la variación que pueda presentarse en los Estudios de Trazado y Diseño Geométrico y los Estudios de Detalle que realice el concesionario respecto a la misma. 
 - Aunque tal y como se aclara en los numerales anteriores, la redacción observada se comporta como un límite más nunca como una restricción absoluta, la Entidad realizará algunos ajustes a esta regulación de manera tal que dicho límite sea más flexible.</t>
  </si>
  <si>
    <t>Se informa al interesado que se revisará la totalidad de la información contenida en el Cuarto de Información de Referencia,y se harán ajustes y complementaciones en concordancia con el indice presentado para la información. Igualmente se aclara que todas las modificaciones al Cuarto de Información de Referencia serán informadas a traves de aviso de proceso.
Se aclrara que la información del Cuarto de Información de Referencia se incluye a título meramente informativo de acuerdo con las condiciones de la Sección 1.7 del Pliego de Condiciones.</t>
  </si>
  <si>
    <t>Se informa al interesado que no se considera procedente su solicitud porque las responsabilidades del Concesionario en cuanto a las Redes ya se regulan y desarrollan en detalle en el Apéndice Técnico 5. Así mismo, en la Sección 8.2 (e) de la Parte General se definen las condiciones en las cuales la ANI asume parcialmente los costos del traslado y/o intervención de las Redes, y la Sección 8.2 (i) define los eventos ede Fuerza Mayor por Redes.</t>
  </si>
  <si>
    <t xml:space="preserve">Se informa al interesado que el entendimiento no es correcto, toda vez que los porcentaje son fijos, y aplicarán sobre el recaudo. Como es natural el recaudo dependerá de las variaciones de tráfico, sin embargo el porcentaje de la retribución continurá constante en los terminos definidos en la la sección 4.1 del Contrato Parte Especial. </t>
  </si>
  <si>
    <t xml:space="preserve">Se aclara al interesado que la Sección 17,2 (a) (iv) hace referencia a causales de terminacion imputables al Concesionario, en ese orden de ideas y en el momento de presentarse la causal se deberá determinar si esta es o no imputable al Concesionario y se generaran en consecuencia los efectos correspondientes. Asi mismo se informa al interesado que se tendrá en cuenta su observación y se harán los ajustes correspondientes. </t>
  </si>
  <si>
    <t>Se informa al interesado que la franja de adquisición predial para la UF3 es para doble calzada, y fue definida teniendo en cuenta el espacio necesario para la línea de chaflanes y conservando en todos los casos el ancho mínimo requerido por la Ley 1228 de 2008. Así mismo, en tramos que por su condición urbana rige el POT o instrumentos de ordenamiento territorial quivalentes, la sección vial y franja fue definida de acuerdo a estos planes.</t>
  </si>
  <si>
    <t>Se aclara al interesado que esta expresión hace referencia a las Resoluciones y demás actos administrativos expedidos por cualquier autoridad de la rama ejecutiva y judicial de la República de Colombia, distintas de la ANI, que puedan impactar la Entrega de la Infraestructura. Como lo son la Resolución de entrega de infraestructura expedida por el INVIAS y/o los Convenios Interadministrativos suscritos con las Gobernaciones o los Municipios.</t>
  </si>
  <si>
    <t>Se le informa al interesado que tal y como se establece en el capítulo 13 de la minuta del Contrato Parte General, las condiciones de entrega de infraestructura son un riesgo que asumirá el futuro concesionario, por lo que todos los posibles interesados son responsables de realizar la debida diligencia, en cuanto al estado de la infraestructura que podrían recibir. De todas formas, se aclara que en el Cuarto de Datos  se encuentra  la información  más reciente con la que cuenta la Entidad y le corresponderá al interesado realizar la debida diligencia del actual estado de la infraestructura y su deterioro, es decir de la condición en la que recibiría la infraestructura.</t>
  </si>
  <si>
    <t>Se aclara al interesado que en la definición 1.56 de la Tabla de Referencia, se menciona que con la Entrega de la Infraestructura se excluyen las obras de la Sección 3.6 (f), con el fin de evitar el efecto señalado en la observación, con lo cual no pasaría el tiempo mencionado para la suscripción del Acta de Inicio o la Orden de Inicio.</t>
  </si>
  <si>
    <t xml:space="preserve">Se informa al interesado que no se acepta su observación. La ANI considera que el plazo máximo de diez (10) Días Hábiles para suscribir el Acta de Terminación de Unidad Funcional es razonable. En todo caso, al ser un plazo máximo, podrá suscribirse en un tiempo menor si las circunstancias del caso lo permiten. </t>
  </si>
  <si>
    <t>Se aclara al interesado que el Concesionario debe partir de las Especificaciones Técnicas contenidas en los Apéndices Técnicos para la realización de los Estudios de Trazado y Diseño Geométrico y los Estudios de Detalle. Asi mismo, Se aclara que los estudios contenidos en el Cuarto de Información de Referencia no contienen obligaciones para el Concesionario. Por último, se aclara que la información del Cuarto de Información de Referencia se incluye a título meramente informativo de acuerdo con las condiciones de la Sección 1.7 del Pliego de Condiciones.</t>
  </si>
  <si>
    <t>Se informa al interesado que la ANI no considera necesario hacer la aclaración propuesta. El Contrato es claro al indicar que las observaciones de la Interventoría frente a los Estudios de Trazado y Diseño Geométrico definitivos son consideraciones técnicas formuladas a manera de recomendación, sin perjuicio que el Concesionario cumpla con las especificaciones técnicas definidas en los Apéndices técnicos.</t>
  </si>
  <si>
    <t>Se informa al interesado que la Resolución de Declaratoria de Utilidad Pública será publicada antes de la apertura de los Pliegos de Condiciones Definitivos del proceso.</t>
  </si>
  <si>
    <t>Se aclara al interesado que es correcto el entendimiento respecto a la Sección 3.6(f) que define tramos cuya entrega es excepcional y puede ser posterior a la Orden de Inicio. Esta precisión se tendrá en cuenta para ajustar la referencia de la Sección 1.125.</t>
  </si>
  <si>
    <t>Se aclara al interesado que únicamente el tramo Cali - Candelaria se encuentra en los contratos de la Gobernación del Valle, en tal respecto la nota es explícita en lo siguiente; "El tramo Cali Candelaria se encuentra incorporado en los Contratos de Obra No. 0111-18-10-5007 y No. 1.310.02-59.8- 5447 de la Gobernación del Valle del Cauca."
Se aclara que Variante “El Bolo”, la Intersección “La Herradura” y la Curva “Don Otto” son alcances que vienen del contrato de concesión 005 de 1999 y que en efecto podrían llegar a construirse dentro de las obligaciones derivadas de ese contrato antes del Acta de Inicio. Se confirma que si estas Intervenciones finalizan su construcción antes de la Entrega de la Infraestructura entonces se eliminaría del Contrato el alcance de construcción y permanece el de Intervenciones de Puesta a Punto y las de Operación y Mantenimiento.
Para el caso del tramo Cali - Candelaria, si dichas obras se finalizan y se entregan en los plazos señalados en la Sección 3.6, entonces permanecen las obligaciones de alcance de Intervenciones de Puesta a Punto y las de Operación y Mantenimiento.</t>
  </si>
  <si>
    <t>Se informa al interesado que se estima que el Contrato ya contempla la condición solicitada. Los plazos de la Sección 3.6(f) permiten que se fijen límites para que la infraestructura pueda surtir la Entrega de la Infraestructura y aún sobrevivan plazos de la Etapa Preoperativa para que el Concesionario pueda hacer las Intervenciones necesarias para llevar los tramos al cumplimiento de los indicadores. Durante la Etapa Preoperativa regirán las condiciones de indicadores específicos que son menores a los de la Etapa de Operación y Mantenimiento.</t>
  </si>
  <si>
    <t xml:space="preserve">Se informa al interesado que la Sección 3.6(h) se refiere a las obligaciones ambientales pendientes de cumplimiento y obligaciones por ejecutar que se encuentran debidamente detalladas en el Apéndice Técnico 6, que deben ser adelantadas por el Concesionario. Se solicita al interesado que indique a la entidad específicamente qué evento es el que necesita alcaración. </t>
  </si>
  <si>
    <t xml:space="preserve">Se aclara al interesado que en la Sección 3.6(f) de la Parte Especial se definen las condiciones particulares para la Entrega de la Infraestructura del tramo Cali-Candelaria. Bajo estos preceptos se define que el tramo se entregue tanto con la calzada existente como la nueva calzada una vez contruida, siempre y cuando la construcción a cargo de la Gobernación del Valle del Cauca se complete dentro de los plazos previstos en la Sección 3.6(f). De no cumplirse estos plazos, el tramo tanto en la calzada existente como en la nueva se excluirá de los alcances del Contrato.
En concordancia con las condiciones de Entrega de la Infraestructura no proceden salvedades sobre el estado de la infraestrcutura al momento de la entrega. Los contratos de construcción del tramo Cali-Palmira son públicos, por lo tanto el Concesionario puede acceder a la información contractual solicitada.
Respecto a los indicadores, se estima que el Contrato ya contempla la condición solicitada. Los plazos de la Sección 3.6(f) permiten que se fijen límites para que la infraestructura pueda surtir la Entrega de la Infraestructura y aún sobrevivan plazos de la Etapa Preoperativa para que el Concesionario pueda hacer las Intervenciones necesarias para llevar los tramos al cumplimiento de los indicadores. Durante la Etapa Preoperativa regirán las condiciones de indicadores específicos que son menores a los de la Etapa de Operación y Mantenimiento.
</t>
  </si>
  <si>
    <t>Se aclara al interesado que se aplican únicamente los Indicadores en los cuales se definen condiciones o valores de aceptación para la Etapa Preoperativa. Para mayor claridad se ajustará el Apéndice Técnico 4 en el sentido de precisar los indicadores para la Etapa Preoperativa.</t>
  </si>
  <si>
    <t>Se aclara al interesado que las canalizaciones hacen referencia a subterranización. Además está obligación se hará extensiva a la totalidad del corredor.</t>
  </si>
  <si>
    <t xml:space="preserve">Se aclara al interesado que los equipos de monitoreo meteorológico se incluyen en las estaciones de peaje para facilitar tanto su ubicación como su operación. No se considera conveniente establecer excepciones al respecto.
</t>
  </si>
  <si>
    <t>Se aclara al interesado que las mismas Especificaciones Generales para Construcción de Carreteras de INVIAS 2013 dan las condiciones para aplicación de especificaciones particulares para cada proyecto, siendo potestad del Concesionario la elaboración de los Estudios de Detalle, proponer dicha aplicabilidad. Lo anterior sin perjucio del cumplimiento de las obligaciones pactadas en  los Apéndices Tecnicos, especialmente en el Apendice Tecnico 4 - Indicadores.</t>
  </si>
  <si>
    <t>Se aclara al interesado que los Valores de Aceptación se encuentran discriminados por categorías: Vehículos en Cola: Categoría 1 &lt;=10 y Categoría II, III, IV, V y demás &lt;= 5. En tal sentido se aclarará la redacción de la casilla de método de medida en la definición del indicador O3-1.</t>
  </si>
  <si>
    <t>SENDA, 18/06/2020</t>
  </si>
  <si>
    <t xml:space="preserve">Dando alcance al numeral 2.6 del pliego de condiciones, teniendo en cuenta la magnitud del proyecto y la naturaleza del contrato, se solicita a la Entidad de manera atenta agendar una reunión 1 a 1 con los interesados de manera previa a la apertura del proceso licitatorio, en aras de que podamos compartir ciertas inquietudes que nos han surgido en relación con la presentación de la oferta frente a los requisitos para ser líder, la forma de acreditar la experiencia en inversión y capacidad financiera, así como los puntos para la acreditación de personal con discapacidad. Contamos con plena disponibilidad para asistir, cuando lo consideren y por el medio que mejor les convenga a la citada reunión. </t>
  </si>
  <si>
    <t>Ortiz Construcciones y Proyectos S.A. (Grupo Ortiz), 19/06/2020</t>
  </si>
  <si>
    <t>Por favor, ¿habría alguna manera de poder poner o activar una alarma en la web de la secop, https://www.contratos.gov.co/consultas/detalleProceso.do?numConstancia=20-19-10660579, para que cualquier actualización y subida de ficheros de esta licitación me llegue el aviso de que han colgado algo en dicha web? 
La presentación de oferta se acaba de retrasar -aviso modificatorio 4- al 18 de diciembre de 2020.
Nos gustaría poder recibir un aviso, toda vez que se actualicen ficheros en la Secop, en esta licitación.</t>
  </si>
  <si>
    <t xml:space="preserve">La entidad efectuará un ajuste en la Sección 19.6(b)(ii)(4) del Contrato Parte General, precisando que: 
“(4) Permanezca por lo menos uno de los Líderes que participaron en la manifestación de Interés o en la Oferta, según corresponda, con un mínimo del 25% de participación. 
Sin perjuicio de lo anterior, si se ha obtenido el Cierre Financiero en los términos establecidos en la Sección 3.8(a) de esta Parte General, se permitirá el retiro del Líder siempre que la nueva composición accionaria cuente con al menos un accionista que como mínimo acredite el 25% de participación y que cumpla con los Requisitos Habilitantes establecidos en la Invitación a Precalificar o el Pliego de Condiciones, que fueron evaluados por la ANI, durante la Precalificación o el Proceso de Selección para considerar hábil al Líder cedente, para lo cual, la ANI tendrá en cuenta los Requisitos Habilitantes de la Invitación a Precalificar o el Pliego de Condiciones, que podrán ser acreditados con base en información disponible al último periodo contable. Este accionista dentro de la composición accionaria será considerado como nuevo Líder.”
No obstante lo anterior, se precisa al observante que, la redacción vinculante para todos los efectos será la contenida en la Sección 19.6(b)(ii)(4) del Contrato Parte General que se publicará en el SECOP.
</t>
  </si>
  <si>
    <t xml:space="preserve">Se acoge la observación, y en ese sentido, se indicará en el texto del Contrato Parte General: "En relación con las Multas y Sanciones: “A partir de la Notificación para Toma o de la Notificación Derecho de Toma, según corresponda, no se impondrán nuevas Multas o Sanciones. Esta estipulación solo tendrá aplicación hasta el Día siguiente de A) la comunicación o entendimiento de que los Prestamistas no tienen interés en tomar posesión del Proyecto o B) la Notificación de no aprobación del nuevo concesionario o accionista del Concesionario por parte de la ANI."
</t>
  </si>
  <si>
    <t xml:space="preserve">No se acoge la observación, toda vez que las figuras de sanción y de multa tienen naturalezas diferentes y aunque las mismas son consecuencias derivadas de incumplimientos obligacionales, mientras que la multa persigue conminar al cumplimiento de obligaciones que pueden ejecutarse (subsanables), la sanción deviene como consecuencia de una transgresión contractual definitiva o no subsanable. Ambas figuras (multa y sanción) que lo que persiguen es la cabal y oportuna ejecución contractual.
</t>
  </si>
  <si>
    <t xml:space="preserve">Se informa al interesado que no se acepta su observación. La compensación por la ocurrencia de un Evento Eximente de Responsabilidad procederá en los eventos previsto por la Sección 14.2(g) del Contrato. Para el caso concreto observado, se informa al interesado que cuando quiera que durante la ejecución del Contrato surjan Eventos Eximentes de Responsabilidad que obliguen al Concesionario a paralizar la ejecución de las obras o labores derivadas de la ejecución de este Contrato, la ANI evaluará la situación correspondiente y determinará su procede el reconocimiento de los costos ociosos de la mayor permanencia en obra. 
Así mismo, las condiciones bajo las cuales procederá el reconocimiento establecidas en la Sección 14.2(g)(iii) se consideran razonables con las necesidades de este tipo de proyectos. 
</t>
  </si>
  <si>
    <t xml:space="preserve">Se informa al interesado que no se acepta su observación. 
Los eventos por los cuales se realiza la suspensión de la Retribución, las Deducciones y Retenciones están debidamente reguladas en la Sección 7.1(f). Se recomienda al interesado revisar los ajustes efectuados para mayor claridad al texto, los cuales serán publicados en el Pliego de Condiciones Definitivo. 
</t>
  </si>
  <si>
    <t xml:space="preserve">Se le informa al interesado que los decretos citados regulan medidas adoptadas sobre la prestación del servicio público de transporte y su infraestructura dentro del Estado de Emergencia, Ecónomica, Social y Ecológica por tanto, en principio solo resultan aplicables para los contratos que se encontraban en ejecución mientras persistan estas medidas. 
</t>
  </si>
  <si>
    <t xml:space="preserve">Se informa al interesado que no se acepta su observación. La declaración transcrita se encuentra orientada a que el Concesionario afirme que ha realizado la debida diligencia técnica y financiera del  proyecto, de manera, que no debe  entenderse como una renuncia generalizada a ejercer su derecho de defensa y contradicción frente a las decisiones que adopte la ANI durante la ejecución del contrato. 
</t>
  </si>
  <si>
    <t xml:space="preserve">Se informa al interesado que no se acepta su observación. Aún cuando la obligación de financiar el Proyecto no se agote con la obtención del Cierre Financiero, es una obligación del Concesionario obtener el Cierre Financiero y acreditarlo ante la ANI.
</t>
  </si>
  <si>
    <t xml:space="preserve">Se aclara al interesado que la observación no es procedente a este proceso licitatorio, toda vez que este Proyecto y su Contrato Parte General, hacen referencia a un contrato de Iniciativa Pública, y el planteamiento de la observación aplica únicamente en una Iniciativa Privada. 
</t>
  </si>
  <si>
    <t xml:space="preserve">No se acepta la observacion del interesado. Los plazos previstos en el contrato son plazos MÁXIMOS para el cumplimiento de las obligaciones a su cargo 
</t>
  </si>
  <si>
    <t xml:space="preserve">Se informa al interesado que se tendrá en cuenta su observación y se realizarán los ajustes correspondientes.
</t>
  </si>
  <si>
    <t xml:space="preserve">Se informa al interesado que no se acepta su observación. La suscripción del Contrato de Interventoría es condición precedente para la firma del Acta de Inicio y/o expedición de la Orden de Inicio, en razón a que la complejidad del proyecto amerita que el seguimiento técnico se realice de manera especializada, tal como se dispone en artículo 83 de la Ley 1474 de 2011.
</t>
  </si>
  <si>
    <t xml:space="preserve">Se informa al interesado que no se acepta su observación. La ANI y el Interventor deben manifestar expresamente su aprobación a la verificación de las Intervenciones de acuerdo con el procedimiento establecido por el literal (a) de la Sección 4.17 del Contrato Parte General. La ANI considera que la regulación propuesta corresponde a las necesidades de este tipo de proyectos y la importancia del proceso de verificación de Intervenciones como requisito para la suscripción del Acta de Terminación de Unidad Funcional.
</t>
  </si>
  <si>
    <t xml:space="preserve">Se informa al interesado que no se acepta su observación. La ANI tiene el deber de ejercer el control y seguimiento del proyecto y, por tanto, cuenta con la facultad de solicitar al Concesionario información detallada sobre las actividades que adelanten sus Contratistas y subcontratistas, independientemente de la responsabilidad del Concesionario.
</t>
  </si>
  <si>
    <t xml:space="preserve">Se informa al interesado que no se acepta su observación. La ANI considera que el plazo máximo de diez (10) Días para que la Interventoría se pronuncie es razonable. 
</t>
  </si>
  <si>
    <t xml:space="preserve">Se informa al interesado que no se acepta su observación. La ANI considera que el plazo máximo de treinta (30) días para que la ANI se pronuncie es razonable. 
</t>
  </si>
  <si>
    <t>Se informa al interesado que la exigibilidad de la Multa a la que alude la Sección 10.5 del contrato solo se predica de los actos administrativos en firme, de manera que el observante describe la misma situación regulada en el Contrato.</t>
  </si>
  <si>
    <t xml:space="preserve">Se informa al interesado que la exigibilidad de la Multa se confunde con la firmeza del acto administrativo, de manera que el observante describe la misma situación regulada en el Contrato.
</t>
  </si>
  <si>
    <t xml:space="preserve">Se informa al interesado que el "hasta" obedece a la necesidad de poder proporcionar las sanciones conforme a la gravedad del incumplimiento reprochado, cuestión que será evaluada en cada caso por el supervisor del contrato, ya que sin el "hasta", la sanción a aplicar es exactamente la que diga el contrato, y no permite un ejercicio de graduación.
No obstante lo anterior, la Entidad se encuentra evaluando algunos criterios de graduación de las Multas y Sanciones.
</t>
  </si>
  <si>
    <t xml:space="preserve">Se informa al interesado que dicha Multa hace referencia al incumplimiento del compromiso presentado con la Oferta Mano de Obra Local. En todo caso, se ajustará el documento para mayor claridad. 
</t>
  </si>
  <si>
    <t xml:space="preserve">Se informa al interesado que no se acepta su observación. La existencia de un evento de Fuerza Mayor tiene como consecuencia directa que la obligación afectada por este evento no será exigible al Concesionario por el tiempo en que persista la situación que dio origen a la existencia del evento de Fuerza Mayor. La obligación pendiente de cumplimiento únicamente será exigible al Concesionario cuando la Fuerza Mayor no impida su cumplimiento. Teniendo en cuenta lo anterior, no resulta necesario incluir un mecanismo de compensación específica para el Concesionario.
</t>
  </si>
  <si>
    <t xml:space="preserve">Al momento de presentar su Oferta, el Oferente y cada uno de sus integrantes deberán declarar que él, sus directivos, asesores y el equipo de trabajo con que ejecutarán los servicios a contratar, no se encuentran incursos en conflicto de interés. Esta manifestación se verificará con la suscripción de la Carta de Presentación de la Oferta por el Comité Evaluador. De acuerdo con lo anterior, la entidad informa al interesado que no se acepta su observación toda vez que el pliego es claro y no se considera necesario incluir aclaraciones adicionales. 
</t>
  </si>
  <si>
    <t xml:space="preserve">Se informa al interesado que el Acuerdo de Garantía  permanecerá vigente y oponible hasta la caducidad de las acciones de la ANI derivadas del mismo, una vez se efectúe el procedimiento de ejecución previsto en la Sección 3.1 del referido Acuerdo. Teniendo en cuenta que esta situación está sujeta a que se identifique el incumplimiento por parte del Deudor Garantizado de las Obligaciones Garantizadas, no es posible incluir una fecha específica de duración para el Acuerdo de Garantía. 
</t>
  </si>
  <si>
    <t xml:space="preserve">Se informa al interesado que la Parte General del Contrato establece que se cederá al Concesionario el Derecho de Recaudo sobre la operación de las Estaciones de Peaje, salvo por las excepciones establecidas en la Parte Especial. 
En línea con lo anterior, la Parte Especial establece que para este proyecto, se cederá al Concesionario el Derecho de Recaudo sobre la operación de las Estaciones de Peaje sin excepciones. 
Se informa al interesado que para este tipo de Proyectos, aplican las condiciones generales establecidas en la Parte General del Contrato y en lo que respecta a las condiciones específicas de cada proyecto adjudicado, existe un Contrato Parte Especial que regula estos detalles. En esta medida, no se considera procedente realizar ningún ajuste.
</t>
  </si>
  <si>
    <t xml:space="preserve">Se informa al interesado que no se acepta su observación. Dadas las reglas establecidas en el Acuerdo de Permanencia, resulta necesario que el mismo sea suscrito por todos los Integrantes de la Estructura Plural. 
En lo que respecta a la definición de Demás Integrantes Acreditantes, se considera que no es necesaria su inclusión, dado que es absolutamente claro que esta expresion se refiere a los demas integrantes que acreditan capacidad financieras sin ostentar la calidad de Líder.
</t>
  </si>
  <si>
    <t xml:space="preserve">Se informa al interesado que no se acepta su observación. Los documentos contenidos en el Cuarto de Información de Referencia se suministran al interesado únicamente a título informativo. 
Adicionalmente se le aclara al interesado que  la ANI en cumplimiento precisamente del princpio de planeación,  ha realizados estudios a través de los estructuradores integrales del proyecto que tienen como objeto la estructuración técnica, jurídica y financiera del proyecto con el fin de encontrar una alternativa de referencia para ejecutar las intervenciones requeridas según las especificaciones de cada uno de los tramos viales que componen el corredor, lo que no implica que la alternativa estructurada sea la única viable. Esta circunstancia es precisamente la que justifica el hecho que, aun teniendo a disposición los Interesados los estudios y diseños en fase de factibilidad que soportan la alternativa propuesta por la ANI y avalada, corregida o modificada por el estructurador, aquellos tienen la facultad discrecional de apartarse de los resultados de dichos estudios y diseños y proponer la que consideren una mejor alternativa, por lo que la información es de referencia y no complementaria del pliego ni vinculante.   
</t>
  </si>
  <si>
    <t xml:space="preserve">No se acoge la observacion del interesado. La ANI considera que la redacción del documento es acertada y no requiere precisión adicional, en la medida en que el contendio del pacto de transparencia no se modifica o varia en razon de quien lo suscribe  
</t>
  </si>
  <si>
    <t xml:space="preserve">
Se informa al interesado que la Oferta deberá ser avalada por un ingeniero civil o de transporte y vías con la correspondiente certificación de vigencia de la matrícula profesional que expide la  autoridad competente en nuestro país, de acuerdo con el artículo 20 de la Ley 842 de 2003 en el que se establece que las propuestas "(...) deberán estar avalados, en todo caso, cuando menos, por un ingeniero inscrito y con tarjeta de matrícula profesional (...)". (Negrilla fuera de texto).  </t>
  </si>
  <si>
    <t xml:space="preserve">Se informa al interesado que se tendrá en cuenta su observación y se ajustarán los documentos definitivos. </t>
  </si>
  <si>
    <t>Se informa al interesado que los ZODMES se estimaron a efectos de las distancias de transporte. Asimismo, se precisa que se adelantó un diseño preliminar de zodmes que se encuentra en los informes de geología y geotecnia de cada corredor. Además la localización de los mismos está en el Anexo "Planos". Se aclara que esta información estará disponible a título meramente informativo acorde con las condiciones de la Sección 1.7 Cuarto de Información de Referencia del Pliego de Condiciones. 
Finalmente, en su debida diligencia, le corresponderá al Proponente y al Concesionario identificar los ZODMES, de acuerdo con las obligaciones del pliego y las derivadas de la ejecución del proyecto.</t>
  </si>
  <si>
    <t>Se aclara al interesado que se aplican únicamente los Indicadores en los cuales se definen condiciones o valores de aceptación para la Etapa de Reversión. Para mayor claridad en la medición de los Indicadores se incluirá en el Apéndice Técnico 4 la lista explícita de los aplicados a la Etapa Preoperativa y Etapa de Reversión.</t>
  </si>
  <si>
    <t>Se aclara al interesado que los unicos indicadores que se medirán son los detallados en el Apéndice técnico 4. Existirán diferentes valores de aceptación relacionadas con la etapa del proyecto. Su exigencia se ralizará una vez se entregue la infraestructura. Se ajustará la redacción de los documentos en el Pliego de Condiciones Definitivos en cuanto a los diferentes valores de aceptación y el momento de inicio de medición</t>
  </si>
  <si>
    <t>Se aclara al interesado que su entendimiento es correcto. Se aclara que se hace referencia al Corredor del Proyecto por ser esta la obra en análisis en el proceso de consulta previa. En el contexto que el acta de protocolización de acuerdos de las observación corresponde a los consejos comunitarios San Isidro y Guabal no se estima necesario hacer ajustes.</t>
  </si>
  <si>
    <t>Se aclara al interesado que la alternativa a desarrollar es la definida en el Apéndice Técnico 1. De otra parte, en la carpeta G se incluye  la propuesta de paso deprimido formulado por el municipio de Palmira. Se aclara que esta información estará disponible a título meramente informativo acorde con las condiciones de la Sección 1.7 Cuarto de Información de Referencia del Pliego de Condiciones.</t>
  </si>
  <si>
    <t>Se informa al interesado que se incluyó la información en la carpeta. Igualmente, se sugiere revisar la infraestructura existente en la carpeta H del Cuarto de Información de Referencia. Se aclara que esta información estará disponible a título meramente informativo acorde con las condiciones de la Sección 1.7 Cuarto de Información de Referencia del Pliego de Condiciones.</t>
  </si>
  <si>
    <t>Se aclara al interesado que el alcance del tramo Cali (Sameco) - Glorieta Cencar es el del puesta a punto, operación y mantenimiento, tal y como lo define el Apéndice Técnico 1, lo que quiere decir que se mantienen los dos carriles por sentido. Se aclara que el Cuarto de Inforrmación de Referencia se dispone a título meramente informativo de acuerdo con la Sección 1.7 del Pliego de Condiciones.</t>
  </si>
  <si>
    <t xml:space="preserve">Se aclara al interesado que la regulación establecida en la sección 6.3, no afecta a capacidad que tendrá el concesionario para realizar las optimizaciones de diseño, y  tendrá la libertad para optimizar sus Estudios y Diseños dentro de la franja de utilidad establecida. Se recuerda al  interesado que el Contrato de Concesión establece que los Estudios de Factibilidad de Trazado y Diseño Geométrico son de referencia. 
Respecto a las condiciones asociadas a la franja de utilidad pública definidas en la sección contractual correspondiente, se aclara al interesado lo siguiente:
 -  La intención de esta regulación es la de velar porque una modificación de este tipo no desborde de una manera desmedida los riesgos que asume la entidad (en especial lo referente a la adquisición predial, riesgos socioambientales, o de redes). 
 - En ningún aparte del contrato se plantea que sea obligatorio implementar los Trazados elaborados por la Entidad. La condición planteada en el numeral 6.3 hace referencia a la franja de utilidad pública y la variación que pueda presentarse en los Estudios de Trazado y Diseño Geométrico y los Estudios de Detalle que realice el concesionario respecto a la misma. 
 - Aunque tal y como se aclara en los numerales anteriores, la redacción observada se comporta como un límite más nunca como una restricción absoluta, la Entidad realizará algunos ajustes a esta regulación de manera tal que dicho límite sea más flexible.
Se informa al interesado que la Resolución de Declaratoria de Utilidad Pública será publicada antes de la apertura de los Pliegos de Condiciones Definitivos del proceso.
Por ultimo, se informa al interesado que no se incluye franja de utilidad pública e interés social en los tramos de Factor de Calidad, escencialmente porque no se estiman modificaciones de ocupación de las vías existentes en esos tramos dada las intervenciones definidas para los mismos. </t>
  </si>
  <si>
    <t xml:space="preserve">Se informa al interesado que no se acogen sus observaciones. La Entidad considera que el procedimiento definido para las revisiones permite el desarrollo adecuado en tiempos y que estos sean considerados en la planeación del Contrato incluido el Plan de Obras, así como la solución de controversias pactadas. </t>
  </si>
  <si>
    <t>Se aclara al interesado que la definición de Puesta a Punto incluye la de "Rehabilitación". Asimismo, la definición de "Rehabilitación" se encuentra descrita en la misma Sección 6.2 del Apéndice Técnico 1 - Alcance,  por lo tanto no se considera que sea un concepto subjetivo. dado lo anterior no se acoge su solicitud.</t>
  </si>
  <si>
    <t xml:space="preserve">Se informa al interesado que no se acoge su solicitud. Las Intervenciones Prioritarias son las que permiten que durante la Etapa Preoperativa las vías tengan condiciones mínimas de transitabilidad, no se trata de las Intervenciones de Rehabilitación, Puesta a Punto, Mejoramiento y Construcción que cubren toda la Fase de Construcción. Se aclara que durante la Etapa Preoperativa los indicadores tienen valores de aceptación menores que permiten que las vías se adecúen de forma progresiva de acuerdo con los plazos establecidos, además, no todos los indicadores se medirán antes de que se suscriba la terminación de las Unidades Funcionales. </t>
  </si>
  <si>
    <t>Se informa al interesado que se acoge la observación y se realizará el ajuste en la numeración del Apéndice Técnico 1, y se publicará con los documentos del Pliego de Condiciones Definitivo</t>
  </si>
  <si>
    <t>Se informa al interesado que en la carpeta CII del Cuarto de Información de Referencia podrá consultar la información. Igualmente, se precisa que esta se encuentra a a título meramente informativo según las condiciones de la Sección 1.7 del Pliego de Condiciones.</t>
  </si>
  <si>
    <t xml:space="preserve">La ubicación de las bases de operaciones, así como el número de las mismas podrá ser definido por el Concesionario en los Estudio de Detalle. Para ello podrá tomar en consideración ubicaciones nuevas o modificar las instalaciones existentes que se pueden consultar en el Cuarto de Información de Referencia (carpeta H), la información disponible en el acta de reversión de la concesión anterior. </t>
  </si>
  <si>
    <t>Se aclara al interesado que al respecto de la inquietud no hay condiciones que lo impidan, sin embargo se debe tener en cuenta la regulación de Reversión, en especial el numeral 5.3 del Apéndice Técnico 2, a saber,"... al final de la Concesión está obligado a revertir a la ANI los vehículos necesarios para prestar estos servicios. Si no es propietario de este tipo de vehículos, en algún momento deberá adquirirlos para poder revertirlos a la ANI al final de la concesión".</t>
  </si>
  <si>
    <t>Se informa al interesado que se encuentran recomendaciones y análisis de mantenimiento a lo largo del Cuarto de Información de Referencia, sin embargo, los catálogos de presupuesto del OPEX no se encuentra publicados por hacer parte del modelo financiero, el cual goza de reserva legal.</t>
  </si>
  <si>
    <t>Se aclara al interesado que todas las definiciones de la infraestructura proyectada, sus instalaciones y equipos las hará el Concesionario en los Estudios de Detalle, en cumplimiento de las Especificaciones Técnicas y los Apéndices Técnicos, especialmente en pro del cumplimiento de los indicadores del Apéndice Técnico 4.</t>
  </si>
  <si>
    <t>Se informa al interesado que se acoge la observación, y se realizará el ajuste en el Apendice Tecnico 4 - Indicadores, ya que la ponderación de los indicadores de la UF0 debe sumar 100.5%. El documento será publicado en los Pliegos de Condiciones Definitivos.</t>
  </si>
  <si>
    <t>Esa definición no corresponde al Apéndice Técnico y debe ser tenida en cuenta en la debida diligencia de parte del Oferente. Se informa que los peajes están actualmente en operación de parte de INVIAS y los plazos de certificación del recaudo electrónico vehicular (REV) según la resolución 509 de 2020 se extendieron hasta el 12 de marzo de 2021, por lo tanto esta tecnología no se encuentra incorporada en los peajes en este momento.
En otro sentido, se precisa que el inventario de elementos de peajes puede consultarse en los formatos GCSP-F-70 contenidos en la carpeta H a octubre de 2018. Adicionalmente, es importante manifestar que esta información estará disponible a título meramente informativo acorde con las condiciones de la Sección 1.7 Cuarto de Información de Referencia del Pliego de Condiciones.</t>
  </si>
  <si>
    <t xml:space="preserve">Se informa al interesado que esa definición no corresponde al Apéndice Técnico y debe ser tenida en cuenta en la debida diligencia de parte del Oferente ya que depende del cumplimiento del indicador O3 y O3-1, cola de peajes y Cola de Peaje carril IP/REV, respectivamente. 
El inventario de elementos de peajes puede consultarse en los formatos GCSP-F-70 contenidos en la carpeta H a octubre de 2018. 
Finalmente, es importante manifestar que la  información publicada en el cuarto de datos estará disponible a título meramente informativo acorde con las condiciones de la Sección 1.7 Cuarto de Información de Referencia del Pliego de Condiciones.
</t>
  </si>
  <si>
    <t>Se informa al interesado que dicha información puede consultarse en el Cuarto de Información de Referencia en la carpeta D en los anexos de información existente, fichas SIPUCOL y fichas de campo, así como los inventarios de puentes de la carpeta H. Se precisa que dicha información se encuentra a a título meramente informativo según las condiciones de la Sección 1.7 del Pliego de Condiciones.</t>
  </si>
  <si>
    <t>Se informa al interesado que en la carpeta B, se encuentra la información de análisis hidráulicos en los volúmenes de hidráulica, hidrología y socavación. Es importante anotar que dicha información se encuentra a título meramente informativo según las condiciones de la Sección 1.7 del Pliego de Condiciones.</t>
  </si>
  <si>
    <t>Se informa al interesado que el inventario predial que comprende los predios adquiridos por la concesión anterior se encuentra en la carpeta H. El inventario de nuevos predios se encuentra en los anexos de la carpeta E1. Se recomienda igualmente consultar los estudios prediales del paso nacional Palmira en la carpeta G. Es importante manifestar que esta información estará disponible a título meramente informativo acorde con las condiciones de la Sección 1.7 Cuarto de Información de Referencia del Pliego de Condiciones.</t>
  </si>
  <si>
    <t>Se informa al interesado que se aclararán las descripciones del tramo en las Tablas 5 y 11 en los documentos del Pliego de Condiciones Definitivo. Igualmente se precisa que las definiciones de tramos incluyen los puntos con coordenadas para evitar las confusiones que puedan presentarse por la denominación de los puntos de inicio y fin.</t>
  </si>
  <si>
    <t>Se informa al interesado que este es un aspecto a definir en los Estudios de Detalle por el Concesionario. Los alcances del Apéndice Técnico 1 fijan los parámetros que según los estudios adelantados por las entidades locales se consideran necesarios para la infraestructura que se pretende suplir, y es importante resaltar que no exigen la demolición del puente. Se aclara que la Figura 2, como lo indica el Apéndice Tecnico 1, no tiene obligación contractual dado que es un esquema sin detalle de elementos constructivos. A título meramente informativo en los estudios ubicados en la carpeta G del Cuarto de Información de Referencia la intersección futura utilizará el puente que eleva a la avenida Tercera.</t>
  </si>
  <si>
    <t>Se informa al interesado que la información de referencia del Paso Nacional por Palmira (Parque del Azúcar y Versalles) se encuentra en la carpeta G del Cuarto de Información de Referencia. Es importante manifestar que la  información publicada en el cuarto de datos estará disponible a título meramente informativo acorde con las condiciones de la Sección 1.7 Cuarto de Información de Referencia del Pliego de Condiciones.</t>
  </si>
  <si>
    <t>Se aclara al interesado que no se considera alcance alguno en materia de ITS e iluminación para las vías Herradura-Matapalo y Villa Rica -  Caloto.</t>
  </si>
  <si>
    <t>Se aclara al interesado que los procedimientos corresponden a cada autoridad municipal. En los antecedentes del Proyecto los alcances se definieron incluyendo obras propuestas por la Gobernación del Valle del Cauca y los municipios, algunos tramos al pasar por sectores con instrumentos de ordenación como POT, PBOT o EOT influyen en las secciones viales según la Ley Aplicable por lo tanto se debe asegurar ese cumplimiento. Se debe tener en cuenta que además del trazado, parte de las Intervenciones requieren gestiones ante las autoridades locales que incluyen los planes de manejo de tráfico, coordinación con empresas de servicios públicos,entre otros.</t>
  </si>
  <si>
    <t>Se informa al interesado que no hay consultas realizadas ante el Ministerio del Interior que involucren las vías del Factor de Calidad.</t>
  </si>
  <si>
    <t>Se informa al interesado que su entendimiento es correcto, tal y como lo indica el numeral 5.1.2 del Pliego de Condiciones el puntaje otorgado a los Oferentes con trabajadores en condiciones de discapacidad, corresponde al 1% del total de los puntos establecidos en los Pliegos de Condiciones en concordancia con el artículo 2.2.1.2.4.2.6. del Decreto 1082 de 2015</t>
  </si>
  <si>
    <t>En primer lugar se aclara al interesado que el evento eximente de responsabilidad y la ecuación contractual son supuestos jurídicos distintos, la ocurrencia de un evento eximente de responsabilidad no genera en todos los casos un desequilibrio económico del contrato, esto solo ocurrirá cuando: (i) como consecuencia del evento la parte afectada logre  demostrar el rompimiento de la conmutatividad entendida como la equivalencia de las prestaciones inicialmente pactadas por las partes; (ii) la parte afectada no haya asumido el riesgo que se haya ocasionado con dicho suceso, ya que de lo contrario, no estaríamos frente a una situación imprevisible e irresistible.
En consecuencia a lo anterior es preciso señalar que las situaciones excepcionales que se generen con ocasión a la declaratoria del evento eximente no  implican en ninguna medida el reconocimiento per se  por parte de la ANI de un desequilibrio económico contractual, por lo anterior no se acepta la observación del interesado.</t>
  </si>
  <si>
    <t xml:space="preserve">Se aclara al interesado que un evento como el descrito (imposibilidad de realizar las obras por el corredor previsto), se enmarcaría como un Evento Eximente de Responsabilidad, en caso que la variación de diseños y trazados responda a un evento que se encuentre por fuera de control del concesionario y esta condición en sí misma, limita el riesgo mencionado. Dicho lo anterior la redacción observada hace alusión a modificaciones de diseño y trazado realizados por el concesionario bajo su control, por lo cual no se considera pertinente la solicitud. </t>
  </si>
  <si>
    <t xml:space="preserve">No se considera pertinente la observación, toda vez que se considera necesario que se mantengan la indemnidad de la Entidad en su totalidad, tal y como se encuentra regulado actualmente. </t>
  </si>
  <si>
    <t xml:space="preserve">Se informa al interesado que para efectos de calcular la Experiencia requerida para el Proceso se tendrá en cuenta  la participación de cada integrante de la estructura plural de acuerdo con lo dispuesto en los pliegos en el numeral 4.2.2(b).  Al respecto, se requerirá que quien aportó al menos el 40% de dicha experiencia acredite la planta de personal con personas en situación de discapacidad. 
Así mismo, se informa al interesado que se asignarán hasta 10 puntos de acuerdo con lo dispuesto por el Decreto 1082 de 2015 (Sección 5.6.3 del Pliego). </t>
  </si>
  <si>
    <t>Se informa al interesado que no se acepta su observación. La ANI considera que el plazo establecido es razonable de acuerdo las circunstancias que usualmente rodean este tipo de trámites.</t>
  </si>
  <si>
    <t xml:space="preserve">Se informa al interesado que no se acepta su observación. La aplicación de la TDI es con el fin de reajustar el valor del fondeo y su naturaleza es diferente a la de la Multa por incumplimiento de la obligación de fondeo. </t>
  </si>
  <si>
    <t xml:space="preserve">Se informa al interesado que no se acepta su observación. En los eventos en que exista ampliación del plazo debido al otorgamiento del Plazo de Cura será obligación del concesionario fondear la Subcuenta Interventoría y Coordinación de forma tal que se garanticen los valores faltantes en el plazo adicional que corresponda. </t>
  </si>
  <si>
    <t xml:space="preserve">Se informa al interesado que los riesgos asignados a las partes en el Contrato están definidos en las Secciones 13.2 y 13.3. Los riesgos asignados a la ANI no tendrán variaciones, sin embargo, puede ocurrir que en la Parte Especial se realicen asignaciones adicionales al Concesionario en línea con los requerimientos del Proyecto. </t>
  </si>
  <si>
    <t>La Entidad considera que la observación no es valida puesto que la claridad es necesaria en aras de evitar cualquier confusión contraria a lo explícitamente expuesto ahí.   La Entidad sigue los lineamientos del Conpes 3760 en los que la gestión predial está a cargo del Concesionario.</t>
  </si>
  <si>
    <t>respuesta enviada por reina el 28 de junio</t>
  </si>
  <si>
    <t xml:space="preserve">Se aclara al interesado que el concepto detrás del uso de la variable Sh es el de que se capture dentro de la fórmula cualquier pago efectivamente realizado al concesionario por los riesgos a su cargo, salvo por los valores reconocidos con ocasión de la activación de los riesgos que se encuentren contemplados dentro de la Retribución, incluyendo entre otros los descritos en las Secciones 3.3(g), 3.3(i) y 3.4(b) de esta Parte General.  Dicho esto se considera que la variable captura adecuadamente el efecto de una compensación dentro de la fórmula de terminación. </t>
  </si>
  <si>
    <t xml:space="preserve">Se informa al interesado que si se considera necesario establecer un límite al Equity con el fin evitar costos asociados a ineficiencias y/o riesgo que deben ser asumidos 100% por el Concesionario. De igual manera, la Entidad incrementará el factor que limita el Equity (FAE), para flexibilizar entre otros la estructura de financiación.
En cuanto a los intereses de la deuda, de manera general y con el fin de ejemplificar el entendimiento de la fórmula,  las variables Uh y Eh por defecto deberían ser consistentes con la variable ARh (en la medida en que éstas son las únicas fuentes posibles de financiación en etapa preoperativa), en el mismo sentido la variable Rh es la fuente de recursos con la cual se atienden las variables Amorth, Inth y Divh  (amortizaciones de capital, intereses y repago de dividendos) con lo cual el resultado de ambas fórmulas debería ser consistente a lo largo del ejercicio generando un límite asociado únicamente a las restricciones que se definan sobre la fórmula f, lo cual genera únicamente un límite específico. 
Nota: sin perjuicio de lo planteado en esta respuesta, solamente serán vinculantes las regulaciones efectivamente publicadas en los Pliegos del proceso licitatorio.
</t>
  </si>
  <si>
    <t xml:space="preserve">Se le informa al interesado que la Resolución de Peajes mencionada en el aparte contractual será expedida en el marco de éste contrato. Actualmente, nos encontramos en trámite para su expedición por parte del Ministerio de Transporte, esta Resolución mantendrá las disposiciones de las resoluciones vigentes referentes al esquema tarifario, por lo que la actualización del mismo se encuentra  regulado en la parte especial del contrato, las cuales son de público acceso".
</t>
  </si>
  <si>
    <t>se aclara al interesado que los beneficiarios de las cuentas y subcuentas diferentes a la Cuenta ANI y sus subcuentas, serán designados por el Concesionario, en cumplimiento de las previsiones del Contrato.</t>
  </si>
  <si>
    <t xml:space="preserve">Se aclara al interesado  que el fondeo de esta subcuenta, incluso en un Evento Eximente de Responsabilidad es de vital importancia para la ejecución normal del contrato y por lo tanto no se considera procedente la solicitud. De igual manera y tal como se establece en la sección 14.2 (g), la entidad realizará las compensaciones correspondientes de acuerdo a las condiciones establecidas en las mismas.   Vale la pena mencinar que durante la etapa de estructuración la Entidad realizó un metódico ejercicio que arrojó un adecuado presupuesto de la subcuenta observada y que el proceso de contratación asociado a dicha interventoría será realizado por la Entidad, por lo cual se considera poco probable que existan variaciones que puedan generar incertidumbres significativas para los financiadores. </t>
  </si>
  <si>
    <t>Se aclara al interesado que respecto al concepto de gestión social y ambiental riesgo asociado alprivado, no aplica el sistema de bandas, toda vez que en ámbitos socioambientales, el mismo es procedente únicamente a la Subcuenta Compensaciones Socioambientales, el cual es compartido entre el público y el privado.  Lo anterior está en línea a lo estipulado por el Conpes 3760.
De igual manera el uso de los recursos de esta subcuenta (incluyendo posibles remanentes) deberá ser exclusivamente el previsto  en el Contrato y sus anexos y por lo tanto no se considera pertinente realizar alguna modificación.</t>
  </si>
  <si>
    <t>Se informa al interesado que no se acepta su observación. La ANI considera que las exigencias propuestas para el Líder son razonables y se compadecen con la práctica usual de estos Proyectos. 
Por otro lado, se informa al interesado que no se acepta su solicitud de reducción del Patrimonio Neto. La ANI considera que este valor es consistente para el valor total del Proyecto y, desde este punto de vista, es razonable como requisito de Capacidad Financiera.</t>
  </si>
  <si>
    <t xml:space="preserve">Se aclara al interesado lo siguiente:
 - Respecto a los requisitos de equity es importante tener en cuenta que tal y como se expone en el Contrato, el Concesionario deberá realizar los aportes que sean  necesarios para realizar la ejecución adecuada de las obligaciones independiente del monto mínimo establecido en la minuta contractual. Las condiciones de la coyuntura actual deberán ser dimensionadas por los interesados en su debida diligencia e incorporados en su respectiva oferta.    
 - La observación no es procedente, ya que con base en la estimación de los recursos netos para el proyecto (descontando el porcentaje mencionado) se considera que los mismos resultan suficientes para la ejecución  del proyecto incluyendo el repago adecuado de su financiación. De igual manera no se considera procedente eliminar el límite de 29 años, en la medida en que la misma se enmarca en los límites legal y normativos establecidos para este tipo de proyectos y si a la Fecha de Terminación de la Etapa de Operación y Mantenimiento el Concesionario no ha obtenido el VPIP, la ANI no reconocerá al Concesionario el saldo no devengado del VPIP.   Sin embargo, se informa al interesado que  se ha incluido el Soporte de Ingresos para el Proyecto, que si bien, no compensa la totalidad del VPIP, compensa una parte en caso de reducción de tráfico.. </t>
  </si>
  <si>
    <t xml:space="preserve"> - En línea con la respuesta anterior, la observación no es procedente, la Entidad reitera que con base en la estimación de los recursos netos para el proyecto (descontando el porcentaje mencionado) considera que los mismos resultan suficientes para la ejecución  del proyecto incluyendo el repago adecuado de su financiación.   Como se mencionó anteriormente,  se informa al interesado que  se ha incluido el Soporte de Ingresos para el Proyecto. </t>
  </si>
  <si>
    <t>Se informa al interesado que la ANI dentro de la estructuración financiera contempló utilizar los recursos incluidos en esta Subcuenta para efectuar los aportes aprobados por el Ministerio de Hacienda y Crédito Público que deberá ser girado al Fondo de Contingencias de las Entidades Estatales creado mediante la Ley 448 de 1998, en línea con lo establecido por el Plan de Aportes vigentes para cubrir riesgos del proyecto a cargo de la ANI.   Por lo anterior, no se acepta su observación.</t>
  </si>
  <si>
    <t>La Entidad se permite aclarara al interesado que ha revisado su observación e incluirá en los documentos definitivos el mecanismo de Soporte de Ingreso para este Proyecto. 
No obstante, con relación a la fecha límite para alcanzar el VPIP la Entidad no considera procedente modificar el numeral 3.4 (d)ya que con base en la estimación de los recursos netos para el proyecto, se considera que los mismos resultan suficientes para la ejecución  del proyecto incluyendo el repago adecuado de su financiación dado que para este proyecto existe una historia de tráfico de 8 peajes existentes.</t>
  </si>
  <si>
    <t>Se aclara al interesado que los riesgos regulatorios que cumplen con las características mencionados, están asignados plenamente a la ANI (riesgo 32, riesgo 33, riesgo 35 (parcialmente) y riesgo 36) conforme se señala en la Matriz de Riesgos.
A diferencia de los riesgos mencionados, y en el entendido que éste es un riesgo que tiene implicaciones en cualquier proyecto de inversión, será un manejo privado la asignación más adecuada para el manejo del mismo. Por las razones expuestas, se considera que no es procedente su observaciòn.</t>
  </si>
  <si>
    <t>De manera general y con el fin de ejemplificar el entendimiento de la fórmula,  las variables Uh y Eh por defecto deberían ser consistentes con la variable ARh, en el mismo sentido la variable Rh es la fuente de recursos con la cual se atienden las variables Amorth, Inth y Divh  (amortizaciones de capital, intereses y repago de dividendos) con lo cual el resultado de ambas fórmulas debería ser consistente a lo largo del ejercicio. En este sentido, la resta de los intereses dentro de la fórmula F tiene el mismo efecto que la resta del Rh dentro de la fórmula C, y es descontar del valor de liquidación aquellos elementos que ya hayan sido efectivamente pagados.  Por lo anterior, no se considera procedente su solicitud</t>
  </si>
  <si>
    <t xml:space="preserve">Se informa al interesado que la ANI no considera necesario incluir dicha definición. El uso de los términos Recursos de Deuda y Recursos de Patrimonio es claro a lo largo del Contrato y el manejo de recursos incluido en las Declaraciones y Garantías hace referencia al uso de todos los recursos que maneje el Concesionario. </t>
  </si>
  <si>
    <t>De manera general se considera que lo descrito en la observación en caso de ocurrir cumpliría con condiciones asociadas a un  Evento de Fuerza Mayor y/o Evento Eximente de Responsabilidad los cuales ya están regulados expresamente en el contrato al igual que las compensaciones asociadas a los mismos. Lo anterior en la medida en que los cierres financieros usualmente están asociados al cumplimiento de condiciones precedentes para el Inicio de Etapa de Construcción y por lo que consecuentemente, se pueden considerar eventos paralelos. Dicho lo anterior la Entidad no considera procedente su observaciòn.</t>
  </si>
  <si>
    <t xml:space="preserve">Se informa al interesado que de acuerdo con la Sección 3.10 (a), para el caso de colocaciones en el mercado de capitales, bastará con la identificación del administrador o agente estructurador de la colocación, así como del representante de los tenedores. Cualquier cambio en los Prestamistas, o en el administrador o agente estructurador de la colocación o en el representante de los tenedores para el caso de colocaciones en el mercado de capitales, deberá ser notificado a la ANI de acuerdo con lo previsto en la Sección 3.10 (c). En esta medida, no se considera necesario hacer la aclaración sugerida. </t>
  </si>
  <si>
    <t xml:space="preserve">Se informa al interesado que de acuerdo con lo establecido por la Sección 18.3 (a), en el caso en que ocurra la Terminación Anticipada del Contrato, se causarán los pagos entre las Partes que resulten de las fórmulas incluidas en la presente Sección 18.3. En los demás casos de terminación del Contrato, en la liquidación se compensarán las sumas causadas en virtud de la ejecución del Contrato que estén pendientes de pago entre las Partes, para efectos de determinar los saldos a ser pagados por las Partes.  En la tabla de referencias de la Parte Especial, en los numerales 18.3 puede verificar las TDI que aplica para dichas fórmulas relacionadas con los literales 17.2 establecidas en el contrato parte general y que corresponden a terminación anticipada por declaración de caducidad del contrato y por declaratoria de Terminación Unilateral, entre otras causales.
De acuerdo con lo anterior, no se considera necesario incluir la aclaración sugerida. </t>
  </si>
  <si>
    <t xml:space="preserve">Se le aclara al interesado que su entendimiento es correcto. </t>
  </si>
  <si>
    <t xml:space="preserve">Se aclara al interesado que este tipo de precisiones podrán ser incluidas en el Contrato de Fiducia. Las reglas establecidas en el Contrato Parte General son los requisitos mínimos que deben estar contenidos en el Contrato de Fiducia. </t>
  </si>
  <si>
    <t>Se aclara al interesado que este tipo de precisiones podrán ser incluidas en el Contrato de Fiducia. Las reglas establecidas en el Contrato Parte General son los requisitos mínimos que deben estar contenidos en el Contrato de Fiducia. Por tal motivo su observaciòn no es procedente.</t>
  </si>
  <si>
    <t xml:space="preserve">La Entidad se permite aclarar al interesado que de acuerdo con lo autorizado por el Ministerio de Hacienda y Crédito Público, los recursos disponibles en la Subcuenta Depósito Especial del Recaudo serán de libre disposición de la ANI para servir como fuente de pago de otro proyecto de infraestructura. En ningún caso este traslado será tenido en cuenta como un ingreso para la ANI o el Estado. 
</t>
  </si>
  <si>
    <t xml:space="preserve">Se aclara al interesado que las instrucciones detalladas quedarán definidas en el Contrato de Fiducia. </t>
  </si>
  <si>
    <t xml:space="preserve">De acuerdo con lo estipulado en la Minuta Parte General Sección 3.15(i), la ANI y/o el Interventor llevarán a cabo un control permanente sobre el Patrimonio Autónomo y el Patrimonio Autónomo-Deuda, sus cuentas y subcuentas, para lo cual deberá pactarse en el Contrato de Fiducia Mercantil que la Fiduciaria prestará todo el apoyo necesario a la ANI y/o al Interventor para que puedan cumplir su labor de auditoría, en los términos exigidos por la ANI. </t>
  </si>
  <si>
    <t xml:space="preserve">Se aclara al interesado que este tipo de instrucciones detalladas deberán quedar definidas en el Contrato de Fiducia. </t>
  </si>
  <si>
    <t>Se informa al interesado que el manejo que pueda dársela a cada una de las cuentas y subcuentas deberá quedar definido en el Contrato de Fiducia y por el Comité fiduciario.</t>
  </si>
  <si>
    <t xml:space="preserve">Se aclara al interesado que será obligación del concesionario realizar dicho cálculo toda vez que es responsabilidad del mismo ponerse al día en el fondeo de dichas subcuentas, cumpliendo con la condición establecida. </t>
  </si>
  <si>
    <t xml:space="preserve">La Entidad se permite informar al interesado que su entendimiento es correcto. </t>
  </si>
  <si>
    <t xml:space="preserve">Se aclara al interesado que la fecha de referencia no tiene ninguna incidencia sobre la aplicación de las variables contractuales, toda vez que como su definición misma lo indica su función es únicamente dar una fecha referencial para las indexaciones y/o deflaciones respectivas.
 Dicho lo anterior la fecha de Dic de 2018, se deriva de las fases del proceso de estructuración y sus respectivos procesos de aprobaciones ante las entidades. </t>
  </si>
  <si>
    <t>Se aclara al interesado que los plazos de los que trata la observación de la cláusula 3.1 (e) no está relacionado con los plazos del pago del valor de liquidación que son los establecidos en la Sección 18.4(b)(i) de la Minuta Parte General</t>
  </si>
  <si>
    <t>Se aclara al interesado que se reconocerán al Concesionario los costos ociosos de la mayor permanencia en obra que se llegaren a causar por estos hechos, según lo descrito en la sección 14.2(g). Adicionalmente, se aclara que existe una posibilidad en que la Entidad compense al Concesionario además de los costos ociosos, compensaciones por reparaciones, reconstrucciones o reposiciones siempre que se cumplan los siguientes requisitos: ser considerado Eventos Eximentes de Responsabilidad y que ocurran dentro de o involucren directamente a Colombia, conforme lo estipulado en la sección 14.2 (h) (ii).</t>
  </si>
  <si>
    <t xml:space="preserve">Se aclara al interesado  que el fondeo de esta subcuenta, incluso en un Evento Eximente de Responsabilidad es de vital importancia para la ejecución normal del contrato y por lo tanto no se considera procedente la solicitud. De igual manera y tal como se establece en la sección 14.2 (g), la entidad realizará las compensaciones correspondientes de acuerdo a las condiciones establecidas en las mismas.   Vale la pena mencinar que durante la etapa de estructuración la Entidad realizó un metódico ejercicio que arrojó un adecuado presupuesto de la subcuenta observada y que el proceso de contratación asociado a dicha interventoría será realizado por la Entidad, por lo cual se considera poco probable que existan variaciones que puedan generar incertidumbres significativas en los valores a fondear por parte del concesionario y a aprobar por parte de la ANI. </t>
  </si>
  <si>
    <t>Es importante resaltar que la Entrega de la Infraestructura  es una obligación de la ANI, con la cual se suscribirá el Acta de Inicio y, por tanto, dará inicio a la ejecución del Contrato que, de acuerdo con la Sección 2.3(b) el Contrato Parte General, será 30 días hábiles siguientes a la suscripción del mismo.
De igual forma el Contrato Parte Especial, en la Tabla de Referencias, Sección 2.3 (b (ix), establece lo siguiente, Para el presente Proyecto se exige como requisito adicional para la suscripción del Acta de Inicio o expedición de la Orden de Inicio del Contrato, la Entrega de la totalidad de la Infraestructura descrita en las Secciones 3.6 y 3.7 de esta Parte Especial .
Adicionalmente, la ANI ya le comunicó al INVIAS la necesidad de contar con la infraestructura del proyecto que se encuentra a su cargo. Sumado a esto,  ya se encuentran en proceso de firma los Convenios de Entrega de infraestructura con los municipios de Jamundí, Santiago de Cali y Palmira, así como con las Gobernaciones de Cauca y Valle del Cauca. 
De acuerdo a lo indicado anteriormente, los plazos contractuales, se encuentran planteados de tal forma que la entrega de la infraestructura se dé sin contratiempos, dicho lo anterior es responsabilidad del privado incluir dentro de sus estudios las estimaciones financieras asociadas el estado de la infraestructura, razón por la cual este riesgo deberá ser asumido por el, tal como se indica en la Sección 13.2 (a) (xvii del Contrato Parte General. Por tal motivo no es procedente su observación.</t>
  </si>
  <si>
    <t xml:space="preserve">Se aclara al interesado que, de acuerdo con lo previsto en la sección 3.14 (h) (v) (10), se estipula que los aportes adicionales en los que incurra el concesionario mencionados en la sección  3.14 (h) (v) (9) serán pagados por la Entidad al concesionario; lo cual está en línea con la asignación del riesgo al público. Vale la pena mencinar que durante la etapa de estructuración la Entidad realizó un metódico ejercicio que arrojó un adecuado presupuesto de la subcuenta observada y que el proceso de contratación asociado a dicha interventoría será realizado por la Entidad, por lo cual se considera poco probable que existan variaciones que puedan generar incertidumbres significativas en los valores a fondear por parte del concesionario y a aprobar por parte de la ANI.   Por lo anterior la Entidad no considera procedente establecer un tope máximo, teniendo en cuenta la importancia de esta actividad durante la ejecución del Proyecto.   </t>
  </si>
  <si>
    <t xml:space="preserve">Se informa al interesado que la ANI utilizará los recursos incluidos en esta Subcuenta para efectuar los aportes aprobados por el Ministerio de Hacienda y Crédito P[publico que deberá ser girado al Fondo de Contingencias de las Entidades Estatales creado mediante la Ley 448 de 1998, de acuerdo con lo establecido por el Plan de Aportes vigentes.  De acuerdo con lo establecido por el artículo 3 de la referida Ley, el Fondo de Contingencias tendrá por objeto atender las obligaciones contingentes de las Entidades Estatales que determine el Gobierno. Se informaal interesado que de acuerdo con lo estipulado en la parte especial, capítulo V, la ANI dará las instrucciones a la Fiduciaria para que transfiera recursos de la Subcuenta Contingencias al administrador del Fondo de Contingencias de las Entidades Estatales, en cumplimiento del plan de aportes vigente que aplique para este proyecto.  Por lo anterior, no procede su </t>
  </si>
  <si>
    <t>En línea con las disposiciones generales establecidas en la Ley 1508, sus Decretos reglamentarios y los documentos CONPES asociados a las mismas, uno de los elementos principales de las Asociaciones Públicos Privadas es la transferencia de riesgos del público al privado y enmarcada en esta transferencia està el riesgo de financiación,  la no consecución del mismo será el riesgo que tendrá que evaluar cada interesado en el proceso por lo que la Entidad no considera procedente su observación.</t>
  </si>
  <si>
    <t>Se aclara al interesado que la ANI considera prioritario acrecentar el mecanismo líquido de mitigación de riesgos (en este caso la Subcuenta Excedentes ANI) y por lo tanto no considera procedente su solicitud.</t>
  </si>
  <si>
    <t>La Entidad considera que la matriz publicada es consistente con lo estipulado en la Ley toda vez que cumple con las regulaciones más recientes frente al tema.  Se aclara que la matriz de riesgos tiene incluida una probabilidad de ocurrencia como la mencionada en su observación.  En cuanto a la mitigación de riesgos, estos se encuentran incluidos en diversos apartes del contrato.   En todo caso, la ANI reitera que el documento publicado en el SECOP denominado matriz de riesgos es un documento de referencia,  no hace parte del Contrato de Concesión y  no tiene carácter vinculante.   Por esta razón la entidad considera que no es procedente su observación.</t>
  </si>
  <si>
    <t>Se aclara al interesado que el CONPES 3714 de 2011 no es aplicable a este riesgo y tipo de proyectos toda vez que los mismos se enmarcan en proyectos de Asociación Público Privada, para los cuales prima la especificidad señalada en los CONPES 3107 de 2001 y 3760 de 2013, más allá de los lineamientos del marco general de contratación sobre el que versa el CONPES 3714. 
De igual forma es importante precisar que de acuerdo con lo establecido en la sección 13.3 (f) del Contrato Parte General, los sobrecostos asociados a los cambios de diseño en cuanto a que la asunción de este riesgo conlleva los efectos favorables y/o desfavorables de la realización de obras no previstas en este Contrato , siempre que i) sean decididos autónoma y exclusivamente por la ANI, o ii) como consecuencia del trámite de Licencias o Permisos ambientales por razones no imputables al Concesionario serán asumidos por la ANI.  Por estas razones no es procedente su observación.</t>
  </si>
  <si>
    <t xml:space="preserve">Toda vez que durante la etapa de estructuración la Entidad realizó un metódico ejercicio que arrojo un adecuado presupuesto de la subcuenta observada y que el proceso de contratación asociado a dicha interventoría será realizado por la Entidad, se considera poco probable que existan variaciones que puedan generar incertidumbres significativas para los financiadores en este sentido. 
De igual manera se aclara que el mecanismo asociado por estos posibles fondeos adicionales es análoga a otros riesgos que son contemplados en las estructuras de financiación típicamente. </t>
  </si>
  <si>
    <t xml:space="preserve">Se informa al interesado que se tendrá en cuenta su observación y se realizará el ajuste correspondiente. </t>
  </si>
  <si>
    <t>Se informa al interesado que no se acepta su observación. No se reducirá el porcentaje de participación mínima en la Estructura Plural para el Lider al 12,5% toda vez que se considera que el porcentaje de participación mínima requerido es razonable para este tipo de proyectos, se compadece con la práctica usual del mercado, y de esta forma se realizó todo el programa de concesiones 4G.  Se informa al interesado que la Experiencia en Inversión solo puede ser presentada en Estructuras Plurales por quienes ostenten la calidad de líderes del proyecto.</t>
  </si>
  <si>
    <t>La Entidad considera que la TDI establecida responde adecuadamente a las condiciones del mercado y por lo tanto no se considera procedente la observación, en la medida en que la TDI es una variable que captura los efectos de largo plazo del proyecto, teniendo en cuenta el horizonte del proyecto, y no debe estar afectada por circunstancias transitorias, sino que se calcula con promedios e información basada en situaciones de normalidad en el largo plazo sobre las variables contempladas. La Entidad considera que la TDI del proyecto es adecuada para la magnitud y condiciones del mismo.</t>
  </si>
  <si>
    <t xml:space="preserve"> Se informar al interesado que, a criterio de la Entidad,  que el método de evaluaciòn no es complejo y por el contrario corresponde a la aplicaciòn de de fórmulas sencillas y  el mismo está alineado con la directirces de Colombia Compra Eficiente. Por este motivo no se acoge su observación. </t>
  </si>
  <si>
    <t>Se informa al interesado que el cambio de ley aplicable se refiere a cualquier variación o modificación de la Ley Aplicable (de acuerdo con se define en el Contrato) que pueda tener efectos favorables y/o desfavorables. Por tanto la Entidad no considera necesario incluir un término definido para el efecto. Por estas razones no es procedente su observación.</t>
  </si>
  <si>
    <t xml:space="preserve">Se informa al interesado que los cambios de Ley Aplicable que pudiesen implicar a su vez un cambio en las Especificaciones Técnicas se encuentran regulados en la Sección 4.11 (f) por lo que no se considera necesario hacer ajustes adicionales. </t>
  </si>
  <si>
    <t xml:space="preserve">Se le aclara al interesado que el Comité Fiduciario es el organismo encargado de vigilar e impartir instrucciones a la Fiduciaria para el desarrollo del objeto del Patrimonio Autónomo, sus reglas de conformación y facultades estarán determinadas en el Contrato de Fiducia Mercantil. Dichas reglas serán establecidas de común acuerdo entre el Concesionario y la Fiduciaria. 
En todo caso, de acuerdo con lo establecido en el Contrato, la ANI asistirá a todas y cada una de las sesiones que efectúe el Comité Fiduciario con voz, pero sin voto en la toma de decisiones que allí se sometan a consideración. </t>
  </si>
  <si>
    <t>Se informa al interesado que no se considera procedente la observación, puesto que la regulación actual es suficientemente clara y se entiende que en la Sección 3.3  se realizan aclaraciones respecto a Ingresos por Explotación Comercial.</t>
  </si>
  <si>
    <t xml:space="preserve">En el sentido que la ejecución de los estudios, diseños, obras e intervenciones son especialidad del Concesionario, la responsabilidad sobre las obras de túneles deberá recaer sobre del Privado; sin embargo, en el sentido que existe un gran nivel de incertidumbre frente a las especificaciones geológicas en las intervenciones para túneles, y que el CONPES 3760 propone un sistema de bandas que le permitiría a la ANI establecer un mecanismo de compensación que aliviane el impacto en las inversiones, se regula en el Contrato Parte General la responsabilidad compartida sobre los túneles con soporte parcial, que resultan ser los más extensos y sobre los que mayor incertidumbre geológica existe. </t>
  </si>
  <si>
    <t xml:space="preserve">La Entidad considera que al ser riesgos asignados al Privado, este deberá tomar las respectivas medidas para mitigar el impacto del mismo a través de los mecanismo que consideren necesarios. De igual manera,  el contrato contempla dentro de su estructura distintos eventos de fuerza mayor y eventos eximentes de responsabilidad, para los cuales aplican una asignación de riesgo distinta. </t>
  </si>
  <si>
    <t>De acuerdo con lo estipulado en la Parte Especial, en la Tabla de Referencias, el Recaudo Proyecto ”Corresponde al valor resultante de descontar al Recaudo de Peaje, los montos que hayan sido trasladados a las Subcuentas Contingencias y Depósito Especial del Recaudo, en los términos definidos en las Secciones 4.5(i) y 4.5(h) esta Parte Especial"</t>
  </si>
  <si>
    <t>Se aclara al interesado que las mismas hacen parte de la Cuenta Proyecto, puesto que tienen un comportamiento similar a la subcuenta Predios, Subcuenta Compensación socioambiental, y Subcuenta Redes, a través de las cuales se ejecutan actividades por parte del Concesionario</t>
  </si>
  <si>
    <t>Se le aclara al interesado que las subcuentas "Depósito Especial de Recaudo" y "Contingencias" fueron previstas de forma exclusiva para este Proyecto, razón por la cual se incluyeron dentro de la Parte Especial del Contrato. Por tal motivo no es procedente su observación.</t>
  </si>
  <si>
    <t>Se le aclara al interesado que las subcuentas "Depósito Especial de Recaudo" y "Contingencias" fueron previstas de forma exclusiva para este Proyecto, razón por la cual se incluyeron dentro de la Parte Especial del Contrato con su respectiva regulación. Por tal motivo no es procedente su observación.</t>
  </si>
  <si>
    <t>Se le aclara al interesado que la libre destinación permite que la ANI disponga de los recursos en otros proyectos.</t>
  </si>
  <si>
    <t>Se aclara al interesado que en línea con lo estipulado en la tabla de referencias  del Contrato Parte Especial, en la referencia 3.1 (b) (iv) se establece que "Para este Proyecto no se contemplan otras fuentes para la Retribución."</t>
  </si>
  <si>
    <t>Se acepta la observación y se aclara que en caso de no operar la cobertura para el amparo de responsabilidad civil en estas pólizas, el riesgo deberá quedar amparado por el anexo de vehículos propios y no propios del seguro general de responsabilidad civil</t>
  </si>
  <si>
    <t xml:space="preserve"> 
Se acepta la observación y se aclara que en caso de no operar la cobertura para el amparo de responsabilidad civil en estas pólizas, el riesgo deberá quedar amparado por el anexo de vehículos propios y no propios del seguro general de responsabilidad civil</t>
  </si>
  <si>
    <t xml:space="preserve"> 
Se acepta la observación, y en caso de tomarse el seguro con un valor asegurado que no acude a la limitación de sumas por PML, éste no será exigible</t>
  </si>
  <si>
    <t xml:space="preserve"> 
Se acepta parcialmente la observación y se aclara que en caso de no operar la cobertura para el amparo de responsabilidad civil en estas pólizas, el riesgo deberá quedar amparado por el anexo de vehículos propios y no propios u operciones de maquinaria y equipos del seguro general de responsabilidad civil, dentro del cual los subcontratistas EPC no tiene la calidad de asegurados, amenos que se trate de los mismos socios del Concesionario</t>
  </si>
  <si>
    <t>Se informa al interesado que el Concesionario deberá asegurarse y evidenciar los pasos del Plan de Redes definidos en la Sección 3.2.1 del Apéndice Técnico 5 Redes, así como los procedimientos definidos en la Ley 1682 de 2013, especialmente del artículo 48 que determina los plazos máximos de respuesta y para llegar a acuerdos con las empresas prestadoras u operadoras de las Redes. Según el caso, la falta de pronunciamiento será considerada en la revisión de la interventoría y de la ANI evidenciando las gestiones adelantadas por el Concesionario, acorde con las Secciones 3.2.1(c)(vi) a (xi) y 3.2.1(e)(iii) a (vii) del Apéndice Técnico 5, o si la falta de pronunciamiento llega a impedir el traslado y/o intervención de las Redes en más de 180 Días en las condiciones de la Sección 8.2(i) de la Parte General entonces se tratará como Fuerza Mayor por Redes y se seguirá el procedimiento descrito en la Sección 8.2(i).</t>
  </si>
  <si>
    <t>Se informa al interesado que se incluirán aclaraciones en la Tabla 11 porque parte de la descripción del subtramo Ye de Villa Rica – Intersección Candelaria – Intersección Acceso Sur Palmira – Intersección Cali-Palmira 3 no aparece en el encabezado.
Se aclara que el subtramo Acceso Sur Palmira – Intersección Cali-Palmira 3 (Palmira-El Cerrito) sí se encuentra dentro de la Unidad Funcional 2 (Santander de Quilichao – Ye de Villa Rica – Intersección Candelaria – Intersección Acceso Sur Palmira – Intersección Cali-Palmira 3). 
El Acceso Sur Palmira es la intersección que conecta con el tramo Salida Palmira-Candelaria. La Tabla 11 incluye esta longitud dentro del tramo Ye de Villa Rica - Intersección Acceso Sur Palmira, por lo cual se aclarará en esta tabla que el tramo se extiende hasta intersectar el tramo Cali-Palmira.
Se actualizará el Apendice Tecnico 1 - Alcance, y se publicará con los documentos del Pliego de Condiciones Definitivo.</t>
  </si>
  <si>
    <t>Se informa al interesado que se aclarará la descripción de la intersección Parque del Azúcar en la en la descripción de la Tabla 7 del Apéndice Técnico 1, para definir que es una glorieta a nivel para mejorar los flujos que se presentan en ese cruce. El documento se publicará con los documentos del Pliego de Condiciones Definitivo.</t>
  </si>
  <si>
    <t>Se informa al interesado que la información se encuentra dispuesta en el Cuarto de Información de Referencia a título meramente informativo, y se encuentra en los formatos en los que la misma fue entregada por las empresas operadoras o propietarias de las redes de servicios públicos.</t>
  </si>
  <si>
    <t>Se informa al interesado que respecto a las condiciones asociadas a la franja de utilidad pública se aclara al interesado lo siguiente:
 -  La intención de esta regulación es la de velar porque una modificación de este tipo no desborde de una manera desmedida los riesgos que asume la entidad (en especial lo referente a la adquisición predial, riesgos socioambientales, o de redes). 
 - En ningún aparte del contrato se plantea que sea obligatorio implementar los Trazados elaborados por la Entidad. La condición planteada en el numeral 6.3 hace referencia a la franja de utilidad pública y la variación que pueda presentarse en los Estudios de Trazado y Diseño Geométrico y los Estudios de Detalle que realice el concesionario respecto a la misma. 
 - Aunque tal y como se aclara en los numerales anteriores, la redacción observada se comporta como un límite más nunca como una restricción absoluta, la Entidad realizará algunos ajustes a esta regulación de manera tal que dicho límite sea más flexible.</t>
  </si>
  <si>
    <t xml:space="preserve">Se aclara al interesado que la infraestructura existente podrá ser utilizada para el cumplimiento de los indicadores aplicables a la etapa preoperativa. Igualmente, se aclara que la Sección 3.3.10.1 del Apendice Tecnico 2 - Condiciones para la Operación y Mantenimiento, se aclara que durante la Etapa Preoperativa es posible la utilización de medios e infraestructura alternativa para cumplir con los requisitos del Centro de Control de Operaciones. Se informa al interesado que 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Adicionalmente, se aclara al interesado que se incluirá en el Apendice Tecnico 2 - Condiciones para la Operación y Mantenimiento, que las condiciones de disponibilidad del 99% del tiempo anual será exigible a partir de la suscripción del Acta de Terminación de Unidad Funcional.
</t>
  </si>
  <si>
    <t xml:space="preserve">Se aclara al interesado que el sistema de Web Services deberá ser implantado por el Concesionario y su exigibilidad como requisito obligatorio de Operación y Mantenimiento se hará a partir de la suscripción del Acta de Terminación de Unidad Funcional. 
Adicionalmente, se aclara que se incluirá en el Apendice Tecnico 2 - Condiciones para la Operación y Mantenimiento, que la implementación del sistema Web Services será exigible a partir de la suscripción del Acta de Terminación de Unidad Funcional.
</t>
  </si>
  <si>
    <t>Se informa al interesado que dentro de las condiciones de operación definidas por INVIAS, los peajes actualmente no tienen sistemas con cargo a tarjeta débito o crédito, por lo cual los medios de cobros electrónicos deberán instalarse por el Concesionario. El costo de las actividades de recaudo estarán a cargo del Concesionario excepto las condiciones de servicio de recaudo electrónico vehicular a cargo del usuario que define la resolución 546 de 2018 y sus modificaciones.
Respecto al momento de la puesta en operación, en la misma Sección se aclara: "Al momento de la suscripción del Acta de Terminación de Unidad Funcional en la que se encuentra la correspondiente Estación de Peaje, el Concesionario deberá poner en servicio al menos un (1) carril por sentido de cobro semiautomático."</t>
  </si>
  <si>
    <t xml:space="preserve">Se aclara al interesado que el Concesionario deberá adecuar las estaciones de peaje para que cumplan con con todas las condiciones de la Sección 3.3.4.5 del Apendice Tecnico 2 - Condiciones para la Operación y Mantenimiento respecto a las obligaciones de control de tránsito, por cuanto las condiciones instaladas actualmente, y que pueden consultarse en la Carpeta H, no cubren todas estas obligaciones. 
Adicionalmente, se aclara que se incluirá en el Apendice Tecnico 2 - Condiciones para la Operación y Mantenimiento, que la obligatoriedad de dichas condiciones de control de tránsito será exigible a partir de la suscripción del Acta de Terminación de Unidad Funcional.
</t>
  </si>
  <si>
    <t>El valor  asegurado  corresponde con la suma de $115.151 millones de pesos del mes de referencia, de forma que se da cumplimiento al criterio de excepción al principio de indivisibilidad contenido en el Decreto 1082 de 2015, artículo 2.2.1.2.3.1.3, que admite la división por periodos contractuales. se hará la corrección de la suma asegurada para cada quinquenio. Se acepta y se crregirá.
En cuanto a la Suficiencia de la garantía de seriedad de la oferta, El Decreto 1082 de 2015, Artículo 2.2.1.2.3.1.9. . Numeral 1 admite que para presupuestos entre 1 y 3 millones de SMMLV, como lo es este proyecto, la entidad admita garantías de seriedad de al menos el 2,5% y la cifra de 79.900 millones cumple con el requisito de ley. No se acepta la observacion.
Respecto a el valor asegurado para el seguro de responsabilidad civil tendrá un valor de 75.000 SMMLV.  Es del caso anotar que el valor del riesgo por responsabilidad civil no tiene proporcionalidad ni hay estadísticamente un factor de correlación para vincular el valor de las etapas con el valor asegurado necesario, máxime cuando se trata de actividades peligrosas en desarrollo de construcción pesada. así las cosas se hará la corrección para establecer un valor único para el seguro de responsabilidad civil en el valor de 75.000 SMMLV en todos los momentos de la vigencia del contrato. Se acepta la observacion y se corregirá.</t>
  </si>
  <si>
    <t>respuesta enviada por reina el 04 de julio</t>
  </si>
  <si>
    <t>La Entidad acoge la observación.  Para el amparo de cumplimiento en la etapa operativa detallado en el numeral 7.1. (b) (ii). El valor  asegurado corresponde con la suma de $115.151 millones de pesos del mes de referencia, de forma que se da cumplimiento al criterio de excepción al principio de indivisibilidad contenido en el Decreto 1082 de 2015, artículo 2.2.1.2.3.1.3, que admite la división por periodos contractuales. se hará la corrección de la suma asegurada para cada quinquenio.</t>
  </si>
  <si>
    <t>En cuanto a la Suficiencia de la garantía de seriedad de la oferta, El Decreto 1082 de 2015, Artículo 2.2.1.2.3.1.9. . Numeral 1 admite que para presupuestos entre 1 y 3 millones de SMMLV, como lo es este proyecto, la entidad admita garantías de seriedad de al menos el 2,5% y la cifra de 79.900 millones cumple con el requisito de ley. No se acepta la observacion.
En cuanto a las obligaciones de relativas a la constitucion del SPV se le precisa al observador que esta es una obligación que es exigible antes de la presntacion de la póliza de cumplimiento y requsito necesario para inicar la ejecución, por lo tanto es un riesgo cierto y que debe ser cubierto por la poliza de seriedad de la oferta, como quiera que el dferectro 1082 de 2015, Artículo 2.2.1.2.3.1.1. Riesgos que deben cubrir las garantías en la contratación. El cumplimiento de las obligaciones surgidas en favor de las Entidades Estatales con ocasión de: (i) la presentación de las ofertas, y por lo tanto debe quedar cubierto.
No se acepta la observación.</t>
  </si>
  <si>
    <t>Respecto a el valor  asegurado  corresponde con la suma de $115.151 millones de pesos del mes de referencia, de forma que se da cumplimiento al criterio de excepción al principio de indivisibilidad contenido en el Decreto 1082 de 2015, artículo 2.2.1.2.3.1.3, que admite la división por periodos contractuales. se hará la corrección de la suma asegurada para cada quinquenio. Se acepta y se corregirá.
En cuanto a la Suficiencia de la garantía de seriedad de la oferta, El Decreto 1082 de 2015, Artículo 2.2.1.2.3.1.9. . Numeral 1 admite que para presupuestos entre 1 y 3 millones de SMMLV, como lo es este proyecto, la entidad admita garantías de seriedad de al menos el 2,5% y la cifra de 79.900 millones cumple con el requisito de ley. No se acepta la observacion.
El valor asegurado para el seguro de responsabilidad civil tendrá un valor de 75.000 SMMLV.  Es del caso anotar que el valor del riesgo por responsabilidad civil no tiene proporcionalidad ni hay estadísticamente un factor de correlación para vincular el valor de las etapas con el valor asegurado necesario, máxime cuando se trata de actividades peligrosas en desarrollo de construcción pesada. así las cosas se hará la corrección para establecer un valor único para el seguro de responsabilidad civil en el valor de 75.000 SMMLV en todos los momentos de la vigencia del contrato. Se acepta la observacion y se corregirá.</t>
  </si>
  <si>
    <t>La Entidad acoge la observación.  Para el amparo de cumplimiento, el valor  asegurado corresponde con la suma de $115.151 millones de pesos del mes de referencia, de forma que se da cumplimiento al criterio de excepción al principio de indivisibilidad contenido en el Decreto 1082 de 2015, artículo 2.2.1.2.3.1.3, que admite la división por periodos contractuales. se hará la corrección de la suma asegurada para cada quinquenio.</t>
  </si>
  <si>
    <t>La Entidad acoge la observación.  Para el amparo de cumplimiento en la etapa operativa detallado en el numeral 7.1. (b) (ii), el valor  asegurado corresponde con la suma de $115.151 millones de pesos del mes de referencia, de forma que se da cumplimiento al criterio de excepción al principio de indivisibilidad contenido en el Decreto 1082 de 2015, artículo 2.2.1.2.3.1.3, que admite la división por periodos contractuales. se hará la corrección de la suma asegurada para cada quinquenio.</t>
  </si>
  <si>
    <t>Se informa al interesado que no se acepta su observación, el requisito del Pliego de Condiciones se encuentra en concordancia con lo establecido en el artículo 2.2.2.1.1.3 del Decreto 1082 de 2015.</t>
  </si>
  <si>
    <t xml:space="preserve">Se informa al interesado que los Fondos de Capital Privado extranjeros deberán acreditar: (i) que se constituyeron antes de la Fecha de Cierre de la Licitación Pública (es decir, se deberá haber constituido el vehículo) y (ii) que tienen en sus objetivos de inversión, la inversión en proyectos de infraestructura. </t>
  </si>
  <si>
    <t xml:space="preserve">Se informa al interesado que el Anexo 22 corresponde a la matriz de riesgos del Proyecto, mientras que el Anexo 23 corresponde a la matriz de riesgos del proceso de selección. Se recomienda al interesado verificar el contenido de ambos documentos de forma tal que pueda percibir las diferencias entre ambos documentos. </t>
  </si>
  <si>
    <t>Se informa al interesado que no se acepta su observación. Se aclara que la asignación de los riesgos corresponde a la establecida en las Secciones 13.2 y 13.3 del Contrato Parte General, y es vinculante para las partes. Es importante resaltar que la matriz de riesgos del Proyecto, es un instrumento metodológico que permite a la Entidad realizar una adecuada tipificación, estimación y asignación de riesgos y que se replica en los apartes pertinentes en el Contrato. Teniendo en cuenta lo anterior, la Entidad reitera que el documento denominado matriz de riesgos del Proyecto, publicado en el SECOP, es un documento de referencia y no hace parte del Contrato de Concesión ni tiene carácter de vinculante.
Aunado a lo anterior, de acuerdo con la ley 1508, el contrato de APP es un instrumento que, entre sus finalidades esenciales, “involucra la retención y transferencia de riesgos entre las partes”.  Para ello, la propia ley establece el criterio general de asignación, atribuyéndolos a “la parte que esté en mejor capacidad de administrarlos”, sin poderse deducir de aparte alguno de la norma la existencia de una tarifa legal según la cual ciertos riesgos deben quedar en cabeza de una u otra parte. Bien por el contrario, de acuerdo con la ley, la labor de asignar riesgos a cada parte debe hacerse caso por caso y, dependiendo de cada proyecto específico, siempre conforme al criterio general de asignación al que nos hemos referido.  De igual manera, la ley 1508 no exige que los riesgos asignados al privado tengan un límite “cuantitativo”, pues la estimación (evaluación de la probabilidad de su ocurrencia y magnitud) a que obliga el artículo 11.5 de la referida norma no conlleva un límite de ese tipo, por lo que nada obsta para que los riesgos que el privado esté en mejor capacidad de administrar le sean asignados en toda su extensión, tema que en todo caso será objeto de cada contrato de APP.  Asignado al riesgo, formará parte de los riesgos previstos y por lo tanto, esa asignación con su correspondiente estimación será elemento esencial del "equilibrio económico del contrato". La ocurrencia del riesgo previsto en el contrato, conllevará la asunción de sus efectos económicos por la parte que contractualmente lo ha aceptado, haciendo improcedente cualquier solicitud de restablecimiento de equilibrio económico entre las partes.  Dada la especialidad y la reciente expedición de la ley 1508, los anteriores principios deberán ser tenidos en cuenta al momento de estructurar y ejecutar cualquier contrato de APP y la aplicación de cualquier otra norma anterior a la ley 1508, en punto a asignación de riesgos, deberá supeditarse al cumplimiento de esos principios. En consecuencia, ninguna interpretación de otras normas anteriores y/o no especiales, podrá ir en contravía de lo previsto en dicha ley (artículo 3 de la ley 1508).</t>
  </si>
  <si>
    <t>La entidad aclara al interesado que el monto de patrimonio neto solicitado está en línea con la envergadura de ejecución del proyecto, obedece a una línea estándar utilizada por la Entidad desde el programa de 4G.</t>
  </si>
  <si>
    <t>Se le aclara al observador que la garantía de calidad es un requisito de ley en regulado en el Decreto 1082 de 2015  Artículo 2.2.1.2.3.1.7. Garantía de cumplimiento, numeral 5.  Adicionalmente debe notar que ningún amparo poscontractual opera estando bajo control o dominio del contratista el bien, obra o servicio, precisamente porque su razón de ser es cubrir eventuales daños o perjuicios surgidos luego del recibo a satisfacción. En este caso se trata de las obras de mantenimiento que desarrolla y de las cuales se hace registro en el acta de reversión. Por lo anterior no se acepta la observación.</t>
  </si>
  <si>
    <t>Se informa al interesado que el marco de referencia para   preparaciòn y presentaciòn de estados financieros es NIIF de acuerdo con la ley 1314 de 2009. Sin perjuicio de lo anterior el Concesionario y la Fiduciaria deberàn cumplir con la normatividad vigente y adcionalmente podràn pactar clàusulas adicionales dentro del contrato de fiducia.</t>
  </si>
  <si>
    <t>Se aclara al interesado que el valor del contrato incluye los  rubros establecidos establecido en  el Decreto 1082 de 2105 “Artículo “2.2.2.1.4.3 que estipula: "El valor de los contratos de los proyectos de Asociación Público Privada de iniciativa pública comprende el presupuesto estimado de inversión que corresponde al valor de la construcción, reparación, mejoramiento, equipamiento, operación y mantenimiento del proyecto según corresponda entre los cuales la entidad incorpora los siguientes: Costos Prediales, Costos de Compensación Ambiental, y Subcuenta POLCA."   De acuerdo con lo anterior, los otros rubros mencionados como comisión de éxito, costos de interventoría, y contingencias no forman parte del valor del contrato, sin embargo estas actividades que establece el contrato deberán ser ejecutadas por el Concesionario y estarán cubiertas por la retribución sin que estas estén incluidas en el valor del contrato.</t>
  </si>
  <si>
    <t>De conformidad con lo establecido en la definición de Obras Sociales en la Sección 1.120 de la Parte General, el Concesionario recibirá las propuestas de la comunidad y las expondrá a la ANI, y de acuerdo con las Secciones 19.4 y 19.1, estará a cargo de la financiación (hasta el monto de los fondeos previstos a la subcuenta de acuerdo con lo previsto en la sección 4.6 (j) del Contrato Parte Especial), su ejecución, Operación y Mantenimiento. Según el Apéndice Técnico 8, Sección 4.1, el Concesionario deberá "Recibir, revisar y evaluar las solicitudes de obras sociales radicadas por las comunidades y hacer un análisis integral de los aspectos que correspondan que contribuya a determinar la pertinencia y viabilidad de las obras sociales solicitadas, en los términos establecidos en la parte general del contrato."
Por otro lado, teniendo en cuenta que se siguen las mismas reglas de las obras menores, con la única diferencia que la fuente es suministrada por el concesionario en un monto y plazo establecidos (es decir que no asume riesgos sobre estos), tiene sentido que en la liquidación si quedan remanentes sean para la ANI.   </t>
  </si>
  <si>
    <t>La Entidad se permite aclarar al interesado que los riesgos deberán ser asignados contractualmente a quien esté en mejor capacidad de administrarlos, y a quien esté en mayor capacidad de gestionar los diferentes mecanismos de mitigación. Por tal motivo la entidad considera pertinente mantener la asignación de los riesgos los cuales se encuentran en línea con el Conpes vigente a la fecha, de manera especial el 3760 de 2013, por lo anterior su observación no es procedente  .</t>
  </si>
  <si>
    <t>Se aclara al interesado no se acepta su observaciòn, teniendo en cuenta que en proyectos de este tipo (project financie), se requiere que la estructura de capital este determinada tanto por recursos de deuda como por recursos de capital (accionistas o capital propio), las cuales se encuentran reguladas en el contrato de concesión.</t>
  </si>
  <si>
    <t>Se informa al interesado lo siguiente: 
1. La entidad realizará la modificación en el pliego de condiciones, en el sentido de señalar que para que se puedan acreditar requisitos habilitantes de sociedades fusionadas o escindidas, debe acreditarse que el proceso de fusión o escisión se encuentra perfeccionado y en firme para la fecha de cierre del proceso de selección. 
2 y 3. Respecto de las preguntas relacionadas con el porcentaje de participación que se debe acreditar para efectos de aportar experiencia, se aclara al interesado que se aplicaran las reglas establecidas en el Pliego de Condiciones en el aparte correspondiente donde se desarrolla el requisito de experiencia en inversión. En esta medida, el Oferente que pretenda acreditar el 100% de la experiencia deberá haber tenido una participación en el capital social del vehículo de propósito especial o de la estructura plural, según corresponda, mínima del 25%. Cuando el porcentaje de participación sea inferior al 25% se tendrá en cuenta la experiencia a prorrata de la participación.  
4. No existe ningún límite temporal en que debió haberse efectuado el proceso de Fusión o Escisión, no obstante, para efectos de acreditar Experiencia en Inversión, el Oferente deberá tener en cuenta las reglas previstas para el efecto en el Pliego de Condiciones.</t>
  </si>
  <si>
    <t>respuesta enviada por luz elena el 6 de julio</t>
  </si>
  <si>
    <t>Se informa al interesado que se tendrá en cuenta su observación y se harán los ajustes pertinentes con el fin de incluir la declaratoria de nulidad de una autoridad estatal con plenas facultades y competencias para ello, como causal de terminación anticipada.</t>
  </si>
  <si>
    <t>No se acepta la observación del interesado. Se aclara al interesado que ante cualquier controversia que surja con ocasión al contrato, están a  disposición de las partes los demás mecanismos de solución de conflictos.</t>
  </si>
  <si>
    <t>Se informa al interesado que no se acepta su observación. La ANI considera que el mecanismo de solución de controversias del Amigable Componedor es razonable y suficiente para resolver las controversias a su cargo. 
Se aclara al interesado que el "amigable componedor"es un tercero imparcial e independiente de quien lo designe.</t>
  </si>
  <si>
    <t xml:space="preserve">Se precisa al interesado que el control podra ser indirecto unicamente en los terminos indicados en el pliego de condiciones, esto es, en el evento el que se acredita capacidad financiera o experiencia en inversión a traves de las sociedades controladas por las matrices del proponente o del integrante de la estructura plural del proponente. 
Adicionalmente se aclara que en el proceso de selección se tendrá en cuenta únicamente la presunción de control establecida en el numeral 1 del artículo 261 del Código de Comercio Colombiano. 
</t>
  </si>
  <si>
    <t>Se informa al interesado que tal y como se regula en la parte especial del contrato de concesión, existe un límite de imposición total de multas y sanciones frente a estas ultimas el contrato fija un tope a la pena individualmente considerada a imponer de 1.000 salarios mínimos, existiendo así margen de discrecionalidad en la imposición del valor de esta, determinación que en todos los casos debe consultar los principios de razonabilidad y proporcionalidad de las penas.</t>
  </si>
  <si>
    <t>De acuerdo con las observaciones presentadas por los Interesados y con el fin de otorgar plazo prudencial para la revisión de los Documentos del Proceso de Contratación, se modificó el cronograma a través de los Avisos Modificatorios publicados en el SECOP.</t>
  </si>
  <si>
    <t xml:space="preserve">Se informa al interesado que el ajuste fue efectuado mediante Aviso Modificatorio. Por su parte, en lo que respecta a su solicitud de ampliar el plazo fijado para la constitución de la SPV, no se acoge su observación. La ANI considera que el plazo previsto para la constitución del SPV es suficiente y razonable toda vez que coincide con los plazos usualmente requeridos para adelantar este trámite.  </t>
  </si>
  <si>
    <t xml:space="preserve">Se informa al interesado que no se acepta su observación. Sin embargo, la Entidad efecturá una aclaración en este numeral la cual se verá reflejada en el Pliego de Condiciones Definitivo. </t>
  </si>
  <si>
    <t>Se informa al interesado que no se acepta su observación ya que para efectos del Anexo 3 se tendrá en cuenta la definición de Integrante del Oferente de la Sección 1.3.34. del Pliego de Condiciones.</t>
  </si>
  <si>
    <t xml:space="preserve">Se informa al interesado que no se considera necesario ajustar el documento. Los miembros del Oferente están definidos en el Acuerdo de Garantía como "Integrantes", de forma tal que el texto aplica para Oferentes individuales y Estructuras Plurales. 
</t>
  </si>
  <si>
    <t xml:space="preserve">Las multas previstas en la Parte Especial se causarán en el evento en que exista un hecho de incumplimiento imputable al Concesionario en ejecución del Contrato y la imposición de las mismas se regirá de acuerdo con lo señalado en el artículo 86 de la Ley 1474 de 2011 o las normas que lo modifiquen, complementen o sustituyan, por lo anterior no se acepta la solicitud del interesado. </t>
  </si>
  <si>
    <t xml:space="preserve">Se informa al interesado que no se acepta su observación, ya que los documentos contenidos en el Cuarto de Información de Referencia se suministran únicamente a título informativo según se define en la Sección 1.7 de los Pliegos de Condiciones. Corresponderá al Concesionario adelantar los estudios y diseños necesarios para la ejecución de las Intervenciones en el nivel de detalle requerido, y con los supuestos que de acuerdo con su experticia estime, así como con lo establecido en el Contrato para cumplir con lo dispuesto en los Apéndices Técnicos. 
Adicionalmente, efectivamente en el numeral 1.7del Proyecto de Pliego de Condiciones establece que la Oferta debe estar basada en la elaboración de sus propios estudios técnicos y en sus propias estimaciones. Es importante resaltar que la presentación de la Oferta implica la aceptación de que esas obligaciones y riesgos serán enteramente asumidos en caso de que el Oferente resulte Adjudicatario del Contrato de Concesión, como contraprestación por el pago previsto en el Contrato y con base en su Oferta Económica. 
Ahora bien, los estudios realizados por la entidad y sus estructuradores, tienen como objeto la estructuración técnica, jurídica y financiera del proyecto con el fin de encontrar una alternativa de referencia para ejecutar las intervenciones requeridas según las especificaciones de cada uno de los tramos viales que componen el corredor, lo que no implica que la alternativa estructurada sea la única viable. Esta circunstancia es precisamente la que justifica el hecho que, aun teniendo a disposición los Interesados los estudios y diseños en etapa de factibilidad que soportan la alternativa propuesta por la ANI y avalada, corregida o modificada por el estructurador, aquellos tienen la facultad discrecional de apartarse de los resultados de dichos estudios y diseños y proponer la que consideren una mejor alternativa, por lo que la información es de referencia y no complementaria del pliego ni vinculante.   
</t>
  </si>
  <si>
    <t>Se informa al interesado que no se acepta su observación, de acuerdo con la ley 1508, el contrato de APP es un instrumento que, entre sus finalidades esenciales, “involucra la retención y transferencia de riesgos entre las partes”.  Para ello, la propia ley establece el criterio general de asignación, atribuyéndolos a “la parte que esté en mejor capacidad de administrarlos”, sin poderse deducir de aparte alguno de la norma la existencia de una tarifa legal según la cual ciertos riesgos deben quedar en cabeza de una u otra parte. Bien por el contrario, de acuerdo con la ley, la labor de asignar riesgos a cada parte debe hacerse caso por caso y, dependiendo de cada proyecto específico, siempre conforme al criterio general de asignación al que nos hemos referido.  De igual manera, la ley 1508 no exige que los riesgos asignados al privado tengan un límite “cuantitativo”, pues la estimación (evaluación de la probabilidad de su ocurrencia y magnitud) a que obliga el artículo 11.5 de la referida norma no conlleva un límite de ese tipo, por lo que nada obsta para que los riesgos que el privado esté en mejor capacidad de administrar le sean asignados en toda su extensión, tema que en todo caso será objeto de cada contrato de APP.  Asignado al riesgo, formará parte de los riesgos previstos y por lo tanto, esa asignación con su correspondiente estimación será elemento esencial del "equilibrio económico del contrato". La ocurrencia del riesgo previsto en el contrato, conllevará la asunción de sus efectos económicos por la parte que contractualmente lo ha aceptado.  Dada la especialidad n de la ley 1508, los anteriores principios deberán ser tenidos en cuenta al momento de estructurar y ejecutar cualquier contrato de APP, así mismo deberán ser evaluados por los Interesados en la presentación de su Oferta.).</t>
  </si>
  <si>
    <t xml:space="preserve">Se informa al interesado que la ANI ha tomado del Decreto 2555 de 2010 la definición de Beneficiario Real debido a que tiene un concepto más integral y comprensivo del régimen de origne de recursos y lavado de activos, sin embargo ello no implica el desconocimiento de la Ley 1508 de 2012, por el contrario dichas disposiciones son complementarias. Teniendo en cuenta lo anterior, no se acepta su observación. </t>
  </si>
  <si>
    <t xml:space="preserve">Se informa al interesado que su entendimiento no es correcto. En concordancia con el numeral 4.2.2 del Pliego de Condiciones, se tiene que además de los requisitos establecidos en esta sección, si quien acredita la experiencia tuvo como mínimo una participación del 25% al momento del cierre financiero, obtendrá el 100% de dicha experiencia. En caso de ser inferior, la experiencia será tenida en cuenta a prorrata de su participación en la estructura anterior.  </t>
  </si>
  <si>
    <t>Se informa al interesado que no se acepta su observación. Es responsabilidad exclusiva del Concesionario adelantar las labores de debida diligencia de formal tal que, al momento de presentar su Oferta, haya evaluado la totalidad de obligaciones y riesgos que el Contrato prevé. Por su parte, se informa al interesado que la asignación de riesgos y la responsabilidad del Concesionario están debidamente detalladas en el Contrato.</t>
  </si>
  <si>
    <t xml:space="preserve">Se informa al interesado que no se acepta su observación. Es responsabilidad exclusiva del Oferente adelantar las labores de debida diligencia de formal tal que, al momento de presentar su Oferta, haya evaluado la viabilidad financiera del Contrato, los sitios de la obra, los riesgos, las condiciones de trabajo y en general, todos los factores determinantes de los costos del Contrato. 
Adicionalmente, en el numeral 1.7 del Proyecto de Pliego de Condiciones se establece que la Oferta debe estar basada en la elaboración de sus propios estudios técnicos y en sus propias estimaciones. Es importante resaltar que la presentación de la Oferta implica la aceptación de que esas obligaciones y riesgos serán enteramente asumidos en caso de que el Oferente resulte Adjudicatario del Contrato de Concesión, como contraprestación por el pago previsto en el Contrato y con base en su Oferta Económica. 
Ahora bien, los estudios realizados por la entidad y sus estructuradores, tienen como objeto la estructuración técnica, jurídica y financiera del proyecto con el fin de encontrar una alternativa de referencia para ejecutar las intervenciones requeridas según las especificaciones de cada uno de los tramos viales que componen el corredor, lo que no implica que la alternativa estructurada sea la única viable. Esta circunstancia es precisamente la que justifica el hecho que, aun teniendo a disposición los Interesados los estudios y diseños en etapa de factibilidad que soportan la alternativa propuesta por la ANI y avalada, corregida o modificada por el estructurador, aquellos tienen la facultad discrecional de apartarse de los resultados de dichos estudios y diseños y proponer la que consideren una mejor alternativa, por lo que la información es de referencia y no complementaria del pliego ni vinculante.   </t>
  </si>
  <si>
    <t xml:space="preserve">Se informa al interesado que no se acepta su observación. La ANI considera que el plazo previsto para la Constitución del SPV es razonable y responde a los tiempos usuales para realizar este trámite. </t>
  </si>
  <si>
    <t>Se informa al interesado que no se considera procedente su observación, y que la Entidad considera adecuadas las condiciones de acreditación de experiencia planteadas.</t>
  </si>
  <si>
    <t xml:space="preserve">Se informa al interesado que el Acuerdo de Garantía deberá ser presentado por el Oferente como parte de su Oferta cuando acredita Experiencia en Inversión y/o Capacidad Financiera a través de su matriz, sociedad controlada o sociedad controlada por su matriz. Lo anterior, en línea con lo establecido por la Sección 4.1.8 del Pliego de Condiciones. </t>
  </si>
  <si>
    <t xml:space="preserve">Se informa al interesado que no se acepta su observación. Corresponde a la debida diligencia de cada Oferente verificar todas las condiciones e información que considere necesaria para la presentación de su Oferta de forma tal que pueda determinar su contenido y alcance.
 Es responsabilidad exclusiva del Oferente adelantar las labores de debida diligencia de formal tal que, al momento de presentar su Oferta, haya evaluado la viabilidad financiera del Contrato, los sitios de la obra, los riesgos, las condiciones de trabajo y en general, todos los factores determinantes de los costos del Contrato. 
Adicionalmente, en el numeral 1.7 del Proyecto de Pliego de Condiciones se establece que la Oferta debe estar basada en la elaboración de sus propios estudios técnicos y en sus propias estimaciones. Es importante resaltar que la presentación de la Oferta implica la aceptación de que esas obligaciones y riesgos serán enteramente asumidos en caso de que el Oferente resulte Adjudicatario del Contrato de Concesión, como contraprestación por el pago previsto en el Contrato y con base en su Oferta Económica. 
Ahora bien, los estudios realizados por la entidad y sus estructuradores, tienen como objeto la estructuración técnica, jurídica y financiera del proyecto con el fin de encontrar una alternativa de referencia para ejecutar las intervenciones requeridas según las especificaciones de cada uno de los tramos viales que componen el corredor, lo que no implica que la alternativa estructurada sea la única viable. Esta circunstancia es precisamente la que justifica el hecho que, aun teniendo a disposición los Interesados los estudios y diseños en etapa de factibilidad que soportan la alternativa propuesta por la ANI y avalada, corregida o modificada por el estructurador, aquellos tienen la facultad discrecional de apartarse de los resultados de dichos estudios y diseños y proponer la que consideren una mejor alternativa, por lo que la información es de referencia y no complementaria del pliego ni vinculante.   </t>
  </si>
  <si>
    <t xml:space="preserve">Se informa al interesado que no se acepta su observación. La ANI considera que el porcentaje de participación mínimo requerido para los Líderes es razonable y se compadece con este tipo de proyectos. </t>
  </si>
  <si>
    <t xml:space="preserve">Se informa al interesado que dicha fecha ya fue ajustada a través de Avisos Modificatorios los cuales se encuentran publicados en el SECOP. En todo caso, la fecha observada quedará ajustada en el documento definitivo. </t>
  </si>
  <si>
    <t xml:space="preserve">Se informa al interesado que la respuesta a las observaciones será publicada a través del SECOP de acuerdo con los plazos previstos por el Cronograma del Proceso de Selección. </t>
  </si>
  <si>
    <t>Se informa al interesado que la ANI realizará ajustes en las secciones de verificacion de entrega para UF (Sección 4.17 PG), en la Gestion y adquisición Predial (Sección 7.1 (f)) PG y en la fórmula de Cálculo de la Retribución señalanda en la Parte Especial. Estas modificaciones se veran reflejadas en la minuta que se publicará con el Pliego de Condiciones Definitivo</t>
  </si>
  <si>
    <t xml:space="preserve">Se informa al interesado que no se acepta su observación. La ANI considera que la definición  de Beneficiario Real es integral y adecuada frente a los fines perseguidos por el Contrato.
La figura de Beneficiario Real contenida en el Sección 1.21 de la Parte General, además de cumplir con la finalidad contenida en el artículo 23 de la Ley 1508 de 2012, es utilizada para regular situaciones adicionales dentro del Contrato de Concesión, entre otras, relacionadas con los Ingresos por Explotación Comercial.  </t>
  </si>
  <si>
    <t>Se informa al interesado que no se considera necesario incluir la definición propuesta, teniendo en cuenta que la caducidad es una figura regulada en el artículo 18 de la ley 80 de 1993, regulación legal recogida en la Sección 11.1 del Contrato Parte General.</t>
  </si>
  <si>
    <t>Se informa al interesado que no se acepta su observación. La ANI considera que la regulación prevista para la Entrega de la Infraestructura es razonable y está en línea con la distribución de riesgos del Proyecto.La información que publica la ANI en el cuarto de información de referencia al momento de la estructuración misma,  puede variar por causas ajenas a la entidad o al estructurador, por consiguiente, es deber del oferente  y/o concesionario realizar sus propios estudios para estimar el estado actual de las vias,estaciones de pesaje,peaje y áreas de servicio. No hay que olvidar que la información de la ANI es de mera referencia. En esa medida vale la pena señalar que la Sección 1.7 del Pliego de Condiciones establecen que corresponderá al Proponente la responsabilidad exclusiva de asumir los costos derivados de la presentación de la Oferta de acuerdo con la asignación de costos y riesgos del Contrato y sus Apéndices y si algún Proponente considera que no ha podido obtener toda la información relevante o si considera que sus propias estimaciones le hacen imposible la asunción de esas obligaciones y riesgos, deberá abstenerse de presentar Oferta. Adicionalmente,  establece que la oferta del Proponente debe estar basada en la elaboración de sus propios estudios técnicos y en sus propias estimaciones. Es importante resaltar que la presentación de la Oferta, implica la aceptación de que esas obligaciones y riesgos serán enteramente asumidos en caso de que el Oferente resulte Adjudicatario del Contrato de Concesión, como contraprestación por el pago previsto en el Contrato y con base en su Oferta Económica.</t>
  </si>
  <si>
    <t>Se informa al interesado que no se acepta su observación. La ANI considera que la regulación prevista en el Contrato para eventos de Fuerza Mayor o Eventos Eximentes de Responsabilida incluye cualquier evento o circunstancia fuera del control razonable de la Parte que lo invoca, que afecte en forma sustancial y adversa el cumplimiento de las obligaciones derivadas del Contrato.</t>
  </si>
  <si>
    <t xml:space="preserve">Se informa al interesado que no se acepta su observación. La ANI considera que el plazo establecido para la suscripción del Contrato de Interventoría es razonable y está en línea con los plazos para la suscripción del Acta de Inicio del Contrato. </t>
  </si>
  <si>
    <t>Se informa al interesado que no se acepta su observación. El Concesionario será el Fideicomitente de la Fiducia Mercantil, por lo que es quien debe suscribir el Contrato de Fiducia.
Lo anterior, en virtud de lo dispuesto en el artículo 24 de la Ley 1508 de 2012, en el que se indica que,  los recursos públicos y todos los recursos que se manejen en el proyecto deberán ser administrados a través del Patrimonio Autónomo constituido por el contratista -Concesionario.</t>
  </si>
  <si>
    <t xml:space="preserve">Se informa al interesado que el requisito establecido en la Sección 4.2 (d)(i)(8) que exige indicar el procedimiento de selección de los miembros de junta directiva que debe incluir al menos el 25% de miembros independientes no fue incluido con base en el artículo 44 de la Ley 964 de 2005, toda vez que esta norma únicamente aplica para los emisores de valores. 
La razón de inclusión de este requerimiento se debe a una buena práctica de gobierno corporativo y busca que dentro de la junta directiva del Concesionario exista al menos un 25% de miembros que no sean empleados, directivos ni contratistas del Concesionario, de los accionistas del Concesionario ni de ninguno de los Beneficiarios Reales con el fin de tener una mayor objetividad en la toma de decisiones, buscando siempre la transparencia en las negociaciones y el bienestar de la sociedad. 
Adicionalmente, es preciso señalar que en ejercicio de la autonomía de la voluntad que rige la actividad contractual del Estado,  dicha autonomía no está sujeta a la expresa autorización de una Ley, sino que es amplia dentro de los límites legales y solo se restringe ante expresa prohibición por el ordenamiento jurídico.  Ahora bien, no existe restricción legal ni constitucional  alguna que impida que el Contrato de Concesión determine ciertas condiciones mínimas de organización corporativa que sean de obligatorio cumplimiento para el Concesionario necesarias para garantizar que el SPV cuyo único propósito es desarrollar el Contrato sea administrado siguiendo unas reglas mínimas de buen gobierno corporativo de acuerdo con diversos estándares internacionales que garanticen la transparencia en la ejecución del Contrato y que faciliten la supervisión y el control de dicha sociedad por todas las entidades mencionadas por el observante.  Dichas medidas constituyen una verdadera garantía para la ejecución del Contrato de Concesión en términos de transparencia, no solo frente al Estado sino frente a la población que se beneficiará por la puesta en marcha del Proyecto.
Dicho lo anterior, se informa al interesado que no se acepta su observación. 
</t>
  </si>
  <si>
    <t xml:space="preserve">Se informa al interesado que la ANI no considera necesario hacer la aclaración propuesta. La sección 11.3 de la Parte General se refiere a aquellas cláusulas que son excepcionales al Derecho Común. Por su parte, en lo que respecta a la interpretación unilateral, la ANI podrá hacerlo previo cumplimiento de los requisitos establecidos en la Ley Aplicable. </t>
  </si>
  <si>
    <t>Se aclara al interesado que de acuerdo con lo establecido por la Sección 15.1 (e)(v) de la Parte General, el inicio del procedimiento de Amigable Composición no faculta a las partes para suspender unilateralmente la ejecución de las obligaciones del Contrato.</t>
  </si>
  <si>
    <t xml:space="preserve">Se informa al interesado que no se acepta su observación. El reconocimiento que podrá efectuar la ANI por Eventos Eximentes de Responsabilidad estará limitado a los costos ociosos de mayor permanencia en obra directamente causados por estos hechos. </t>
  </si>
  <si>
    <t xml:space="preserve">Se informa al interesado que no se acepta su observación.Por cuestiones de economía y de eficiencia ha de ser el concesionario quien escoja al tercero que ha de ejecutar las obras menores no previstas, en los términos de la sección 19.1 (c) de la Parte General, pues para la Entidad es importante que el Concesionario siga asumiendo la responsabilidad sobre las obras del Proyecto y por ello el contrato de concesión le otorga al concesionario las herramientas de control sobre las actividades del subcontratista. </t>
  </si>
  <si>
    <t xml:space="preserve">Se informa al interesado que no se acepta su observación. La entidad se reserva el derecho a sustituir los subcontratistas y Contratistas cuando no cumplan con las calidades mínimas necesarias para la ejecución de sus labores. Las calidades mínimas de los subcontratistas se establecen conforme a criterios de capacidad e idoneidad para desarrollar la labor encomendada, conforme lo establece la sección 19.5 (a) de la Parte General. Se recuerda que el Concesionario es el único responsable ante la ANI de la celebración de subcontratos.  </t>
  </si>
  <si>
    <t xml:space="preserve">Se informa al interesado que no se considera necesario hacer el ajuste propuesto en la observación. El título hace referencia a la cesión que los accionistas del Concesionario pueden hacer de sus acciones. </t>
  </si>
  <si>
    <t xml:space="preserve">Se informa al interesado que no se acepta su observación. El Concesionario asume los riesgos asignados a su cargo a través del Contrato de Concesión y sus obligaciones, toda vez que, con la presentación de la Oferta, declara que entiende y conoce el alcance de las obligaciones del contrato, efectuó la valoración de riesgos que le fueron asignados y entiende que está en capacidad de asumir y administrar tales riesgos. De igual forma dentro de las Principales Obligaciones del Concesionario durante la Fase de Preconstrucción se encuentra la de Recibir la infraestructura del Proyecto en concesión, en la fecha que señale la ANI, incluyendo las Estaciones de Peaje, las Estaciones de Pesaje y toda aquella infraestructura asociada, en el estado en el que esta se encuentre sin objeción alguna y asumir, desde su recibo, todas las obligaciones de resultado que se prevén en el presente Contrato y sus Apéndices.(Sección 4.2 (a) Parte General)
Aunado a lo anterior, respecto a las invasiones que puedan presentarse dentro del Corredor del Proyecto, de acuerdo con lo establecido 3.12(a)(v) de la Parte General esta es una obligación a cargo del Concesionario. Por lo tanto, las medidas necesarias de defensa,,  protección y saneamiento que deberá tomar el Concesionario para liberar o evitar la invasión del Corredor son las fijadas en la Ley Aplicable, este debe ser asumido por el privado, por ser éste quien se encuentra en tenencia de la vía y por lo tanto detenta, en virtud de las actividades y obligaciones surgidas del Contrato, la guarda jurídica y física de los bienes de la Concesión. En consecuencia, es quien ha de iniciar las acciones administrativas y policivas pertinentes para impedir o hacer cesar la respectiva invasión.. </t>
  </si>
  <si>
    <t>Se informa al interesado que se acepta su observación, por tanto se actualizará el Apendice Técnico No. 4 - Indicadores, haciendo los ajustes aclarando los indicadores que se medirán en la Etapa Preoperativa  y su respectivos valores de aceptación El documento se publicara con los Pliegos de Condiciones Definitivos.</t>
  </si>
  <si>
    <t>respuesta enviada por juan camilo el 6 de julio</t>
  </si>
  <si>
    <t>Se informa al interesado que la fuente primaria de información sobre los POT e instrumentos de ordenación territorial son los municipios.  Igualmente, en la carpeta E1 del Cuarto de Información de Referencia se puede consultar la información sobre POT e instrumentos equivalentes contemplados en la estructuración del proyecto. Asimismo, se informa que se complementará en el Cuarto de Información de Referencia la información relativa a planes parciales.
Finalmente, es importante precisar que esta información estará disponible a título meramente informativo acorde con las condiciones de la Sección 1.7 Cuarto de Información de Referencia del Pliego de Condiciones.</t>
  </si>
  <si>
    <t xml:space="preserve">Se informa al interesado que su su solicitud no procede, pues la entidad considera que las condiciones de operación que se dictan en excepciones puntuales en los indicadores permite trabajar diferenciadamente las condiciones de entornos urbanos frente a los tramos interurbanos de la misma Unidad Funcional. </t>
  </si>
  <si>
    <t>Se informa al interesado que se aclararán las descripciones del tramo en la Tablas 5 del Apendice Tecnico No. 1 en los documentos del Pliego de Condiciones Definitivo. Igualmente se precisa que las definiciones de tramos incluyen los puntos con coordenadas para evitar las confusiones que puedan presentarse por la denominación de los puntos de inicio y fin.</t>
  </si>
  <si>
    <t>Se informa al interesado que las condiciones de parámetros geométricos de la Variante El Bolo se detallan en las Tablas 5 y 11,  asimismo se informa al interesado que se aclararán las descripciones de las tablas en el Apendice Tecnico No. 1 en los documentos del Pliego de Condiciones Definitivo. Igualmente se precisa que las definiciones de tramos incluyen los puntos con coordenadas para evitar las confusiones que puedan presentarse por la denominación de los puntos de inicio y fin.</t>
  </si>
  <si>
    <t>Se informa al interesado que se aclararán las descripciones del tramo en las Tablas 5 y 11 en el Apendice Tecnico No. 1 en los documentos del Pliego de Condiciones Definitivo. Igualmente se precisa que las definiciones de tramos incluyen los puntos con coordenadas para evitar las confusiones que puedan presentarse por la denominación de los puntos de inicio y fin</t>
  </si>
  <si>
    <t>Se aclara al interesado que se deberá evaluar en los Estudios de Detalle las condiciones para que las ciclorrutas presten una operación segura y acorde con las Especificaciones Técnicas y en tal sentido cual cobertura de ITS podría ser necesaria para tal propósito, sin embargo se aclara que la Intervención no pretende que la ciclorruta tenga instalaciones de ITS como si se tratase de otra calzada vehicular.</t>
  </si>
  <si>
    <t>Se informa al interesado que el proyecto propone recibir de la Gobernación del Valle el corredor Cali - Candelaria como corredor Doblecalzada - Dos carriles por calzada. La Sección 3.6(f) de la Parte Especial Entrega regula los mecanismos de la Entrega de Infraestructura, para que el tramo Cali - Candelaria pueda ser recibido dentro del proyecto debe contar con la segunda calzada terminada. Sin embargo se consideran alcances de Puesta a Punto por cuanto son necesarias las Intervenciones para cumplir con las obligaciones de Operación y Mantenimiento.</t>
  </si>
  <si>
    <t>Se informa al interesado que se incluirá en el Cuarto de Información de Referencia (carpeta G) la información disponible del tramo Villa Rica Caloto y la ubicación georreferenciada de ambos tramos viales. Esta información estará disponible a título meramente informativo acorde con las condiciones de la Sección 1.7 Cuarto de Información de Referencia del Pliego de Condiciones.</t>
  </si>
  <si>
    <t>Las tablas 6 y 11 se incluyen para desarrollar en más detalle las características geométricas y técnicas de cada tramo, por tal motivo estas incluyen más subdivisiones que la Tabla 5. Sin embargo, se se aclararán las descripciones del tramo en las Tablas 5, 6 y 11 en el Apendice Tecnico No. 1 en los documentos del Pliego de Condiciones Definitivo.</t>
  </si>
  <si>
    <t>Se informa al interesado que se aclararán las descripciones del tramo en las Tabla 6 en el Apendice Tecnico No. 1 en los documentos del Pliego de Condiciones Definitivo. Igualmente se precisa que las definiciones de tramos incluyen los puntos con coordenadas para evitar las confusiones que puedan presentarse por la denominación de los puntos de inicio y fin.</t>
  </si>
  <si>
    <t xml:space="preserve"> En la versión definitiva del pliego se aclararán las intervenciones sobre los pasos nacionales.Se informa al interesado que se aclararán las descripciones de los pasos Nacionales en la Tabla 9 en el Apendice Tecnico No. 1 en los documentos del Pliego de Condiciones Definitivo. Igualmente se precisa que las definiciones de tramos incluyen los puntos con coordenadas para evitar las confusiones que puedan presentarse por la denominación de los puntos de inicio y fin.</t>
  </si>
  <si>
    <t>Se informa al interesado que se complementará el Cuarto de Información de Referencia en concordancia con el índice, el cual tambien será actualizado. Se aclara que esta información estará disponible a título meramente informativo acorde con las condiciones de la Sección 1.7 Cuarto de Información de Referencia del Pliego de Condiciones.</t>
  </si>
  <si>
    <t>Se informa al interesado que la intersección La Herradura hace parte de la Unidad Funcional 2. Dado lo anterior, se realizará el ajuste en la Sección 3.6(f) de la Parte Especial, la cual será publicada con los documentos del Pliego de Condiciones Definitivo.</t>
  </si>
  <si>
    <t>Se informa al interesado que su entendimiento es correcto. La Entrega de la Infraestructura de estos tramos se hará como parte de la infraestructura existente, si por causa del estado predial estos tramos no pueden cumplir la entrega en los plazos establecidos en la Sección 3.6(f) de la Parte Espeical, entonces se seguirá el procedimiento allí descrito para modificar el alcance. 
Se aclara que lo anterior no impide que según los Estudios de Trazado y Diseño Geométrico y Diseños de Detalle del Concesionario se lleguen a definir Predios Requeridos en ese sector en forma posterior a la Entrega de la Infraestructura.</t>
  </si>
  <si>
    <t>Se aclara al interesado que el tramo El Cerrito - Buga hace parte de la infraestructura existente que será objeto de la Entrega de Infraestructura. El sector curva "Don Otto" de acuerdo con las condiciones particulares de la Sección 3.6(f) de la Parte Especial, tendrá una parte adicional que hará parte de la Entrega de la Infraestructura, por lo que si sucede en los plazos de dicha sección, el futuro concesionario podrá contar con el espacio para mejorar geométricamente esa curva.</t>
  </si>
  <si>
    <t>Se informa al interesado que hay Intervenciones de la Tabla 14 cuya ubicación depende de los Estudios de Detalle, por lo cual no se considera procedente predeterminar las ubicaciones. Sin embargo, se ampliará la descripción de las condiciones de estas obras en el Apendice Tecnico No. 1 en los documentos del Pliego de Condiciones Definitivo.</t>
  </si>
  <si>
    <t>Se informa al interesado que la diferencia en las dimensiones de las secciones obedece al cumplimiento de los perfiles viales del POT en la zona de expansión urbana de Cali. Igualmente, se considera procedente aclarar este aspecto en la tabla referida, donde se realcionan las características geométricas, por lo que se actualizará la Tabla 15 en el Apendice Tecnico No. 1 en los documentos del Pliego de Condiciones Definitivo.</t>
  </si>
  <si>
    <t>Se confirma al interesado que los encabezados de la tabla están transpuestos. Se informa que se corregirán dichas tablas en el Apendice Tecnico No. 1 en los documentos del Pliego de Condiciones Definitivo.</t>
  </si>
  <si>
    <t>Se informa al interesado que la referencia correcta es la Sección 3.10 de la Parte Especial sobre la Reversión Especial. Se informa que se corregirá dicha referencia en el Apendice Tecnico No. 1 en los documentos del Pliego de Condiciones Definitivo.</t>
  </si>
  <si>
    <t>Se informa al interesado que dichas Intervenciones se definieron tras procesos de concertación con las autoridades locales sobre una base de proyectos definidos inicialmente por la Gobernación del Valle, en las que se incluyeron obras también propuestas y diseñadas por los Municipios y la Gobernación. En la medida que los Estudios de Trazado y Diseño Geométrico y Estudios de Detalle serán desarrollados por el Concesionario, las aprobaciones por parte de las autoridades locales corresponden a dicha etapa.</t>
  </si>
  <si>
    <t>Se informa al interesado que no se considera procedente extender los plazos del Tiempo Máximo de Corrección. Si bien pueden requerirse Intervenciones de cierta complejidad, el Concesionario tiene suficiente tiempo de antelación a la medición del indicador para prevenir que los Valores de Aceptación no sean aceptables, y con esto, desarrollar las Intervenciones necesarias para corregirlos.</t>
  </si>
  <si>
    <t xml:space="preserve">Se informa al interesado que las series proyectadas incluidas en el informe del estudio de tráfico son de siete categorías y se desarrollan entre 2017 y 2050. Sin embargo, hay una equivalencia con las categorías de las estaciones que actualmente opera el INVIAS, por lo que las tárifas serán las actualmente vigentes. Asimismo, se incluyeron estimaciones de categorías especiales. </t>
  </si>
  <si>
    <t>Se informa al interesado que la información es la misma, solo que el Estudio de Trafico y Demanda tiene la información con 2017 como año de referencia, mientras que la Presentación publicada en el Cuarto de Información de Referencia tiene la información con 2020 como año de referencia .</t>
  </si>
  <si>
    <t xml:space="preserve">Se informa al interesado que los modelos de tráfico calcularon información de proyecciones para 11 estaciones de peaje, sin embargo se aclara que los escenarios de estructuración tomaron los ingresos únicamente de las 8 estaciones comprendidas en el Corredor del Proyecto. </t>
  </si>
  <si>
    <t>Se informa al interesado que se tienen tres puntos del proyecto con situaciones de origen predial que podrían obstaculizar la Entrega de la Infraestructura y por tal motivo se especifican en la Sección 3.6(f) de la Parte Especial los mecanismos para gestionar estos casos puntuales. El Proyecto pretende que los alcances completos de las intervenciones lleguen a desarrollarse dentro del Contrato, es decir que los oferentes tienen como escenario de partida que la Entrega de la Infraestructura se realizará completa y los costos de estas intervenciones y su operación y mantenimiento se podrán llevar a cabo por completo. Sin embargo, ante la eventual obstaculización de la entrega de los tres puntos (La Herradura, Don Otto y Variante El Bolo) en lugar de heredar una gestión predial compleja, se dan los mecanismos para excluir esos puntos del alcance del contrato y de darse esa situación dado que el oferente definió y presupuestó en su oferta construirlos, operarlos y mantenerlos, ocurriría una reducción en esos costos. Ante la exclusión de esos tramos, y sólo por la necesidad de establecer una cifra de reducción del costo, en la misma Sección 3.6 de la Parte Especial, se establece el costo de la infraestructura a intervenir, en valores estimados por ANI, de forma que puedan ser pagados por el Concesionario a la ANI si por la exclusión ya no es necesario adelantar la construcción, operación y mantenimiento. De esta forma el oferente cuenta con los elementos para valorar su oferta, ya sea por la construcción, operación y mantenimiento de los tres puntos, o ante su eventual exclusión por el pago que suple la reducción en los costos que dejará de invertir.</t>
  </si>
  <si>
    <t>Se informa al interesado que la utilización de luminarias de alimentación solar es posible dentro de las determinaciones del Concesionario en los Estudios de Detalle en cumplimiento de las Especificaciones Técnicas y los indicadores del Apendice Técnico 4.</t>
  </si>
  <si>
    <t xml:space="preserve">Se informa al interesado que se ajustará el Apendice Tecnico 4 estableciendo las condiciones específicas de la Etapa Preoperativa. El documento se publicará con el Pliego de Condiciones Definitivo. </t>
  </si>
  <si>
    <t>Se informa al interesado que el cercado se considera una actividad necesaria en la Gestión Predial, especialmente para la preservación del derecho de vía y evitar su ocupación ilegal, por lo tanto en dónde haga falta se deberá completar, con el fin de tener cercado todo el Corredor del Proyecto.</t>
  </si>
  <si>
    <t>Se informa al interesado que en los estudios de estructuración los sitios inestables se identificaron como sitios de interés y se encuentran fichas de identificación en los anexos de la carpeta CI. Con relación a los taludes se encuentran especialmente en los sitios de interés de las UF1 y UF2. Finalmente, es importante precisar que esta información estará disponible a título meramente informativo acorde con las condiciones de la Sección 1.7 Cuarto de Información de Referencia del Pliego de Condiciones.</t>
  </si>
  <si>
    <t>Se informa al interesado que dentro de los anexos de la carpeta B del Cuarto de Información de Referencia se incluyen los inventarios de las obras de drenaje (OD) y obras de drenaje transversal (ODT). Los inventarios dentro de la carpeta H y anexos incluyen obras de drenaje por tramos.
Finalmente, es importante precisar que esta información estará disponible a título meramente informativo acorde con las condiciones de la Sección 1.7 Cuarto de Información de Referencia del Pliego de Condiciones.</t>
  </si>
  <si>
    <t>Se informa al interesado que la definición de las zonas de disposición de residuos será hecha por el Concesionario según la Ley Aplicable, estos pueden ser implementados por el propio Concesionario o contratados con terceros según el tipo de residuos en cumplimiento de los permisos de orden territorial y ambiental.</t>
  </si>
  <si>
    <t>Se informa al interesado que en el Cuarto de Información de Referencia se incluirán nuevas versiones de los archivos de zonificación para facilitar su lectura. Estos archivos junto con información de aforos se incluirá en los anexos de la carpeta 0A. Finalmente, es importante precisar que esta información estará disponible a título meramente informativo acorde con las condiciones de la Sección 1.7 Cuarto de Información de Referencia del Pliego de Condiciones.</t>
  </si>
  <si>
    <t>Se informa al interesado que en la Sección 3.3.3.1.3 se aclara que las reparaciones son arreglos de averías básicas. La obligación del traslado al taller está definido a cargo del Concesionario, por lo que no se atiende su observación.</t>
  </si>
  <si>
    <t xml:space="preserve">Se informa al interesado que el indicador E23 será aclarado en el Apendice Tecnico 4, y será publicado con los documentos del Pliego de Condiciones Definitivo. Asimismo se precisa que en la Nota (1) de la tabla 4 del Apendice Tecnico 4, se menciona que: La sumatoria de la ponderación de los Indicadores es mayor a 100%, debido a que le indicador O1 Mortalidad se considera como un Indicador adicional. </t>
  </si>
  <si>
    <t>Se informa al interesado que el estado actual de la intersección, que puede ser verificada por el Oferente con las definiciones de ubicación, evidencia que los movimientos que se dirigen de Oriente a Occidente y toman la intersección hacia el Norte carecen de ramal. En el cuarto de Información de Referencia se incluirán planos en formato abierto de trazado de la infraestructura existente que incluye la proyección de este ramal.</t>
  </si>
  <si>
    <t>Se informa al interesado que se realizarán los ajustes pertinentes al Apéndice Técnico 1 para los puntos de inicio y fin, y localización de los tramos de cicloruta.
La ciclovía del tramo Cali - Palmira, por ser existente, no tienen estudios y diseños. El Concesionario deberá incluir, en los estudios y diseños definitivos, esta ciclovía, para lograr el alcance contractual de Puesta a Punto y Mantenimiento, así como cumplir con los indicadores, definidos en el Apéndice técnico 4.
La información relativa a las ciclovías existentes se encuentra publicada en el cuarto de Información de la Referencia en la carpeta H.</t>
  </si>
  <si>
    <t>Se informa al interesado que en el proceso de montaje de la información en el Cuarto de Datos no quedaron cargadas todas las carpetas con la información mencionada en el indice. Sin embargo, la información que finalmente estará disponible en dichas carpetas serán las indicadas en la versión final del índice. De otra parte, se emitirá un comunicado respecto a la información adicional que se publicará posteriormente. Finalmente, es importante precisar que esta información estará disponible a título meramente informativo acorde con las condiciones de la Sección 1.7 Cuarto de Información de Referencia del Pliego de Condiciones.</t>
  </si>
  <si>
    <t>Se informa al interesado que relativo al puente sobre la vía Férrea C05.2-01 se cuenta con la ficha de inspección SIPUCOL en la carpeta D512, no hay más información planimétrica disponible. Finalmente, es importante precisar que esta información estará disponible a título meramente informativo acorde con las condiciones de la Sección 1.7 Cuarto de Información de Referencia del Pliego de Condiciones.</t>
  </si>
  <si>
    <t>Se informa al interesado que los planos mencionados son de localización de las estructuras. En los dimensionamientos se confirma que los estudios de estructuración recomiendan pilotes en la estructura de la calzada izquierda. Se informa al interesado que relativo a las estructuras, no hay más información disponible. Finalmente, es importante precisar que esta información estará disponible a título meramente informativo acorde con las condiciones de la Sección 1.7 Cuarto de Información de Referencia del Pliego de Condiciones.</t>
  </si>
  <si>
    <t>Se informa al interesado que los listados de mediciones de las estructuras nuevas ya se encuentran publicados en los anexos de la carpeta D del Cuarto de Información de Referencia, y se aclara que no hay más información al respecto. Finalmente, es importante precisar que esta información estará disponible a título meramente informativo acorde con las condiciones de la Sección 1.7 Cuarto de Información de Referencia del Pliego de Condiciones.</t>
  </si>
  <si>
    <t>Se aclara al interesado que la información topográfica de las intersecciones Sameco y las intersecciones del Paso Nacional por Palmira puede consultarse en la carpeta G y anexos del Cuarto de Información de Referencia. Respecto a los puntos de las curvas Don Otto, enlaces de La Herradura y el general de infraestructura existente del contrato de Concesión 005 de 1999 se incluirán archivos en formato abierto con planos planta perfil. Se informa al interesado que relativo a la topografía, no hay más información disponible.  Finalmente, es importante precisar que esta información estará disponible a título meramente informativo acorde con las condiciones de la Sección 1.7 Cuarto de Información de Referencia del Pliego de Condiciones.</t>
  </si>
  <si>
    <t>Se aclara al interesado que respecto a los puntos de las curvas Don Otto, enlaces de La Herradura y el general de infraestructura existente del contrato de Concesión 005 de 1999 se incluirán archivos en formato abierto con planos planta perfil. Se informa al interesado que relativo a la topografía, no hay más información disponible.  Finalmente, es importante precisar que esta información estará disponible a título meramente informativo acorde con las condiciones de la Sección 1.7 Cuarto de Información de Referencia del Pliego de Condiciones.</t>
  </si>
  <si>
    <t>Se solicita al interesado revisar la carpeta B1 que contiene el estudio de Hidráulica, Hidrología y Socavación. El anexo 4 (carpeta B11204) contiene el listado de cuencas, subcuencas y cauces, así como el plano de las mismas. Igualmente, en el plano MV-CO1-HD-PL-001-PP-RH R0 (carpeta B11212) se encuentran recogidas todas las Obras de drenaje existentes así como las propuestas (espacio modelo del autocad), acorde con lo descrito en el informe (B111).
Finalmente, es importante precisar que esta información estará disponible a título meramente informativo acorde con las condiciones de la Sección 1.7 Cuarto de Información de Referencia del Pliego de Condiciones.</t>
  </si>
  <si>
    <t>Se informa al interesado que los criterios de diseño de los puentes se encuentran recogidos en los informes respectivos que se encuentran publicados en la Carpeta D del Cuarto de Información de Referencia. Finalmente, es importante precisar que esta información estará disponible a título meramente informativo acorde con las condiciones de la Sección 1.7 Cuarto de Información de Referencia del Pliego de Condiciones.</t>
  </si>
  <si>
    <t>Se solicita al interesado revisar la carpeta G123 del Cuarto de Información de Referencia. Finalmente, es importante precisar que esta información estará disponible a título meramente informativo acorde con las condiciones de la Sección 1.7 Cuarto de Información de Referencia del Pliego de Condiciones.</t>
  </si>
  <si>
    <t>Se aclara al interesado que la información de los estudios ambientales incluye información de referencia de coberturas y zonas susceptibles de inundación, para la interpretación de estos mapas debe referirse a la fuente citada por cuanto hay diversas condiciones de riesgo y periodos de retorno mostrados. Igualmente, se aclara que el Cuarto de Información de Referencia tiene el carácter descrito en la Sección 1.7 del Pliego de Condiciones, por lo que no define obligaciones para el Concesionario. Es pertinente referenciar que los estudios relacionados con hidráulica, hidrología y socavación deben seguir los manuales y normas técnicas relacionados en el Apéndice Técnico 3, lo cual incluye la aplicación de la norma técnica pertinente para la definición de cotas y obras de drenaje.</t>
  </si>
  <si>
    <t>Se informa al interesado que el Cuarto de Información de Referencia tiene el carácter descrito en la Sección 1.7 del Pliego de Condiciones, por lo que no define obligaciones para el Concesionario. Respecto a las barreras las Especificaciones Técnicas del Contrato incluyen normativa en el Apéndice Técnico 3, especialmente el SGSV, la Sección 6.3.3. del Apéndice Técnico 2, además de los manuales y normas relacionados en el Apéndice Técnico 3.</t>
  </si>
  <si>
    <t>Se informa al interesado que en la Carpeta G del Cuarto de Información de Referencia se encuentran publicados  los diseños de referencia del tramo Villa Rica - Caloto. Finalmente, se precisa que el Cuarto de Información de Referencia tiene el carácter descrito en la Sección 1.7 del Pliego de Condiciones.</t>
  </si>
  <si>
    <t>a) Rozo - La Torre
Este tramo se encuentra en la UF2 en la carpeta D21, se precisa que en ese tramo no se identificaron puentes en la calzada.
b) Intersección Cencar - Intersección Cantarrana - Intersección Guajira
La información de la Unidad Funcional 1 se incluye en el tramo CENCAR-Aeropuerto-Galicia, se completará el Cuarto de Información de Referencia, en la carpeta D11.
c) Intersección Cali - Palmira 3 (Palmira-El Cerrito)-Intersección ingenio Providencia
La información de la Unidad Funcional 2 se completará en la carpeta D21 del Cuarto de Información de Referencia, dado que los archivos no se cargaron según el índice.
d) Cali- Candelaria.
En la carpeta D22 se encuentran los anexos de fichas de inspección de puentes.
 Finalmente, es importante precisar que esta información estará disponible a título meramente informativo acorde con las condiciones de la Sección 1.7 Cuarto de Información de Referencia del Pliego de Condiciones.</t>
  </si>
  <si>
    <t xml:space="preserve"> Variante El Bolo (UF2)
Se informa al interesado que la "Variante El Bolo" hace parte de la UF2. El estudio de Pavimentos de la UF2 se encuentra en la carpeta CII2
Intersección Cali - Palmira 3 (Palmira-El Cerrito) - Intersección Ingenio Providencia (UF2)
En los estudios de referencia el tramo Intersección Cali - Palmira 3 (Palmira-El Cerrito) - Intersección Ingenio Providencia se denomina Variante Norte Palmira dentro del tramo 4. Se encuentra en los anexos de la carpeta CII21.
- La Herradura - Matapalo (factor de calidad)
Para esta vía del Factor de Calidad no hay estudios de referencia de pavimentos.
- Villarica - Caloto (factor de calidad)
El estudio de Pavimentos de Villarica - Caloto se encuentra, en el índice del Cuarto de Información de Referencia, dentro de la carpeta G5, con el código G5-7. Debido a un error informático no se pudo incluir dicha información, pero se complementará.
 Finalmente, es importante precisar que esta información estará disponible a título meramente informativo acorde con las condiciones de la Sección 1.7 Cuarto de Información de Referencia del Pliego de Condiciones.</t>
  </si>
  <si>
    <t>Se informa al interesado que la franja de compra predial en los estudios de referencia se determinó según el artículo 2 de la Ley 1228 de 2008 de 60 metros para vías primarias, siguiendo el alineamiento del trazado de la calzada inicial. En las zonas de expansión urbana la franja se determinó por la reserva vial del POT de las dos calzadas del tronco vial.</t>
  </si>
  <si>
    <t>Se informa al interesado que se incluirán los datos de aforos en los anexos de la carpeta 0A del Cuarto de Información de Referencia. Finalmente, es importante precisar que esta información estará disponible a título meramente informativo acorde con las condiciones de la Sección 1.7 Cuarto de Información de Referencia del Pliego de Condiciones.</t>
  </si>
  <si>
    <t xml:space="preserve">La información de zonificación se presenta en bases de datos en los anexos del estudio de tráfico. Se incluirán los archivos de zonificación en otra versión para facilitar su consulta en los anexos de la carpeta 0A del Cuarto de Información de Referencia. Finalmente, es importante precisar que esta información estará disponible a título meramente informativo acorde con las condiciones de la Sección 1.7 Cuarto de Información de Referencia del Pliego de Condiciones. </t>
  </si>
  <si>
    <t>Se informa al interesado que la información referente al predimensionamiento de puentes nuevos se encuentra publicada en la carpeta D del Cuarto de Información de Referencia. Es importante precisar que esta información estará disponible a título meramente informativo acorde con las condiciones de la Sección 1.7 Cuarto de Información de Referencia del Pliego de Condiciones.</t>
  </si>
  <si>
    <t>Se informa al interesado que los puentes peatonales se estimaron con estructuras típicas según la longitud de vanos, dado que no hay definición de ubicación, la cual deberá definirse en los diseños definitivos y acordado con las comunidades. Los costos se estimaron por rangos de aplicabilidad en los tramos en los que se definió incluir o trasladar pasos peatonales.</t>
  </si>
  <si>
    <t>Se informa al interesado que la información de análisis hidráulicos están en los volúmenes de hidráulica, hidrología y socavación en la carpeta B del Cuarto de Información de Referencia. De otra parte, es importante precisar que esta información estará disponible a título meramente informativo acorde con las condiciones de la Sección 1.7 Cuarto de Información de Referencia del Pliego de Condiciones.</t>
  </si>
  <si>
    <t>Se informa al interesado que la información relativa al inventario predial se encuentra publicada en el Cuarto de Información de Referencia asi: El inventario predial que comprende los predios adquiridos por la concesión anterior se encuentra en la carpeta H; El inventario de nuevos predios se encuentra en los anexos de la carpeta E1; Igualmente, se recomienda consultar los estudios prediales del Paso Nacional Palmira en la carpeta G. De otra parte, es importante precisar que esta información estará disponible a título meramente informativo acorde con las condiciones de la Sección 1.7 Cuarto de Información de Referencia del Pliego de Condiciones.</t>
  </si>
  <si>
    <t>Se informa al interesado que el análisis geotécnico del deprimido se encuentra en el capítulo 2.5 del informe de geotecnia en la carpeta G23 del cuarto de Información de Referencia. De otra parte, es importante precisar que esta información estará disponible a título meramente informativo acorde con las condiciones de la Sección 1.7 Cuarto de Información de Referencia del Pliego de Condiciones.</t>
  </si>
  <si>
    <t>Se informa al interesado que las estimaciones se hicieron con las profundidades de cobertura definidas en las normas técnicas aplicables, esto es para tuberías de PVC profundidades mínimas de 1 metro. Además de los planos se recomienda la consulta de los archivos SIG proporcionados por Aquaoccidente. La información se encuentra publicada en la carpeta F del Cuarto de Información de Referencia. De otra parte, es importante precisar que esta información estará disponible a título meramente informativo acorde con las condiciones de la Sección 1.7 Cuarto de Información de Referencia del Pliego de Condiciones.</t>
  </si>
  <si>
    <t>Se informa al interesado que la inforación referente a mantenimiento de Puentes Existentes se encuentra publicado en la Carpeta D del Cuarto de Información de Referencia. La información del Cuarto de Información de Referencia no constituye obligaciones en los alcances para el Concesionario, según lo dispuesto en la Sección 1.7 de los Pliegos de Condiciones. Igualmente se informa al interesado que el Concesionario deberá realizar todas las intervenciones tendientes al cumplimiento del Apendice Tecnico 1  y del del Apendice Tecnico 4.</t>
  </si>
  <si>
    <t>Se informa al interesado que los registros de perforación y ensayos se encuentran en los anexos de la carpeta CI, igualmente sobre los puentes de las intersecciones Sameco y del Paso Nacional Palmira se encuentran datos de exploración en la carpeta G del Cuarto de Información de Referencia. De otra parte, es importante precisar que esta información estará disponible a título meramente informativo acorde con las condiciones de la Sección 1.7 Cuarto de Información de Referencia del Pliego de Condiciones.</t>
  </si>
  <si>
    <t>Se informa al interesado que la información se encuentra publicada en los estudios de hidráulica, hidrología y socavación en la carpeta B del Cuarto de Información de Referencia. De otra parte, es importante precisar que esta información estará disponible a título meramente informativo acorde con las condiciones de la Sección 1.7 Cuarto de Información de Referencia del Pliego de Condiciones.</t>
  </si>
  <si>
    <t>Se informa al interesado que en las carpetas de información de estaciones de peaje 0AI282 se encuentran, en los peajes que aplica, la categoría de ejes cañeros (EC), incluidos los volúmenes horarios y los consolidados de las estaciones de INVIAS. El histórico de información pública de la ANI igualmente contiene información histórica de categorías ejes cañeros. Se incluirán en el Cuarto de Información de Referencia en los anexos de la carpeta 0AI la información de aforos que incluye datos de la categoría camión cañero. Por último, es importante precisar que esta información estará disponible a título meramente informativo acorde con las condiciones de la Sección 1.7 Cuarto de Información de Referencia del Pliego de Condiciones.</t>
  </si>
  <si>
    <t xml:space="preserve">Se aclara al interesado que en la definición 1.56 de la Tabla de Referencia de la Parte Especial se menciona que con la Entrega de la Infraestructura se excluyen las obras de la Sección 3.6 (f) de la Parte Especial con el fin de evitar el efecto señalado en la observación. </t>
  </si>
  <si>
    <t>Se aclara al interesado que el Concesionario debe partir de las Especificaciones Técnicas contenidas en los Apéndices Técnicos para los Estudios de Trazado y Diseño Geométrico, y los Estudios de Detalle. Se aclara que los estudios contenidos en el Cuarto de Información de Referencia no contienen obligaciones para el Concesionario.</t>
  </si>
  <si>
    <t xml:space="preserve">Se informa al interesado que la ANI no considera necesario hacer la aclaración propuesta. El Contrato es claro al indicar que las observaciones de la Interventoría frente a los Estudios de Trazado y Diseño Geométrico son consideraciones técnicas formuladas a manera de recomendación, salvo que los Estudios de Trazado y Diseño Geométrico, y  los Estudios de Detalle realizados por el Concesionario incumplan las Especificaciones técnicas lo que impediría la expedición de la No objeción por parte de la Interventoría. </t>
  </si>
  <si>
    <t>Se informa al interesado que la ANI publicará la Resolución de Declaratoria de Utilidad Pública en Interes Social del proyecto al momento de la publicación del Pliego de Condiciones Definitivo.</t>
  </si>
  <si>
    <t>Se informa al interesado que no se considera procedente generar una definición aparte por este concepto, pues en terminos generales las exclusiones aplicables suceden si el proyecto se encuentra registrado en los Plan/es de Ordenamiento Territorial o Departamental pertinentes o en el RUAPP.</t>
  </si>
  <si>
    <t>Se informa al interesado que acorde con los proyectos relacionados en la Parte Especial en la Sección 1.55 en la tabla de referencias a la Parte General, un proyecto no será considerado en el concepto de Elusión si se encuentra incorporado en los Planes de Ordenamiento Territorial o Departamental pertinentes. Por lo tanto el interesado debe evaluar si corresponde con los trenes de cercanías del Plan de Ordentamiento Departamental del Valle del Cauca y el Plan de Ordenamiento Territorial de Palmira.</t>
  </si>
  <si>
    <t>Se aclara que esta redacción se refiere a que en el evento que existan vías o tramos que hayan sido objeto de intervenciones por obra pública, y cuenten con garantías de calidad y estabilidad de obra, al momento de la Entrega de la Infraestructura, esto no le exime al Concesionario la obligación del cumplimiento de las Especificaciones Técnicas de Operación y Mantenimiento contenidas en los Apéndices Técnicos 2 y 4. Estas obligaciones se detallan en la Sección 3.6(d) de la Parte Especial.</t>
  </si>
  <si>
    <t>(i) Se aclara que únicamente el tramo Cali - Candelaria se encuentra en los contratos de la Gobernación del Valle, en tal respecto la nota es explícita en lo siguiente; "El tramo Cali Candelaria se encuentra incorporado en los Contratos de Obra No. 0111-18-10-5007 y No. 1.310.02-59.8- 5447 de la Gobernación del Valle del Cauca."
(ii) Se aclara que Variante “El Bolo”, la Intersección “La Herradura” y la Curva “Don Otto” son alcances que vienen del contrato de concesión 005 de 1999 y que en efecto podrían llegar a construirse dentro de las obligaciones derivadas de ese contrato antes del Acta de Inicio. 
(iii) Se confirma que si estas Intervenciones finalizan su construcción antes de la Entrega de la Infraestructura entonces se eliminaría del Contrato el alcance de construcción y permanece el de Intervenciones de Puesta a Punto y las de Operación y Mantenimiento.
(iv) Para el caso del tramo Cali - Candelaria, si dichas obras se finalizan y se entregan en los plazos señalados en la Sección 3.6, entonces permanecen las obligaciones de alcance de Intervenciones de Puesta a Punto y las de Operación y Mantenimiento.</t>
  </si>
  <si>
    <t>Se informa al interesado que el Contrato ya contempla la condición solicitada. Los plazos de la Sección 3.6(f)  de la Parte Especial permiten que se fijen límites para que la infraestructura pueda surtir la Entrega de la Infraestructura y aún sobrevivan plazos de la Etapa Preoperativa para que el Concesionario pueda hacer las Intervenciones necesarias para llevar los tramos al cumplimiento de los indicadores. Durante la Etapa Preoperativa regirán las condiciones de indicadores específicos que son menores a los de la Etapa de Operación y Mantenimiento.</t>
  </si>
  <si>
    <t xml:space="preserve">Se informa al interesado que la Sección 3.6(h) se refiere a las obligaciones ambientales pendientes de cumplimiento y obligaciones por ejecutar que se encuentran debidamente detalladas en el Apéndice Técnico 6, que deben ser adelantadas por el Concesionario. Se solicita al interesado que indique a la entidad específicamente qué evento es el que necesita aclaración. </t>
  </si>
  <si>
    <t>Se informa al interesado que la informacion relativa a la Resolución de Peajes del proyecto será publicada y referida en el Contrato tan pronto sea expedida. Igualmente se informa que como guía general de la estructura tarifaria de la nueva resolución, se da continuidad a la estructura tarifaria vigente de los peajes existentes. Respecto a las resoluciones vigentes, estas son de acceso público en el siguiente enlace:
https://www.invias.gov.co/index.php/normativa/resoluciones-circulares-otros/9873-circular-externa-001-del-15-de-enero-de-2020/file
Complementariamente, a título informativo dentro de la carpeta H del Cuarto de Información de Referencia se incluyen datos de beneficiarios de tarifas especiales gestionados por la anterior concesión.</t>
  </si>
  <si>
    <t>Se informa al interesado que se aclararán las descripciones del tramo en lasTablas 5 y 11 del Apendice Tecnico No. 1 en los documentos del Pliego de Condiciones Definitivo. Igualmente se precisa que las definiciones de tramos incluyen los puntos con coordenadas para evitar las confusiones que puedan presentarse por la denominación de los puntos de inicio y fin.</t>
  </si>
  <si>
    <t>Se informa al interesado que la información de referencia de los diseños de las intersecciones del del Paso Nacional por Palmira (Parque del Azúcar y Versalles) se encuentra publicado en la carpeta G del Cuarto de Información de Referencia. Finalmente, es importante precisar que esta información estará disponible a título meramente informativo acorde con las condiciones de la Sección 1.7 Cuarto de Información de Referencia del Pliego de Condiciones.</t>
  </si>
  <si>
    <t>Se informa al interesado que los ITS no se consideran como alcances obligatorios en estas vías al no estar dentro de los tramos de la Etapa de Operación y Mantenimiento. En cuanto a la iluminación, esta dependerá de los Estudios de Detalle a desarrollar por el Concesionario, en especial en las condiciones de seguridad vial.</t>
  </si>
  <si>
    <t>Se informa al interesado que los procedimientos corresponden lo estipulado por cada autoridad municipal. En los antecedentes del Proyecto los alcances que se definieron incluyeron las obras propuestas por la Gobernación del Valle del Cauca y los municipios, algunos tramos al pasar por sectores con instrumentos de ordenación como POT, PBOT o EOT influyen en las secciones viales según la Ley Aplicable. Por lo tanto se debe asegurar este cumplimiento. Adicionalmente, se debe tener en cuenta que además del trazado, parte de las intervenciones requieren gestiones ante las autoridades locales que incluyen los planes de manejo de tráfico, entre otros.</t>
  </si>
  <si>
    <t>Se informa al interesado que las Intervenciones definidas en el Apéndice Técnico 1 Alcance, no se consideran dentro de las condiciones que requiera la ampliación, cambio de categoría y construcción de vías nuevas, las cuales requerirían la adquisisión de las fajas de la Ley 1228 de 2008, de acuerdo con el artículo 3; sin embargo tal condición deberá ser confirmada por el Concesionario en sus Estudios de Trazado y Diseño Geométrico y Estudios de Detalle</t>
  </si>
  <si>
    <t>Se informa al interesado que se define en el Apéndice Técnico 1 que se conserva la velocidad de operación existente de 60 km/hora. En cuanto a límites de velocidad, las zonas urbanas y semiurbanas son sitios especiales de 30km/h según la resolución 1384 de 2010. La determinación de la velocidad en tramos urbanos depende de la aplicación de las Especificaciones Técnicas.</t>
  </si>
  <si>
    <t>Se aclara al interesado que la Intersección La Herradura se encuentra en la Unidad Funcional 2, la Intersección La Selva y la Intersección Ye de Villarica en la Unidad Funcional 1, por lo tanto las intervenciones harán parte del alcance básico del Contrato y no del Factor de Calidad. Sin embargo, si las vías del Factor de Calidad modifican la configuración geométrica deberán incluirse las adaptaciones necesarias de estas intersecciones. El cruce de la vía La Herradura - Matapalo con el tramo Palmaseca – Intersección Guajira – Intersección Rozo – Intersección Acequia – Intersección El Cerrito, se mantiene como acceso a la vía primaria.</t>
  </si>
  <si>
    <t>Se informa al interesado que las prioridades normativas son las que define la Ley Aplicable por lo que no se incluyen más condiciones en el Apéndice Técnico 1. El tramo Villa Rica - Caloto corresponde a una vía secundaria y las condiciones particulares de sección ya se encuentran definidas en la Sección 7.2.1 del Apéndice Técnico 1, a título informativo el PBOT de Caloto sólo define el perímetro urbano en la terminación del tramo. El tramo La Herradura - Matapalo es una vía terciaria, y las condiciones particulares de sección ya se encuentran definidas en la Sección 7.2.1 del Apéndice Técnico 1, a título informativo el POT de Palmira incluye los corregimientos poblados de Obando, La Herradura y Matapalo con zonas residenciales rurales.</t>
  </si>
  <si>
    <t>Se informa al interesado que dentro del Cuarto de Información de Referencia se incluirán planos en forrmatos editables de las vías construidas en la Concesión 005 de 1999.  Asimismo, es importante precisar que esta información estará disponible a título meramente informativo acorde con las condiciones de la Sección 1.7 Cuarto de Información de Referencia del Pliego de Condiciones. De otra parte, se precisa que las obligaciones en materia de secciones se consignan en el Apéndice Técnico 1.</t>
  </si>
  <si>
    <t>Se aclara al interesado que se aplican únicamente los Indicadores en los cuales se definen condiciones o valores de aceptación para la Etapa Preoperativa. Para mayor claridad en la medición de los Indicadores se incluirá en el Apéndice Técnico 4 la definición explícita de los aplicados a la Etapa Preoperativa, y se publicará el documento con el pliego de Condiciones Definitivo.</t>
  </si>
  <si>
    <t>Se aclara al interesado que no hay condiciones de distancias máximas, el Concesionario podrá determinar los puntos más convenientes según lo definido en la misma Sección 3.3.3.1.3 "... y trasladarlo al Área de Servicio más cercana o a algún taller mecánico ubicado en alguna población en la zona atendida por la carretera."</t>
  </si>
  <si>
    <t>Se informa al interesado que en la Sección 3.3.3.2.3 no hay restricciones acerca de la estrategia de la forma de difundir de forma permanente, lo cual podrá ser planteado por el Concesionario.</t>
  </si>
  <si>
    <t>Se informa al interesado que los equipos de monitoreo meteorológico se incluyen en todas las estaciones de peaje para facilitar tanto su ubicación como su operación, la cual tiene directa relación con la seguridad vial y la información que se le entrega al usuario de la vía. No se considera conveniente establecer excepciones al respecto por lo que su solicitud no procede.</t>
  </si>
  <si>
    <t>Se informa al interesado que la referencia de estas normas es hacia las Especificaciones Técnicas relativas a la Operación que se incluyen en los Apéndices Técnicos, no se restringe a normas específicas.</t>
  </si>
  <si>
    <t xml:space="preserve">Se informa al interesado que la solicitud no es aceptable porque las condiciones de indicadores se requieren uniformes una vez se inicia la Etapa de Operación y Mantenimiento hasta la terminación del Contrato. Además, el cumplimiento de dicha obligación ya se cuantificó en el valor del contrato. </t>
  </si>
  <si>
    <t>Se aclara al interesado que los Valores de Aceptación se encuentran discriminados por categorías: Vehículos en Cola: Categoría 1 &lt;=10 y Categoría II, III, IV, V y demás &lt;= 5. En tal sentido se aclarará la redacción de la casilla de método de medida en la definición del indicador O3-1 en el Apendice Tecnico 4, y se publicará con los documentos del pliego de Condiciones Definitivos.</t>
  </si>
  <si>
    <t>Se informa al interesado que se complementará la tabla 2 del Apendice Tecnico 4 en la definición de tiempos máximos de despeje en volúmenes de Material (&gt; 2000 m3) para la Etapa Preoperativa, en el sentido de adoptar las condiciones especiales definidos para la Etapa de Operación y Mantenimiento. El documento se publicará con los documentos del pliego de Condiciones Definitivos.</t>
  </si>
  <si>
    <t>Se informa al interesado que dentro de las definiciones de indicadores en el Apéndice Técnico 4 se indican las excepciones de tramos urbanos.</t>
  </si>
  <si>
    <t>Se aclara al interesado que la definición del método de medida corresponde con el estándar de medición vigente NTC 4744, en tanto que no se restrinja el equipo aplicable; además, el contraro no excluye el equipo de geometría de 30 m; por lo que no procede la modificación de los valores de aceptación.</t>
  </si>
  <si>
    <t>Se informa al interesado que se incluirá en el Apendice Tecnico 4, en la definición del indicador Coeficiente de Fricción Transversal, la norma aplicable de medición y valor de aceptación con Mu Meter. El documento se publicará con los documentos del pliego de Condiciones Definitivos.</t>
  </si>
  <si>
    <t>Se informa al interesado que la justificación deberá permitir el adecuado establecimiento de costos para control de la Subcuenta Redes, lo dispuesto en el Artículo 49 de la Ley 1682 de 2013 y la verificación respecto a costos de mercado de la Sección 8.2 (d) de la Parte General, bajo estas condiciones el Concesionario deberá determinar en cuales actividades se justifican por las respuestas del prestador u operador pertinente según el Artículo 48 de la Ley 1682 de 2013, cuales por su complejidad o condiciones de mercado se justifican los precios unitarios con cotizaciones o estudios de mercado, y cuales por corresponder a actividades comunes de obra se justifican con precios unitarios que provienen de análisis desglosados o bases de datos de precios de mercado. Debe tenerse en cuenta que el seguimiento de actividades de la Sección 3.2.2(c)(ii) del Apéndice Técnico 5 exige los análisis de precios unitarios y su justificación.</t>
  </si>
  <si>
    <t>Se informa al interesado que el Concesionario deberá asegurarse y evidenciar los pasos del Plan de Redes definidos en la Sección 3.2.1, así como las solicitudes y exigencias de plazos definidos en la Ley 1682 de 2013, especialmente del artículo 48. Según el caso la falta de pronunciamiento será considerada en la revisión de la interventoría y de la ANI de las secciones 3.2.1(e)(iii) a (vii), o si impiden el traslado y/o intervención de las Redes en los plazos y condiciones de la Sección 8.2(i) de la Parte General se tratará como Fuerza Mayor por Redes.</t>
  </si>
  <si>
    <t>Se informa al interesado que la aprobación de los planos As-Built por parte de las empresas titulares u operadoras de la red no es una condición definida por el Apéndice Técnico 5, sin embargo, se aclara al interesado que es una condición a tener en cuenta dentro de las obligaciones de las Gestiones con las empresas titulares de las Redes que trata la sección 3.2.1(d) del mismo Apéndice Técnico.</t>
  </si>
  <si>
    <t>Se aclara al interesado que las soluciones de interferencias sobre las Redes serán definidas en el Plan de Redes por su estrecha dependencia con los Estudios de Trazado y Diseño Geométrico y los Diseños de Detalle, así como con el proceso de gestión con el titular, gestor o administrador de la red. Sin embargo se mantiene que el hecho generador es por causa o en ocasión de la Intervención. 
Ahora bien, según la definición del Contrato, la Intervención tal como estipula el Capítulo VI del Apéndice Técnico 1  "se entiende como Intervención toda Obra de Construcción, Rehabilitación y/o Mejoramiento necesaria para el cumplimiento de las obligaciones del Concesionario", es decir que mientras la afección a las Redes no sea causada por la Intervención no se considera que se deban actualizar a normativas vigentes por cuanto la desactualización normativa no se considera por sí sola como Afectación o interferencia de las Redes.</t>
  </si>
  <si>
    <t>Se informa al interesado que las interferencias identificadas por CENIT no se ubican en los tramos definidos como alcance de este proyecto, sino que corresponden a otros corredores que se analizaron durante la estructuración.</t>
  </si>
  <si>
    <t xml:space="preserve">Se aclara al interesado que el alcance no incluye superposiciones con otros proyectos excepto las condiciones transitorias definidas en la Entrega de la Infraestructura en la Sección 3.6 de la Parte Especial, en la que e fijan plazos máximos y los procedimientos de exclusión de tramos si llega a necesitarse. </t>
  </si>
  <si>
    <t xml:space="preserve">Se informa al interesado que la Entidad considera que los plazos establecidos son suficientes para la ejecución de las obligaciones asociadas específicamente a esta etapa, por lo que no se acepta su solicitud. 
</t>
  </si>
  <si>
    <t>Se informa al interesado que el proyecto en efecto incluye parte del alcance en el Departamento del Cauca tanto en el alcance obligatorio como en el Factor de Calidad, lo cual deberá ser tenido en cuenta por el Concesionario en el cumplimiento de la normativa local.</t>
  </si>
  <si>
    <t>Se informa al interesado que debe tenerse en cuenta que el contrato 915.104.8.03.2019 CONSTRUCCIÓN DE LA TRONCAL ORIENTAL Y DEMÁS OBRAS COMPLEMENTARIAS DEL SISTEMA INTEGRADO DE TRANSPORTE MASIVO DE PASAJEROS DE SANTIAGO DE CALI, DE ACUERDO A LOS SIGUIENTES GRUPOS: GRUPO 1: CORREDOR VIAL DE LA CALLE 70 (AUTOPISTA SIMÓN BOLÍVAR) ENTRE LA AV. 3 NORTE (TERMINAL DE CABECERA MENGA) Y CARRERA 28D (TERMINAL INTERMEDIA JULIO RINCÓN), TRAMO 1, inició etapa de construcción el 20 de marzo de 2020, por lo cual las obras estarán avanzadas para el momento del Acta de Inicio del contrato de conseción, situación que deberá ser considerada en los Estudios de Detalle y Plan de Manejo y Traslado de Redes del Concesionario.</t>
  </si>
  <si>
    <t>Se informa al interesado que no se acepta la solicitud del interesado, se considera que se tiene suficiente información para el análisis de las Especificaciones Técnicas antes de la presentación de la Oferta, y adicionalmente el Contrato ya incluye herrramientas para modificación de las Especificaciones Técnicas en la Sección 4.12 de la Parte General en caso de ser necesario.</t>
  </si>
  <si>
    <t>Se informa al interesado que se considera que la seguridad vial hace parte de las Especificaciones Técnicas a la luz de la definición de la Sección 1.58 de la Parte General. La seguridad vial se trata en las Secciones 4.3 y 5.1 del Apéndice Técnico 3, 3.1.5 y 3.3.7 del Apéndice Técnico 2. Por tales motivos se entiende que el caso de la solicitud está inmerso en la primera condición "(1) impide la ejecución o el cumplimiento de la otra," y no hace falta incluir regulaciones adicionales.</t>
  </si>
  <si>
    <t>Se informa al interesado que la Consulta Previa con el Consejo Comunitario Dos Aguas de Cascajal fue protocolizada con acuerdos parciales, y se ajusta a lo establecido en la Directiva Presidencial 10 de 2013 y en la sentencia SU039 de 1997, en tal sentido, el trámite de consulta se encuentra acorde con el debido proceso, y la etapa siguiente es la de seguimiento, con fechas por definir según el plan de trabajo para la ejecución de los acuerdos y compromisos que presentará el Concesionario según la Sección 4.2(d,e)(v) de la Parte General.</t>
  </si>
  <si>
    <t>Se informa al interesado que la posibilidad de nuevas consultas previas se regula en la Sección 8.1(d) de la Parte General, tanto para llevar a cabo la consulta, como las condiciones en las que se compartirán los costos derivados de los acuerdos.</t>
  </si>
  <si>
    <t>Se informa al interesado que no es procedente su solicitud, por cuanto el contrato es claro en manifestar que “En cualquier momento durante la ejecución del Contrato, el Concesionario deberá llevar a cabo, bajo el liderazgo de la ANI, la(s) nueva(s) consulta(s) previa(s) con las comunidades étnicas y afrodescendientes que sean certificadas por Autoridad Estatal competente o reconocidas mediante fallo judicial en firme en el área de influencia del Proyecto”; por lo tanto, para el proyecto se establecen los mecanismos para actuar sobre la aparición de las mismas, de acuerdo a lo establecido en la Sección  8.1 (d) de la Parte General.
Esto siempre y cuando las nuevas consultas previas no se originen con ocasión de lo previsto en la Sección 6.3 de la Parte General. 
El reconocimiento de la porción a cargo de la ANI establecido en la Sección 8.1 (d) de esta Parte General se efectuará aplicando lo previsto en la Sección 19.1 de la Parte General, en línea con lo establecido en la Sección 13.3(c) de la Parte General.</t>
  </si>
  <si>
    <t xml:space="preserve">Se informa al interesado que durante la etapa de estructuración del proyecto, se realizaron las consultas previas certificadas por el Ministerio del Interior. 
No obstante, las nuevas consultas previas hacen referencia a las consultas previas a comunidades indígenas y/o afrodescendientes, iniciadas con posterioridad a la apertura del proceso de selección, por tratarse de nuevas comunidades reconocidas por la Autoridad Estatal competente o por fallos judiciales en firme. </t>
  </si>
  <si>
    <t>Se informa al interesado que el programa de arqueología preventiva se establece en la Sección 5.2.2.7 del Apéndice Técnico 8, el cual deberá cumplir con lo ordenado en las obligaciones sociales del contrato, y las de ley aplicable en esta materia.
Así mismo, se aclara al interesado que dentro del acta de protocolización con el Consejo Comunitario de Bocas del Palo, se estableció que “El concesionario o ejecutor del proyecto desarrollará e implementará un Programa de Arqueología Preventiva de acuerdo con la normativa vigente”, por el cual el concesionario deberá socializarlo con esta comunidad.</t>
  </si>
  <si>
    <t>Se informa al interesado que las certificaciones de presencia de comunidades étnicas se encuentran publicadas en la Carpeta "I" del Cuarto de Información de Referencia. Dado lo anterior, no procede su solicitud.</t>
  </si>
  <si>
    <t>Se informa al interesado que es correcta su apreciación. El inciso (e) relativo a nuevas consultas previas hace parte de la sección 19.1 Obras Menores de la Parte General, y como lo señala la misma sección guarda relación con la Sección 8.1(d) de la Parte General, donde se consignan obligaciones para nuevas consultas previas.</t>
  </si>
  <si>
    <t>Se informa al interesado, que en el desarrollo del proceso de consulta previa, el Consejo Comunitario San Isidro manifestó a la DCP hoy DANCP, su voluntad de cubrir al Consejo Comunitario del Guabal en la consulta previa, así mismo se evidenció la existencia y afectación directa a esta comunidad, lo cual fue validado por Mininterior, conforme se indica en las actas del proceso de consulta que se pueden consultar en la Carpeta "I" del Cuarto de Información de Referencia.
Conforme al acta de socialización a la comunidad, efectuada por la ANI y el estructurador con fecha de 8 de marzo de 2019, se aclaró que el desarrollo de la consulta previa del proceso acceso Cali Palmira, no guardaba relación con la consulta previa que adelantó el Ministerio de Justicia en el 2010 con ocasión de la Construcción y Funcionamiento del Complejo Penitenciario de Alta y Mediana Seguridad de Jamundí.</t>
  </si>
  <si>
    <t>Se informa al interesado que no es procedente esta solicitud, por cuanto el contrato regula este aspecto estableciendo los mecanismos de apremio sea por Fuerza Mayor Ambiental en la sección en la Sección 8.1(h) de la Parte General y el Evento Eximente de Responsabilidad en la sección 14.2 (a) de la Parte General del Contrato.</t>
  </si>
  <si>
    <t>Se informa al interesado que respecto al punto (i) no es procedente su solicitud, por cuanto el contrato es claro en manifestar que “En cualquier momento durante la ejecución del Contrato, el Concesionario deberá llevar a cabo, bajo el liderazgo de la ANI, la(s) nueva(s) consulta(s) previa(s) con las comunidades étnicas y afrodescendientes que sean certificadas por Autoridad Estatal competente o reconocidas mediante fallo judicial en firme en el área de influencia del Proyecto”; por lo tanto, para el proyecto se establecen los mecanismos para actuar sobre la aparición de las mismas, de acuerdo a lo establecido en la Sección  8.1 (d) de la Parte General.
Esto siempre y cuando las nuevas consultas previas no se originen con ocasión de lo previsto en la Sección 6.3 de la Parte General. 
Por otra parte, respecto de los puntos (ii) y (iii), el reconocimiento de la porción a cargo de la ANI establecido en la Sección 8.1 (d) de esta Parte General se efectuará aplicando lo previsto en la Sección 19.1 de la Parte General, en línea con lo establecido en la Sección 13.3(c) de la Parte General.</t>
  </si>
  <si>
    <t xml:space="preserve">Se informa al interesado que las certificaciones de presencia de comunidades étnicas se encuentran publicadas en la Carpeta "I" del Cuarto de Información de Referencia. Esta información estará disponible a título meramente informativo acorde con las condiciones de la Sección 1.7 Cuarto de Información de Referencia del Pliego de Condiciones. </t>
  </si>
  <si>
    <t>Al respecto el interesado debe tener en cuenta que la construcción de los tramos viales de la infraestructura existente son anteriores a la entrada en vigencia Ley 1228 de 2008, por lo que los anchos de faja corresponden con la normativa anterior a esa ley. Frente a las adquisiciones prediales realizadas en la concesión anterior y desde 2004 puede consultarse en la carpeta H405 y anexos del Cuarto de Información de Referencia los predios que conforman la faja de retiro, para los demás tramos en la carpeta E1 y anexos, y para las intersecciones Sameco y paso nacional por Palmira en la carpeta G. 
En cuanto a la aplicación de la Ley 1228 de 2008 para la gestión de la faja y los permisos otorgados que implican a redes de servicios públicos de terceros, en los formatos GCSP-F-117, que se encuentran en los anexos de la carpeta H, se encuentra el estado de los permisos otorgados.
Por otro lado se informa que la Declaratoria de Utilidad Pública e Interés Social será publicada por la ANI al momento de la apertura de los Pliegos de Condiciones Definitivo del proceso.</t>
  </si>
  <si>
    <t>Se informa al interesado que la regulación de los peajes se amplía en la Sección 3.3.4 del Apendice Tecnico 2. En el caso que se generen comisiones, como la del intermediador definido en la Resolución 4303 de 2015, dicho costo está incluido en la tarifa del peaje por lo tanto se descuenta del recaudo que recibe el Concesionario.</t>
  </si>
  <si>
    <t>Se informa al interesado que no se acepta su observación. Es obligación del Concesionario incorporar íntegramente el Contrato de Concesión al Contrato de Fiducia. Aún cuando la ANI revise el cumplimiento de los términos y condiciones de obligatoria inclusión en el Contrato de Fiducia Mercantil, ante el Estado, el Concesionario es el único responsable del cumplimiento de las obligaciones contenidas en el contrato de concesión. En esta medida dado que es el Contrato de Fiducia recoge de manera integral las obligaciones contenidas en el contrato de concesión, el Concesionario responderá frente a la ANI si la no incorporación de esas obligaciones causa perjuicios a la ANI.</t>
  </si>
  <si>
    <t>respuesta enviada por luz elena el 7 de julio</t>
  </si>
  <si>
    <t xml:space="preserve">Se aclara al interesado que no se considera pertinente su observación, lo que se pretende con esta regulación es evaluar la capacidad  al momento de realizar el cierre y no premiar y/o castigar por variables ajenas y posteriores a la fecha de la realización del cierre.  </t>
  </si>
  <si>
    <t>respuesta enviada por reina el 12 de julio</t>
  </si>
  <si>
    <t>Se le aclara al interesado, que la Entidad no considera procedente la solicitud toda vez que corresponde con el riesgo asumido por el Concesionario según la Sección 13.2(a)(vii) en cuanto a que la determinación de las especificaciones y las posibilidades o propuesta de modificación dependen de los Estudios de Detalle y Estudios de Trazado y Diseño Geométrico o cualquier otro componente de diseño a desarrollar por el Concesionario.
De igual forma dentro de los documentos de política pública, documentos Conpes 3760 de  2013, se precisa   que este riesgo está asignado plenamente al Concesionario.</t>
  </si>
  <si>
    <t xml:space="preserve">Se informa al interesado que no se acepta su observación, toda vez que el el fondeo de la subcuenta con estos recursos para este evento es la única condición que permite mantener el equilibrio económico del contrato ante la exclusión de alguno de estos tramos puesto que la remuneración de los mismos están incluidos dentro del VPIP bien sea por la ejecución de los tramos o por el fondeo de la subcuenta. </t>
  </si>
  <si>
    <t xml:space="preserve">Se aclara al interesado lo siguiente:
(i) El Concesionario deberá hacer el fondeo del GMF de las subcuentas respectivas , en el momento en que se haga cada transferencia a dichas subcuentas según los plazos establecidos para cada una en el Parte Especial y en cada traslado que requiera hacerse dentro de la ejecusión del Contrato. 
(ii) En ese sentido el fondeo no se realizará cuando se hagan uso de las subcuentas sino en el fondeo de las mismas. </t>
  </si>
  <si>
    <t>Se informa al interesado que la Entidad no considera procedente la observación.  La Entidad estableció en el contrato las bandas para estimar el riesgo tributario basadas en estados financieros reportados bajo normas NIIF, de acuerdo con la normatividad contable vigente para este tipo de proyectos.   Por esto se considera que el riesgo por cambio de normatividad contable en este momento debe ser asignado al privado y su impacto debe ser tenido en cuenta por los interesados al momento de presentar su oferta, toda vez que los efectos generados por el acaecimiento de este tipo de riesgo, hace parte de los riesgos que asume un inversionista en cualquier tipo de proyectos. </t>
  </si>
  <si>
    <t>Se aclara al interesado que la matriz de riesgos incluye el riesgo "Los sobrecostos y/o ahorro generados por la implementación de nuevas tecnologías de recaudo" el cual está asignado aI público, como se presenta en la fila 33 de dicha matriz y en la sección 13.3(n) de la Parte General. Adicionalmente, respecto a cambios de especificaciones técnicas distintos a la implementación de nuevas tecnologias de recaudo electrónico la matriz y el contrato preveen el riesgo "Efectos de los cambios en las especificaciones técnicas" ubicado en la fila 36 de dicha matriz y regulado en la Sección 13.3 (p) de la Parte General.</t>
  </si>
  <si>
    <t xml:space="preserve">Se aclara el interesado que la Subcuenta de Cambio Climático,  no va a ser fondeada ni con recursos  del Concesionario ni con recursos de deuda. Tal como lo dispone el Contrato Parte General, se creará en el momento que el Concesionario obtenga fuentes de financiación diferentes a las descritas en la Sección 3.1(b) de la Minuta Parte General, y solo en este caso (de que se llegare a concretar una fuente de financiación externa por conceptos de cooperación internacional o acuerdos de cooperación) los aportes deben ser consignados en esta subcuenta. 
De igual forma el manejo de los recursos aportados, así como la ejecución de los programas y proyectos de cambio climático serán responsabilidad exclusiva del Concesionario con la entidad Cooperante. 
</t>
  </si>
  <si>
    <t xml:space="preserve">Respecto al elemento de los costos de los derivados, se informa al interesado que la Entidad no considera pertinente la inclusión de los mismos, dado que quedaría expuesta a riesgo cambiario y/o variación de tasas de interés  y en este contrato los efectos de las variaciones del Peso en relación con cualquier otra moneda, así como el riesgo de financiación son del concesionario, tal como está previsto en documentos Conpes que aplican para este sector. </t>
  </si>
  <si>
    <t>Se aclara al Interesado que de acuerdo con lo establecido en el artículo 5º de la Ley 1508, la retribución se está dando en función de la disponibilidad de la infraestructura, niveles de servicio y estándares de calidad en las etapas del proyecto de acuerdo a la distribución del mismo en Unidades Funcionales. Dicho esto aunque instrumentos como el mencionado son viables y pueden llegar a ser utiles para otro tipo de proyectos, la Entidad considera que el caso de este proyecto el esquema de retribución propuesto es el adecuado y acorde con la normatividad existente, por tal motivo no considera procedente la observación.</t>
  </si>
  <si>
    <t xml:space="preserve">La entidad aclara al interesado que el contrato indica que el VPIP corresponde a una cifra expresada en valor presente (es decir que está ajustada tanto por inflación como por la tasa de descuento establecida en el Contrato Parte Especial), mientras que el Valor del Contrato es una cifra que se encuentra expresada en pesos constantes pero no en valor presente. En este sentido, estas cifras no son comparables. Por lo anterior, la estimación de Ingresos de Peajes, siendo estos la única fuente de ingresos, se considera suficiente para la ejecución total de las obligaciones del proyecto. 
Por otro lado, tal y como pregunta en su observación, se aclara al interesado que el valor del contrato incluye los rubros  relacionados directamente con la construcción u operación y mantenimiento del proyecto de acuerdo con lo establecido en el Decreto 1082 de 2015.  Sin perjuicio de lo anterior, se aclara que las demás actividades y costos no incluidos en el valor del contrato pero que hacen parte de las obligaciones del Concesionario también deberán ser asumidas y ejecutadas por este en las condiciones establecidas en el contrato. </t>
  </si>
  <si>
    <t>Los recursos de la Subcuenta Policía de Carreteras serán únicamente destinados a la adquisición, entrega y reposición a la Policía de Carreteras de los bienes e insumos necesarios para que ésta pueda desempeñar sus funciones sobre la vía, conforme a la Sección 3.14(g)(viii) de la Parte General. De manera que se le aclara al interesado que no podrá financiar actividades u obras del alcance del proyecto con los recursos de esta Subcuenta.</t>
  </si>
  <si>
    <t xml:space="preserve">La Entidad se permite aclarar al interesado que la regulación del Contrato frente a las consultas previas parte del hecho que la ANI ya realizó las consultas previas y las protocolizó con las tres comunidades que se identificaron y certificaron por el Ministerio del Interior con los estudios de estructuración, acorde con el artículo 39 de la Ley 1682 de 2013. Por este motivo la exposición a riesgos de consultas previas es menor y las herramientas contractuales se establecen para nuevas consultas previas que surjan con posterioridad a la apertura del proceso de selección, sobre las que el Concesionario tendrá mejor capacidad de gestión al encargarse de los Estudios de Trazado y Diseño Geométrico y Estudios de Detalle.  Sin embargo, para dar mayor claridad al respecto, la Entidad modificará la redacción de la Sección 8.1 en el sentido de complementar que los compromisos derivados de dichos acuerdos que sean protocolizados, serán asumidos por las Partes, es decir compartido entre la ANI y el Concesionario de forma similar a como se comparten los efectos derivados de las variaciones de las compensaciones socioambientales. 
Adicionalmente, en la Sección 8.1(h) de la Minuta de Contrato Parte General, se precisa que la misma regula los eventos de Fuerza Mayor Ambiental y su intención es cubrir los impactos que podría tener la existencia de consultas previas con nuevas comunidades. En este sentido la ANI considera que la regulación prevista en este punto por el Contrato es robusta y debería generar tranquilidad a los interesados ante la ocurrencia de este tipo de eventos. </t>
  </si>
  <si>
    <t>Teniendo en cuenta que durante la Fase de Preconstrucción el concesionario está adelantando los trámites para presentar el cierre financiero y se contemplan los Aportes de Equity como fuente de financiación para el desarrollo de todas las actividades previstas para esta Fase, considerando además que una de las condiciones precedentes para avanzar a la Fase de Construcción es precisamente la obtención del Cierre Financiero y que los desembolsos usualmente ocurren inclusive unos meses después de acreditado, no es pertinente reconocer esas obligaciones que no cumplen con las calidades requeridas para acreditar el Cierre Financiero, pues de hacerlo se estaría generando un incentivo inadecuado y se estaría contraviniendo el propósito mismo del Cierre Financiero y el registro de prestamistas, así como el cumplimiento de la estructura de capital propia de este tipo de proyectos.</t>
  </si>
  <si>
    <t>Se aclara al interesado que será la interventoría quien deba realizar dicho cálculo, reportar el incumplimiento y tasar las multas si proceden, de acuerdo con sus obligaciones contractuales y legales.</t>
  </si>
  <si>
    <t>Se informa al interesado que en cuanto a la definición de indicadores aplicables y la estimación de los valores de aceptación para la Fase de Preconstrucción, y en general hasta la suscripción de la Unidad Funcional, esta será aclarada en el Apéndice Técnico 4. El documento actualizado se publicará con los documentos del Pliego de Condiciones Definitivo.</t>
  </si>
  <si>
    <t>respuesta enviada por juan camilo el 12 de julio</t>
  </si>
  <si>
    <t>Se informa al interesado que se incluirá en la carpeta 0AI del Cuarto de Información de Referencia, las nuevas versiones de la zonificación junto con el catálogo de zonas. Se aclara que esta información estará disponible a título meramente informativo acorde con las condiciones de la Sección 1.7 Cuarto de Información de Referencia del Pliego de Condiciones.</t>
  </si>
  <si>
    <t>Se informa al interesado que se corrigió el abscisado de los sitios críticos en el informe, fichas y planos, carpeta CI21 en el Cuarto de Información de Referencia. Se aclara que esta información estará disponible a título meramente informativo acorde con las condiciones de la Sección 1.7 Cuarto de Información de Referencia del Pliego de Condiciones.</t>
  </si>
  <si>
    <t>Se informa al interesado que se tomó como referencia la ubicación, exploración y laboratorios de estudios anteriores para puentes peatonales. Se recomienda revisar el numeral 16.2 del Informe CI2111 en el Cuarto de Información de Referencia. Se aclara que esta información estará disponible a título meramente informativo acorde con las condiciones de la Sección 1.7 Cuarto de Información de Referencia del Pliego de Condiciones.</t>
  </si>
  <si>
    <t>Se informa al interesado que en la carpeta G11 del Cuarto de Información de Referencia se puede consultar los ensayos de laboratorio realizados al paso nacional por Palmira, incluido el intercambiador de Versalles. Se aclara que esta información estará disponible a título meramente informativo acorde con las condiciones de la Sección 1.7 Cuarto de Información de Referencia del Pliego de Condiciones.</t>
  </si>
  <si>
    <t xml:space="preserve">Se informa al interesado que para este corredor se tomó como referencia el perfil geotécnico encontrado en un estudio de 2017, y los parámetros geomecánicos se tomaron de bibliografía Técnica. Se recomienda revisar el numeral 12.1 y 12.2 del Informe CI2211. Se aclara que esta información estará disponible a título meramente informativo acorde con las condiciones de la Sección 1.7 Cuarto de Información de Referencia del Pliego de Condiciones. </t>
  </si>
  <si>
    <t xml:space="preserve">Se aclara al interesado que en el informe de Geotécnia no se menciona la cantidad de puentes, se muestran ábacos que sirven de guía para el diseño de cimentación profunda de diferente diametro y longitud según se requiera. Para la determinación de cantidad de puentes identificada durante la estructuración deberá referise a los volúmenes de la carpeta D del Cuarto de Información de Referencia. Si bien la cantidad y localización depende de los Estudios de Detalle que elaborará el Concesionario, se informa que los estudios de estructuración incluyeron 10 puentes en la UF3. Se aclara que esta información estará disponible a título meramente informativo acorde con las condiciones de la Sección 1.7 Cuarto de Información de Referencia del Pliego de Condiciones. </t>
  </si>
  <si>
    <t xml:space="preserve">Se informa al interesado que se adelantaron dos perforaciones, denominadas Sondeo 1 y Sondeo 3, que son las que se encuentran publicadas en el Cuarto de Información de Referencia. Se aclara que esta información estará disponible a título meramente informativo acorde con las condiciones de la Sección 1.7 Cuarto de Información de Referencia del Pliego de Condiciones. </t>
  </si>
  <si>
    <t xml:space="preserve">Se informa al interesado que en los numerales 13.4 y 13.5 se presentan las modelaciones para terraplenes y cortes. Se aclara que esta información estará disponible a título meramente informativo acorde con las condiciones de la Sección 1.7 Cuarto de Información de Referencia del Pliego de Condiciones. </t>
  </si>
  <si>
    <t xml:space="preserve">Se informa al interesado que para la UF4 no se diseñaron cortes o terraplenes de gran altura, por tanto durante la estructuración No se requirió el diseño para taludes. Igualmente, se aclara que esta información estará disponible a título meramente informativo acorde con las condiciones de la Sección 1.7 Cuarto de Información de Referencia del Pliego de Condiciones. </t>
  </si>
  <si>
    <t xml:space="preserve">Se informa al interesado que en el sitio del puente Guillermo Valencia sobre el rio Cauca se adelantó una perforación denominada Sondeo 2. Se aclara que esta información estará disponible a título meramente informativo acorde con las condiciones de la Sección 1.7 Cuarto de Información de Referencia del Pliego de Condiciones. </t>
  </si>
  <si>
    <t xml:space="preserve">Se informa al interesado que se corrigió el abscisado del informe CI4111 publicado en el Cuarto de Información de Referencia. Se aclara que esta información estará disponible a título meramente informativo acorde con las condiciones de la Sección 1.7 Cuarto de Información de Referencia del Pliego de Condiciones. </t>
  </si>
  <si>
    <t xml:space="preserve">Los sondeos específicos de la intersección Sameco se encuentran publicados en la carpeta G2 del Cuarto de Información de Referencia. La perforación más cercana a Sameco se encuentran publicada en la carpeta C del Cuarto de Información de Referencia, y corresponde al sondeo 3, E1065215 N883713. Se aclara que esta información estará disponible a título meramente informativo acorde con las condiciones de la Sección 1.7 Cuarto de Información de Referencia del Pliego de Condiciones.  </t>
  </si>
  <si>
    <t xml:space="preserve">Se informa al interesado que sí hay perforaciones en puentes vehiculares existentes, pero no en todos los casos. Se aclara que esta información estará disponible a título meramente informativo acorde con las condiciones de la Sección 1.7 Cuarto de Información de Referencia del Pliego de Condiciones.  </t>
  </si>
  <si>
    <t xml:space="preserve">Se infroma al interesado que los análisis de estabilidad del deprimido Sameco buscan asegurar los Factores de Seguridad de la NSR-10 Titulo H. Igualmente, se aclara que esta información estará disponible a título meramente informativo acorde con las condiciones de la Sección 1.7 Cuarto de Información de Referencia del Pliego de Condiciones. 
</t>
  </si>
  <si>
    <t>Se informa al interesado que las obligaciones de Operación y Mantenimiento de la infraestructura existente siguen las condiciones de operación y mantenimiento del Apéndice Técnico 2 si bien se diferencian en las actividades que sólo serán aplicables a partir del Acta de Terminación de la Unidad Funcional que se detallan en cada apartado e indicador. El mantenimiento de los puentes se presenta en los servicios de carácter obligatorio (Sección 2.1(d) del Apéndice Técnico 2) y se detalla en la Sección 6.4. del mismo Apéndice.</t>
  </si>
  <si>
    <t>Se informa al interesado que en el caso de una repotenciación estructural de algún puente existente, los costos generados por esta actividad estarán a cargo del Concesionario. De otra parte, en la Sección 6.4 del Apéndice Técnico 2 se detallan dichas condiciones.</t>
  </si>
  <si>
    <t xml:space="preserve">Se informa al interesado que no hay negociaciones previas de suministros para alguna actividad del alcance del Contrato por cuanto las definiciones de materiales y proveedores estarán a cargo del Concesionario. A título informativo se estimaron costos de suministro de agua de proveedores de la zona. De otra parte, la información sobre empresas de servicios públicos se encuentra en la carpeta F del Cuarto de Información de Referencia, y sobre otras fuentes y concesiones de captación utilizadas anteriormente las podrán consultar en la carpeta H del Cuarto de Información de Referencia.
Se aclara que esta información estará disponible a título meramente informativo acorde con las condiciones de la Sección 1.7 Cuarto de Información de Referencia del Pliego de Condiciones.  </t>
  </si>
  <si>
    <t xml:space="preserve">Se informa al interesado que sí hay datos históricos de auscultaciones de pavimentos desde 2015. Asi mismo se informa que se complementará el Cuarto de Información de Referencia con esta información. Se aclara que esta información estará disponible a título meramente informativo acorde con las condiciones de la Sección 1.7 Cuarto de Información de Referencia del Pliego de Condiciones.  </t>
  </si>
  <si>
    <t xml:space="preserve">Se informa al interesado que no existe un analisis del deterioro en el tiempo de acuerdo a los datos históricos de ascultaciones del anterior concesionario, la progresión de daños para el programa de mantenimiento se estimó con información a partir de 2017 y 2018, asi como las intervenciones de Puesta a Punto. Igualmente, se aclara que esta información estará disponible a título meramente informativo acorde con las condiciones de la Sección 1.7 Cuarto de Información de Referencia del Pliego de Condiciones.  </t>
  </si>
  <si>
    <t>Se informa al interesado que la información del tramo observado corresponde con los levantamientos denominados Variante Acequía en los anexos de la carpeta CII del Cuarto de Información de Referencia. La información de las mediciones de IRI y deflectometria para el tramo Acequia - la torre se encuentran dentro del informe del volumen de la unidad funcional correspondiente, además los datos de medición se encuentran registrados en los archivos CII1120221546 y CII1120554 del Cuarto de Información de Referencia. Se aclara que esta información estará disponible a título meramente informativo acorde con las condiciones de la Sección 1.7 Cuarto de Información de Referencia del Pliego de Condiciones.</t>
  </si>
  <si>
    <t>Se informa al interesado que la información se encuentra en los anexos de la carpeta G1 y en los anexos de la carpeta CII12 del Cuarto de Información de Referencia. Se aclara que esta información estará disponible a título meramente informativo acorde con las condiciones de la Sección 1.7 Cuarto de Información de Referencia del Pliego de Condiciones.</t>
  </si>
  <si>
    <t>Se informa al interesado que el tramo Cali - Palmira cuenta con el análisis e información de las mediciones de daños, ahuellamiento, IRI, espesores y apiques dentro del documento, los datos en crudo de las mediciones se encuentran dentro del Cuarto de Información de Referencia en los anexos de la carpeta CII11. Para el tramo Cali- Candelaria (en varios apartes denominado Corredor 4) también se cuenta con información de espesores, auscultación y deflectometria, tanto en el volumen, como en los anexos de la carpeta CII22 del Cuarto de Información de Referencia. Para la Variante el Bolo se tiene información secundaria que se subirá al Cuarto de Información de Referencia. Se aclara que esta información estará disponible a título meramente informativo acorde con las condiciones de la Sección 1.7 Cuarto de Información de Referencia del Pliego de Condiciones. Finalmente, se realizarán ajustes en el apendice técnico 1 para dar mayor claridad al alcance del acceso al Estadio Palmaseca. El documento actualizado se publicará con los documentos del Pliego de Condiciones Definitivo.</t>
  </si>
  <si>
    <t>Se informa al interesado que la información que se tiene de la unidad funcional 5 está relacionada con auscultación de daños, georadar y deflectometría. Igualmente, se aclara que esta información estará disponible a título meramente informativo acorde con las condiciones de la Sección 1.7 Cuarto de Información de Referencia del Pliego de Condiciones.</t>
  </si>
  <si>
    <t>Se informa al interesado que la información requerida se encuentra en la carpeta I del Cuarto de Información de Referencia. Se aclara que esta información estará disponible a título meramente informativo acorde con las condiciones de la Sección 1.7 Cuarto de Información de Referencia del Pliego de Condiciones.</t>
  </si>
  <si>
    <t>Se informa al interesado que se encuentra disponible la información de superposición gráfica de redes con interferencias, para la estimación de traslados, que toma como soporte la investigación de redes que se incluye en la Carpeta F del Cuarto de Información de Referencia. asimismo, se informa que esta información gráfica se complementará en el Cuarto de Información de Referencia. Se aclara que esta información estará disponible a título meramente informativo acorde con las condiciones de la Sección 1.7 Cuarto de Información de Referencia del Pliego de Condiciones.</t>
  </si>
  <si>
    <t>Se informa al interesado que se completará la información de ese archivo de pronunciamiento en el Cuarto de Información de Referencia. Se aclara que esta información estará disponible a título meramente informativo acorde con las condiciones de la Sección 1.7 Cuarto de Información de Referencia del Pliego de Condiciones.</t>
  </si>
  <si>
    <t>Se hace claridad al interesado en lo siguiente:
Retorno Estambul:
El retorno planteado en los estudios de referencia responden al requisito del Apéndice Técnico 1 de contar con un retorno de los flujos Cali-Cali. La definición final del retorno depende de los Estudios de Detalle que desarrolle el Concesionario por lo que no se estima necesacio incluir más definiciones en el Apéndice Técnico 1 que restrinjan la solución que planteen esos estudios. Se aclarará en las descripciones del Apéndice Tecnico 1 que el retorno se requiere contiguo al peaje Estambul.
Retornos Guanabanal:
La solución planteada en los estudios de referencia responde a la necesidad de mejorar el cruce de motocicletas en ese punto con retornos, que es lo solicitado en el Apéndice Técnico 1. Dado que la configuración final de la solución del paso depende de los Estudios de Detalle que adelante el Concesionario, no se estima necesario incluir más condiciones restrictivas en las definiciones del Apéndice Técnico 1, sin embargo sí se ajustará la descripción de los solicitado en el Apéndice para aclar el entendimiento.
El documento actualizado se publicará con los documentos del Pliego de Condiciones Definitivo.</t>
  </si>
  <si>
    <t>Se informa al interesado que en el proceso de carga del Cuarto de Información de Referencia se presentaron omisiones de infromación debido a la extensión de los archivo. Dado lo anterior se informa que se actualizará la totalidad del Cuarto de Información de Referencia concordante con el indice actualizado. La información actualizada estará disponible al momento de publicación del Pliego de Condiciones Definitivo. Se aclara que esta información estará disponible a título meramente informativo acorde con las condiciones de la Sección 1.7 Cuarto de Información de Referencia del Pliego de Condiciones.</t>
  </si>
  <si>
    <t>Se informa al interesado que se cuenta con datos planimétricos en abierto de ubicación de las ITS de los estudios de referencia que se incluirán en la carpeta F del Cuarto de Información de Referencia. Se aclara que esta información estará disponible a título meramente informativo acorde con las condiciones de la Sección 1.7 Cuarto de Información de Referencia del Pliego de Condiciones.</t>
  </si>
  <si>
    <t>Se informa al interesado que se cuenta con datos planimétricos en abierto de ubicación de las ITS de los estudios de referencia que se incluirán en la carpeta F del Cuarto de Información de Referencia. Asimismo, se informa que dentro del  anexo 4 de la carpeta F se encuentran las cantidades de las partidas estimadas por UF para ITS. Se aclara que esta información estará disponible a título meramente informativo acorde con las condiciones de la Sección 1.7 Cuarto de Información de Referencia del Pliego de Condiciones.</t>
  </si>
  <si>
    <t>Se informa al interesado que para referencia, el estado e inventario de peajes, pesajes y áreas de servicio se puede consultar en los formatos GCSP-F-070 a GCSP-F-78, GCSP-F-081 a GCSP-F-112, GCSP-F-121 a GCSP-F-127 en la carpeta H por cada tramo contienen la información de inventarios de peajes y pesajes. Las carpetas H1023, H1113, H1213, H1313, H1414 contienen la información en planos. Se aclara que esta información estará disponible a título meramente informativo acorde con las condiciones de la Sección 1.7 Cuarto de Información de Referencia del Pliego de Condiciones.</t>
  </si>
  <si>
    <t>Se informa al interesado que las áreas de servicio no tienen requerimientos específicos de sistemas de vigilancia, sin embargo, acorde con la Sección 3.1.7 del Apéndice Técnico 2 se requiere conexión de información permanente con las áreas de servicio. Dentro de los estudios de referencia esta conexión se estimó con la red de fibra óptica en las cantidades que están en los anexos de la carpeta F del Cuarto de Información de Referencia. Se aclara que esta información estará disponible a título meramente informativo acorde con las condiciones de la Sección 1.7 Cuarto de Información de Referencia del Pliego de Condiciones.</t>
  </si>
  <si>
    <t>Se informa al interesado que para el CCO en los estudios de referencia se estimaron los componentes que corresponden al centro de control en cada uno de los subsistemas analizados en el capitulo 4.5, no se incluyeron planos. Este capítulo se refiere a los volúmenes de estudios adicionales de la carpeta F del Cuarto de Información de Referencia. Se aclara que esta información estará disponible a título meramente informativo acorde con las condiciones de la Sección 1.7 Cuarto de Información de Referencia del Pliego de Condiciones.</t>
  </si>
  <si>
    <t>Se informa al interesado que sobre los puentes existentes se disponen de las fichas de inspección pero no de planos ni memorias de diseño. A partir de las inspecciones que se encuentran en los anexos de fichas Sipucol y fichas de campo (anexos 1 y 2), se estimaron las dimensiones de obras de mantenimiento o reconstrucción (anexos 3 y 4). Lo anterior lo podrá consultar dentro de la carpeta D del Cuarto de Información de Referencia. Se aclara que esta información estará disponible a título meramente informativo acorde con las condiciones de la Sección 1.7 Cuarto de Información de Referencia del Pliego de Condiciones.</t>
  </si>
  <si>
    <t>Las estructuras de alcantarillas tipo cajón se cuantificaron con secciones típicas en las configuraciones que se listan en los anexos de cantidades de los volúmenes de hidráulica y drenaje de la carpeta B. En tramos nuevos no se estimaron muros aparte de los implantados en estribos en las implantaciones de puentes que se muestran en los anexos de la carpeta D del Cuarto de Información de Referencia. Se aclara que esta información estará disponible a título meramente informativo acorde con las condiciones de la Sección 1.7 Cuarto de Información de Referencia del Pliego de Condiciones.</t>
  </si>
  <si>
    <t>Se informa al interesado que el diseño del drenaje de la intersección SAMECO está en la carpeta G272 del Cuarto de Información de Referencia. Se aclara que esta información estará disponible a título meramente informativo acorde con las condiciones de la Sección 1.7 Cuarto de Información de Referencia del Pliego de Condiciones.</t>
  </si>
  <si>
    <t>Se informa al interesado que el diseño del drenaje de la intersección VERSALLES está en la carpeta G123 del Cuarto de Información de Referencia. Se aclara que esta información estará disponible a título meramente informativo acorde con las condiciones de la Sección 1.7 Cuarto de Información de Referencia del Pliego de Condiciones.</t>
  </si>
  <si>
    <t>Se informa al interesado que los andenes en puentes son para tramos en centros poblados y zonas urbanas. Lo anterior será aclarado en el Apéndice Técnico 1, el cual se publicará actualizado con los documentos del Pliego de Condiciones Definitivo.</t>
  </si>
  <si>
    <t>Se informa al interesado que la información disponible del paso nacional por Palmira con el intercambiador de Versalles se encuentra en la carpeta G1 y la del intercambiador SAMECO en la carpeta G2 del Cuarto de Información de Referencia. Se aclara que esta información estará disponible a título meramente informativo acorde con las condiciones de la Sección 1.7 Cuarto de Información de Referencia del Pliego de Condiciones.</t>
  </si>
  <si>
    <t>Se informa al interesado que las coordenadas de la mencionada intersección se ajustaron para evitar la interferencia predial descrita en la observación. Dicha modificación se realizará en el Apéndice Técnico 1, en los estudios del Cuarto de Información de Referencia y en la franja de utilidad pública e interés social. Los documentos se veran actualizados al momento de la publicación del Pliego de Condiciones Definitivo.</t>
  </si>
  <si>
    <t>Se informa al interesado que su entendimiento no es correcto. La Sección en comento está dentro del Capítulo VI OBLIGACIONES DURANTE LA ETAPA PREOPERATIVA del Apéndice Técnico 1, por lo cual las actividades descritas se refieren a dicha Etapa. Dentro del Apéndice Técnico 2 en la descripción de las Actividades Particulares del Mantenimiento de la Sección 6.3, se deja claridad que hay una obligación de cumplimiento, como los indicadores, que pueda implicar actividades de Rehabilitación o de Construcción, incluso en la Etapa Preoperativa.</t>
  </si>
  <si>
    <t>Se informa al interesado que dicha información puede consultarse con el Ministerio de Transporte en el marco de la Debida Diligencia. Igualmente, se informa la pertinencia de consultar la resolución 509 de 2020 que brinda los considerandos y resuelve la prórroga del plazo de implementación de la interoperabilidad del sistema IP/REV.</t>
  </si>
  <si>
    <t>Se aclara al interesado que en el Apéndice Técnico 2, sección 3.3.4.3, se establecen las características y principios de funcionalidad de las casetas de peaje con cobro automático. Para ello será el Concesionario quien deba proponer la tecnología que garantice la interoperabilidad de sus Estaciones de la vía y requerirá de la autorización de la ANI y de la Interventoría. De igual forma, se estipula que previo al momento de la suscripción del Acta de terminación de Unidad Funcional el Concesionario deberá poner en servicio al menos un (1) carril por sentido de cobro automático. 
Por lo anterior, se considera que en dicha sección, y demás secciones del Apéndice Técnico 2, el Concesionario cuenta con los lineamientos para proponer el esquema de implementación.</t>
  </si>
  <si>
    <t>Se informa al interesado que los documentos contenidos en el Cuarto de Información de Referencia se suministran únicamente a título informativo según se define en la Sección 1.7 de los Pliegos de Condiciones. Corresponderá al Concesionario adelantar los estudios necesarios para la ejecución de las Intervenciones en el nivel de detalle requerido en el Contrato, y cumpliendo con lo dispuesto en los Apéndices Técnicos.</t>
  </si>
  <si>
    <t xml:space="preserve">Se informa alinteresado que la Tabla 5 en la definición de los puntos de origen y fin de cada tramo, incluye coordenadas para evitar confusiones respecto a los nombres de cada tramo. Asimismo, se informa que se incluirán aclaraciones en la Tabla 11 porque parte de la descripción del subtramo Ye de Villa Rica - Ye de Villa Rica – Intersección Candelaria – Intersección Acceso Sur Palmira – Intersección Cali-Palmira 3 no aparece en el encabezado. El documento actualizado será publicado con los documentos del Pliego de Condiciones Definitivo.
Por otro lado, se aclara que el subtramo Acceso Sur Palmira – Intersección Cali-Palmira 3 (Palmira-El Cerrito) sí se encuentra dentro de la Unidad Funcional 2 ( tramo Santander de Quilichao – Ye de Villa Rica – Intersección Candelaria – Intersección Acceso Sur Palmira – Intersección Cali-Palmira 3). </t>
  </si>
  <si>
    <t>Se informa al interesado que los recursos de la Subcuenta Policía de Carreteras serán únicamente destinados a la adquisición, entrega y reposición a la Policía de Carreteras de los bienes e insumos necesarios para que ésta pueda desempeñar sus funciones sobre la vía, conforme a la Sección 3.14(g)(viii) de la Parte General. De manera que se le aclara al interesado que no podrá financiar actividades u obras del alcance del proyecto con los recursos de esta Subcuenta.</t>
  </si>
  <si>
    <t>Se informa al interesado que los archivos de las ortofotos están dentro de las carpetas "Ortofotomosaico" anexas a los informes de trazado y diseño geométrico. Igualmente, se informa que se actualizará la totalidad del Cuarto de Información de Referencia concordante con el indice actualizado. Se aclara que el Cuarto de Información de Referencia es a título meramente informativo, en las condiciones de la Sección 1.7 del Pliego de Condiciones.</t>
  </si>
  <si>
    <t xml:space="preserve">Se informa al interesado que en el Apéndice Técnico 1 se consignan las coordenadas de los puntos de inicio y fin de cada tramo para poder verificar las ubicaciones de forma ineqívoca. En cualquier caso se aclara que el Cuarto de Información de Referencia es a título informativo según las condiciones de la Sección 1.7 del Pliego de Condiciones, por lo que las condiciones de alcances deben revisarse en el Apéndice Técnico 1. Los tramos viales de la observación no son exactamente los mismos, o la escala de medida no es la misma, por ejemplo en el capítulo 5.1.4 se toman datos de PR que no son unidades de medida precisa para la longitud de cada tramo, y al considerar variantes existen tramos paralelos al tronco principal que no se computan en las longitudes expresadas como origen-destino. </t>
  </si>
  <si>
    <t>Se confirma al interesado que el alcance corresponde a lo indicado en el Apendice Técnico 1. El Apéndice Técnico 1 unifica los criterios de definición de tramos e incluye las coordenadas de inicio y fin que regirán los alcances del contrato.
En cualquier caso se aclara que esta información estará disponible a título meramente informativo acorde con las condiciones de la Sección 1.7 Cuarto de Información de Referencia del Pliego de Condiciones.</t>
  </si>
  <si>
    <t xml:space="preserve">Se informa al interesado que en el Apéndice Técnico 1 se consignan las coordenadas de los puntos de inicio y fin de cada tramo para poder verificar las ubicaciones de forma ineqívoca. En cualquier caso se aclara que el Cuarto de Información de Referencia es a título informativo según las condiciones de la Sección 1.7 del Pliego de Condiciones, por lo que las condiciones de alcances deben revisarse en el Apéndice Técnico 1. Los tramos viales de la observación no son exactamente los mismos, o la escala de medida no es la misma, por ejemplo en el capítulo 5.1.5 se toman datos de PR que no son unidades de medida precisa para la longitud de cada tramo. </t>
  </si>
  <si>
    <t>Se aclara al interesado que el subtramo está definido en el Apéndice Técnico 1 como Cali-Candelaria y el alcance no incluye Candelaria-Florida, por lo tanto no hace falta incluir información.</t>
  </si>
  <si>
    <t>Se aclara al interesado que de acuerdo con el informe del estudio topográfico el levantamienoto topográfico se hizo por radiación convencional, por lo tanto no hay ortofotos contenidas en dicho estudio. Los planos topográficos se encuentran en la carpeta G215 del Cuarto de Información de Referencia. En cualquier caso se aclara que el Cuarto de Información de Referencia es a título informativo según las condiciones de la Sección 1.7 del Pliego de Condiciones.</t>
  </si>
  <si>
    <t>Se informa al interesado que la carpeta G5(3) del Cuarto de Información de Referencia incluye las carteras de diseño geométrico que se compone de cartera de coordenadas y cotas rojas en el eje de diseño, cartera de rasante, cartera de chaflanes, y cartera de movimientos de tierra con volúmenes. De otra parte, se aclara que el Cuarto de Información de Referencia es a título informativo según las condiciones de la Sección 1.7 del Pliego de Condiciones.</t>
  </si>
  <si>
    <t>Se informa al interesado que los planos en formato abierto de planta perfil de la variante El Bolo serán incluidos en el Cuarto de Información de Referencia. Se aclara que el Cuarto de Información de Referencia es a título informativo según las condiciones de la Sección 1.7 del Pliego de Condiciones.</t>
  </si>
  <si>
    <t xml:space="preserve">Se informa al interesado que la topografia se encuentra para todo el tramo jamundí - Villarrica, y el archivo de referencia externa XREF_C02_C03 se encuentra en la carpeta A2125 del Cuarto de Información de Referencia. Se aclara que el Cuarto de Información de Referencia es a título informativo según las condiciones de la Sección 1.7 del Pliego de Condiciones.
</t>
  </si>
  <si>
    <t>Se informa al interesado que su apreciación no es correcta. El Concesionario debe asumir todos los costos de las Intervenciones de Puesta a Punto incluidos los necesarios para que las bahías de transporte público preste los servicios de Operación y Mantenimiento definidos en el Contrato.</t>
  </si>
  <si>
    <t>Se informa al interesado que el alcance en cuanto la infraestructura proyectada se define en condiciones mínimas dentro del Apéndice Técnico 1 porque el Concesionario debe evaluar al asumir los riesgos asociados a los Estudios de Trazado y Diseño Geométrico y Estudios de Detalle las configuraciones finales de la infraestructura proyectada para cumplir las obligaciones de resultado que se exigen en el Contrato y especialmente en los apéndices técnicos 1, 2, 3 y 4. Por tal motivo no se considera procedente modificar la condición mínima exigida en los apéndices técnicos. De otra parte, frente a las Obras derivadas de necesidades que sean solicitadas por los grupos de interés o comunidades, se aplican las Obras Sociales definidas en la Sección 1.120 de la Parte General.</t>
  </si>
  <si>
    <t xml:space="preserve">Se informa al interesado que las obras especiales están descritas en la misma tabla 14 del Apendice Técnico 1, por lo tanto no se requieren definiciones adicionales. De otra parte, se entenderá que el Concensionario podrá realizar más obras especiales, si así lo considera en sus Estudios de Trazado y Diseño Geométrico y Estudios de Detalle. </t>
  </si>
  <si>
    <t>Se informa al interesado que los planos en mención de la observación son en planta-perfil. Las secciones transversales son típicas, al tratarse de tramos construidos la información de espesores existentes en las capas de pavimentos puede tomarse de los volúmenes de diseño de pavimentos de la carpeta CI. Igualmente, se informa que se incluirán planos en abierto de planta perfil de la infraestructura existente en el Cuarto de Información de Referencia. De otra parte, se aclara que el Cuarto de Información de Referencia es a título informativo según las condiciones de la Sección 1.7 del Pliego de Condiciones.</t>
  </si>
  <si>
    <t>Se informa al interesado que dentro de la carpeta F y anexos, del cuarto de Información de Referencia, se encuentra la debida diligencia de redes, que incluye la información suministrada por las empresas operadoras y propietarias de servicios públicos en el área del proyecto, tanto de redes existentes como proyectadas. De otra parte, se aclara que el Cuarto de Información de Referencia es a título informativo según las condiciones de la Sección 1.7 del Pliego de Condiciones.</t>
  </si>
  <si>
    <t>Se informa al interesado que dentro de la carpeta F y anexos, del cuarto de Información de Referencia, se encuentra la debida diligencia de redes, que incluye la información suministrada por las empresas operadoras y propietarias de servicios públicos en el área del proyecto, tanto de redes existentes como proyectadas. La información de proyectos urbanísticos de expansión se puede consultar en los planes de ordenamiento que se incluyen en la carpeta EI y anexos del cuarto de Información de Referencia. De otra parte, se aclara que el Cuarto de Información de Referencia es a título informativo según las condiciones de la Sección 1.7 del Pliego de Condiciones.</t>
  </si>
  <si>
    <t xml:space="preserve">Se informa al interesado que las definiciones de las obligaciones sobre Redes en el Contrato implican que estas sean afectadas por el Proyecto. En la medida que en los tramos con alcances de Puesta a Punto o Rehabilitación no se generen afectaciones a las Redes no será necesario efectuar traslados o protecciones.
En cuanto a la aplicación de la Ley 1228 de 2008 para la gestión de la faja del corredor existente y los permisos otorgados que implican a redes de servicios públicos de terceros, en los formatos GCSP-F-117 que se encuentran en los anexos de la carpeta H, del cuarto de Información de Referencia, se encuentra el estado de los permisos otorgados durante la concesión anterior. De otra parte, se aclara que el Cuarto de Información de Referencia es a título informativo según las condiciones de la Sección 1.7 del Pliego de Condiciones.
</t>
  </si>
  <si>
    <t>Se informa al interesado que se complementará el contenido del Cuarto de Información de Referencia con la información faltante respecto al índice. De otra parte, se aclara que el Cuarto de Información de Referencia es a título informativo según las condiciones de la Sección 1.7 del Pliego de Condiciones.</t>
  </si>
  <si>
    <t>Se informa al interesado que para el tramo Villa Rica - Caloto en la carpeta G5 se complementará la información sobre el estudio de pavimentos y geotecnia. Se precisa que no hay más información disponible aparte de la relacionada en el índice. De otra parte, se aclara que el Cuarto de Información de Referencia es a título informativo según las condiciones de la Sección 1.7 del Pliego de Condiciones.</t>
  </si>
  <si>
    <t>Se informa al interesado que existen históricos de índices de estado medidos desde 2013 que se incluirán en el Cuarto de Información de Referencia. Al respecto se incluyó también en la carpeta H la información de inventarios de obras hidráulicas de la concesión anterior. De otra parte, se aclara que el Cuarto de Información de Referencia es a título informativo según las condiciones de la Sección 1.7 del Pliego de Condiciones.</t>
  </si>
  <si>
    <t>Se informa al interesado que sobre los puentes existentes se dispone de las fichas de inspección pero no de planos ni memorias de diseño. A partir de las inspecciones que se encuentran en los anexos de fichas Sipucol y fichas de campo (anexos 1 y 2), se estimaron las dimensiones de obras de mantenimiento o reconstrucción (anexos 3 y 4). Lo anterior dentro de las carpetas D del Cuarto de Información de Referencia. Para las obras hidráulicas y análisis de socavación de las estructuras mayores se pueden consultar lo volúmenes de hidráulica y drenaje de la carpeta B. De otra parte, se aclara que el Cuarto de Información de Referencia es a título informativo según las condiciones de la Sección 1.7 del Pliego de Condiciones.</t>
  </si>
  <si>
    <t>Dentro de los anexos de la carpeta B se incluyen las fichas de campo de las obras hidráulicas en las que se consignan en las observaciones los hallazgos sobre el estado de cada estructura. Con relación al estado estructural de box culverts y puentes en los anexos de la carpeta D se encuentran las fichas de inspección SIPUCOL. De otra parte, se aclara que el Cuarto de Información de Referencia es a título informativo según las condiciones de la Sección 1.7 del Pliego de Condiciones.</t>
  </si>
  <si>
    <t>Se informa al interesado que los cambios que se evidencian en el Cuarto de Información de Referencia se tratan de suprimir una segunda calzada que originalmente se había proyectado desde Villa Rica hasta el casco urbano de Jamundí y que ahora cuenta con el alcance descrito en el Apendice Tecnico 1. Ese cambio ya se encuentra actualizado en el Cuarto de Información de Referencia. De otra parte, se aclara que el Cuarto de Información de Referencia es a título informativo según las condiciones de la Sección 1.7 del Pliego de Condiciones.</t>
  </si>
  <si>
    <t>Se informa al interesado que la norma aplicable es al definida en el Apéndice Técnico 3, que en efecto corresponde al CCP-14. En cuanto a puentes existentes se debe tener en cuenta lo dispuesto en el Apéndice Técnico 2 en la Sección 6.3.8 y 6.4 sobre Estructuras y Puentes.</t>
  </si>
  <si>
    <t>Se informa al interesado que su entendimiento no es correcto. En todas las unidades funcionales se encuentran las fichas de inspección que dimensionan las Intervenciones por cada puente, estas se encuentran según la unidad funcional en los anexos 3 o 4. De otra parte, se aclara que el Cuarto de Información de Referencia es a título informativo según las condiciones de la Sección 1.7 del Pliego de Condiciones.</t>
  </si>
  <si>
    <t>Se informa al interesado que el punto al que hace referencia describe los parámetros que se tuvieron en cuenta en el dimensionamiento de las Intervenciones. De otra parte, se aclara que el Cuarto de Información de Referencia es a título informativo según las condiciones de la Sección 1.7 del Pliego de Condiciones.</t>
  </si>
  <si>
    <t>Se informa al interesado que se incluirá en el Cuarto de Información de Referencia las tipologías que se tomaron de referencia para cuantificar los puentes peatonales, así como información de cimentaciones. De otra parte, se aclara que el Cuarto de Información de Referencia es a título informativo según las condiciones de la Sección 1.7 del Pliego de Condiciones.</t>
  </si>
  <si>
    <t xml:space="preserve">Se informa al interesado que la norma aplicable es al definida en el Apéndice Técnico 3, que en efecto corresponde al CCP-14. </t>
  </si>
  <si>
    <t>Se informa al interesado que se complementará el contenido del Cuarto de Información de Referencia respecto a la información de la Carpeta D en concordancia con el índice. Es importante señalar que en los puentes existentes no se cuenta con información de fechas de construcción. De otra parte, se aclara que el Cuarto de Información de Referencia es a título informativo según las condiciones de la Sección 1.7 del Pliego de Condiciones.</t>
  </si>
  <si>
    <t>Se aclara al interesado que los alcances en cuanto a puentes existentes son los que se desarrollan en las Secciones 6.3.8 y 6.4 Estructuras y Puentes, y Directrices Generales de Mantenimiento del Apéndice Técnico 2. Estas obligaciones incluyen las inspecciones acorde con la metodología SIPUCOL, las obras de mantenimiento, las evaluaciones de resistencia entre otras. Por otro lado, el estado de las estructuras existentes se encuentra publicado en las fichas de inspección SIPUCOL, a partir de las cuales se definieron las intervenciones de los estudios de factibilidad. La información de socavación de las estructuras principales se encuentra en la carpeta B del Cuarto de Información de Referencia. Finalmente, dentro de su debida diligencia el oferente podrá inspeccionar el estado de la infraestructura, con el fin de cuantificar las obligaciones exigidas en el Pliego. De otra parte, se aclara que el Cuarto de Información de Referencia es a título informativo según las condiciones de la Sección 1.7 del Pliego de Condiciones.</t>
  </si>
  <si>
    <t>Se acalara al interesado que la información de sitios inestables identificados se encuentra en la carpeta CI del Cuarto de Información de Referencia. Por otra parte, se informa que es incorrecta la afirmación acerca de las presuntas responsabilidades de la ANI sobre fallas geológicas no identificadas, se aclara que acorde con la Sección 13.2 las asignación de riesgos geológicos corresponden al Concesionario. Finalmente, para el estudio y la debida diligencia de los oferentes, y que se alcancen a realizar los análisis e investigaciones suficientes, se aclara que la Entidad amplió los plazos para presentación de las ofertas.
Se aclara que el Cuarto de Información de Referencia es a título informativo según las condiciones de la Sección 1.7 del Pliego de Condiciones.</t>
  </si>
  <si>
    <t>Se informa al interesado que se incluyen en el alcance de las Intervenciones, los pasos urbanos en los que la sección vial afecta las áreas de espacio público, ya sea por la nueva construcción o en áreas remanentes de la adquisición predial. Para esto, se incluyen las notas de alcances en las tablas 7 y 27 del Apéndice Técninco 1. Finalmente, se informa que para mayor claridad, se ampliará la descripción de las obligaciones de Intervenciones de espacio público en el Apendice Tecnico 1, y se publicará con los documentos del Pliego de Condiciones Definitivo.</t>
  </si>
  <si>
    <t xml:space="preserve">Se informa al interesado que las obras en el acceso al Estadio de Palmaseca son carriles de acceso y salida adosados al tramo Cali - Palmira. Igualmente se informa que se ampliará la descripción de este alcance en la Tabla 14 del Apéndice Técnico 1, y se publicará con los documentos del Pliego de Condiciones Definitivo. Sin embargo, es pertinente aclarar que el alcance definitivo de las obras dependerá de los Estudios de Detalle del Concesionario.
</t>
  </si>
  <si>
    <t>Se informa al interesado que se incluirá información en abierto de la geometría de la Variante El Bolo en el Cuarto de Información de Referencia. De otra parte, se aclara que el Cuarto de Información de Referencia es a título informativo según las condiciones de la Sección 1.7 del Pliego de Condiciones.</t>
  </si>
  <si>
    <t>Se informa al interesado que la textura no se mide en los parámetros evaluados en la factibilidad. Igualmente se informa que en la estructuración del proyecto, para los efectos de la estimación funcional de la macrotextura, se tomaron los datos medidos con Griptester, así como las mediciones de regularidad superficial y ahuellamiento (del levantamiento de daños) sobre los corredores existentes. De otra parte, se aclara que el Cuarto de Información de Referencia es a título informativo según las condiciones de la Sección 1.7 del Pliego de Condiciones.</t>
  </si>
  <si>
    <t>Se informa al interesado que los parámetros, así como la forma de medición y las Especificaciones Tecnicas aplicables para los métodos y equipos de medida admitidos, serán aclarados en el Apendice Tecnico 4, y se publicará con los documentos del Pliego de Condiciones Definitivo.</t>
  </si>
  <si>
    <t xml:space="preserve">Se informa al interesado que la Unidad Funcional 0 contempla las actividades de mantenimiento rutinario y operación de toda la infraestructura. Así mismo, sobre la toda la infraestructura se medirán indicadores para dichas actividades, los cuales tendrán diferentes valores de aceptación, a medida que se suscriben las Unidades Funcionales donde se medirán. De otra parte, a medida que se suscriban las Unidades Funcionales, se medirán los indicadores establecidos en el Apéndice Técnico 4 Indicadores, los cuales evaluarán las actividades fijadas para cada Unidad Funcional. </t>
  </si>
  <si>
    <t xml:space="preserve">Se informa al interesado que los costos de comisión por pago, con tarjeta de telepeaje (tag) serán asumidos por el Concesionario de acuerdo con los estipulado en la sección 3.3.4.3.Tecnología de Cobro y Control del Tráfico del Apéndice Técnico 2. </t>
  </si>
  <si>
    <t>Se informa al interesado que se mantienen las obligaciones al Concesionario de control en las estaciones de peaje incluida la instalación y operación de los dispositivos SAST que cumplan con los requisitos de la Resolución 0718 del 22 de marzo de 2018, de forma que estos puedan ser utilizados por las autoridades de tránsito que correspondan para el control de infractores en las estaciones de peaje. Se aclara que acorde con la Ley 1843 de 2017, la competencia para expedir órdenes de comparendos es exclusivamente de las autoridades de tránsito y no del Concesionario. Se dará claridad de esta disposición frente a las modificaciones normativas recientes en los documentos del Pliego de Condiciones Definitivo.</t>
  </si>
  <si>
    <t>Se informa al interesado que podrán ser los mismos vehículos de vigilancia de las bases de operación, según determine el Manual de Operación definido por el Concesionario y con el fin de cumplir las obligaciones de resultado de Operación y Mantenimiento, especialmente lo dispuesto en los indicadores con tiempos de atención de incidentes y de accidentes y emergencias del Apéndice Técnico 4.</t>
  </si>
  <si>
    <t>Se aclara la interesado que en los Apéndices Técnicos no hay definiciones específicas de los materiales a utilizar en las estructuras del pavimento por lo que las mismas serán definidas por el Concesionario seleccionando las opciones admisibles por las Especificaciones Técnicas. Si para la aplicación de la normativa se requieren condiciones específicas o particulares, las mismas deberán seguir las condiciones de particularización o adaptación que defina la misma normativa, en este caso las Especificaciones Generales para Construcción de Carreteras de INVIAS 2013.</t>
  </si>
  <si>
    <t>Se informa al interesado que la obligación del Concesionario está clara en esta Sección y no se considera que se generaría algún valor adicional al incluir la constancia que sugiere. Esto sin perjuicio de que la ANI pueda realizar inspección y auditoría a través del contrato de interventoría.</t>
  </si>
  <si>
    <t>Se aclara al interesado que como se indica en la cláusula señalada  el Concesionario deberá entregar junto con los Estudios y Diseños un análisis y valoración de afectación de los riesgos a cargo de la ANI con ocasión de la alternativa de diseño propuesta. Esto con el fin de determinar si se ha cumplido con su obligación de adelantar las acciones necesarias que propendan por mitigar cualquier riesgo referido en la Sección 13.3, como se indica antes dentro de esta misma Sección. A partir de los insumos que entregue el Concesionario, entre ellos el análisis y valoración indicados, la Interventoría ejecutará lo dipuesto en la Sección 6.2 (b) y presentará sus objeciones, observaciones o advertencias, y la ANI a su vez tendrá la facultad de objetar los Estudios de Trazado y Diseño Geométrico y/o los Estudios de Detalle presentados por el Concesionario de acuerdo con la Sección 6.2(d), luego de revisar estos insumos.</t>
  </si>
  <si>
    <t>Se aclara al interesado que se ha ajustado la redacción de esta Sección, precisando que los valores objeto de Retención serán entregados al Concesionario periódicamente dentro de los diez (10) Días siguientes a la fecha en la que la Interventoría verifique que el Concesionario haya acreditado el avance en la adquisición de los Predios Requeridos, sin incluir rendimientos financieros, en la proporción de avance del porcentaje (%) de Predios Faltantes en la Unidad Funcional. Una vez se demuestre las condiciones para liberar la rentención, la totalidad de los valores retenidos por cada Unidad Funcional sin incluir rendimientos financieros se entregará al Concesionario a más tardar dentro de los diez (10) Días siguientes a la verificación respectiva.  Esta redacción se presentará en la minuta de los pliegos definitivos.
Por otro lado, teniendo en cuenta que las retenciones sobre la retribución o compensación especial, están asociados a incumplimientos por parte del concesionario, se considera que el manejo indicado para los rendimientos es adecuado a modo de alinear los incentivos respectivos.</t>
  </si>
  <si>
    <t xml:space="preserve">Se informa al interesado que no se acepta su observación. La ANI considera que el plazo es razonable para la aprobación de la cuenta de cobro. En todo caso, se informa al interesado que este es un plazo máximo y que la aprobación podría efectuarse en menor tiempo. </t>
  </si>
  <si>
    <t>Se aclara al interesado que los valores adicionales aportados a la subcuenta Interventoría y Coordinación con ocasión de la sección 10.2(b), podrán ser incluidos dentro del AR siempre y cuando cumplan con las condiciones establecidas en las secciones 18.3 (c), (d) y (e), según aplique.</t>
  </si>
  <si>
    <t>Se informa al interesado que no se acepta su observación. Se aclara que la asignación de los riesgos contenida en la matriz , está replicada en las Secciones 13.2 y 13.3 de la ANI y esta asignación es vinculante para las partes. Es importante resaltar que la matriz de riesgos del Proyecto, es un instrumento de gestión que permite a la Entidad realizar una adecuada tipificación, estimación y asignación de riesgos que queda plasmada en el documento denominado matriz de riesgos y se replica en los apartes pertinentes en el Contrato. Teniendo en cuenta lo anterior, la Entidad reitera que el documento denominado matriz de riesgos del Proyecto, publicado en el SECOP, es un documento de referencia y no hace parte del Contrato de Concesión ni tiene carácter de vinculante.</t>
  </si>
  <si>
    <t xml:space="preserve">Se informa al interesado que la Sección citada no se refiere a alteraciones en el orden público sino a la invasión del derecho de vía. En tanto el Concesionario está en plena capacidad de tomar las medidas necesarias para la defensa y protección del Corredor del Proyecto con apoyo de las Autoridades Estatales competentes en debida forma y oportunidad, recae bajo su responsabilidad evitar este riesgo y por esto este riesgo es asignado al privado. 
Por otra parte, de acuerdo con lo expuesto en la Sección 13.3 literal (x), la ANI asume parcialmente, los efectos favorables y/o desfavorables producto del acaecimiento de eventos no asegurables. Se refieren de manera exclusiva al daño emergente, derivado de actos de terrorismo, guerras o eventos que alteren el orden público, o hallazgos arqueológicos, de minas o yacimientos. 
Teniendo en cuenta lo anterior no se acepta su observación. </t>
  </si>
  <si>
    <t>Se informa al interesado que efectivamente se realizarán los aportes al Fondo de Contingencias a partir de la valoración y seguimiento de los riesgos asumidos por la entidad para este proyecto. Los montos de los aportes corresponderán a  la valoración más reciente para estos riesgos, cuya estimación actual se refleja en el monto total establecido para el fondeo de la subcuenta Contingencias en la Sección 4.6(i)(i) de la Parte Especial del Contrato.  Con los recursos incluidos en esta Subcuenta la ANI efectuará los aportes aprobados por el Ministerio de Hacienda y Crédito Público los cuales deberán ser girados desde el Patrimonio Autónomo al Fondo de Contingencias de las Entidades Estatales creado mediante la Ley 448 de 1998.</t>
  </si>
  <si>
    <t>Se informa al interesado que no se acepta su observación. Las Obras Sociales serán implementadas siguiendo las mismas reglas aplicables a las Obras Menores con las excepciones previstas en el contrato. Estas obras tienen como finalidad atender las necesidades solicitadas por grupos de interés o comunidades en general que permitan dar viabilidad al Proyecto. La ANI hará las consideraciones correspondientes analizando que las obras solicitadas sean representativas y de beneficio e interés general para la comunidad, sostenibles y que busquen contribuir al fortalecimiento del entorno social, atendiendo a los montos previstos en la sección 4.6 (j) de la Parte Especial del Contrato para esta subcuenta. En todo caso se considera que no tiene fundamento la preocupación del interesado pues el contrato indica claramente en la sección precitada que "una vez agotados estos recursos, no será obligación del Concesionario efectuar fondeos adicionales", y considerando además que estos montos fueron tenidos en cuenta dentro de la estructuración financiera del proyecto y por lo tanto ya se encuentran remunerados dentro de la retribución que se otorgará al concesionario al cumplir las condiciones requeridas.</t>
  </si>
  <si>
    <t>Se informa al interesado que no se acepta su observación. Los excedentes de cada una de las subcuentas del Patrimonio Autónomo ante la liquidación tendrán la destinación indicada en la Sección 18.2 que fue determinada teniendo en cuenta el manejo, finalidad y titularidad de los recursos en cada una de ellas.</t>
  </si>
  <si>
    <t>Se informa al interesado que no se acepta su observación. El riesgo de obtención del VPIP está asignado al Concesionario de acuerdo con la sección 13.2 (xviii) de la Parte General del contrato, y por lo tanto no es necesario incluir una compensación en caso de terminación sin haberse alcanzado el VPIP. Esta condición es perfectamente compatible con proyectos de APP en el entorno internacional y con la legislación colombiana y no se considera pertinente modificarla.</t>
  </si>
  <si>
    <t>Se informa al interesado que las TE son calculadas una a una tanto para la fórmula C como  para la fórmula F dependiendo de la etapa en que se realice la terminación anticipada del contrato y de las causales estimadas en la Sección 17.2 de manera que los valores de liquidación por terminación anticipada permitan cumplir con el repago de la deuda  para cada uno de los escenarios evaluados en la estructuración financiera.</t>
  </si>
  <si>
    <t>Se informa al interesado que no se considera procedente. Las TE son calculadas de manera que se puedan estimar valores de liquidación por terminación anticipada de manera que los valores de liquidación por terminación anticipada permitan cumplir con el repago de la deuda  para cada uno de los escenarios evaluados en la estructuración financiera.  Estas tasas también están alineadas con una una estructura de capital y costos del capital adecuados para el proyecto bajo condiciones de mercado y no es pertinente dejarla sujeta a variaciones inesperadas en las tasas de corto plazo o estructuras de capital que pongan en riesgo al proyecto. Se precisa en todo caso que la TE no está diseñada para reconocer la rentabilidad al inversionista  como indica el observante.</t>
  </si>
  <si>
    <t>Se informa al interesado que la Entidad realizará un ajuste al factor FAE para que permita cierta flexibilidad sobre la estructura de capital sin perder de vista que se deben cumplir los parámetros del marco project finance, ajustando este nuevo valor a 1.44.</t>
  </si>
  <si>
    <t xml:space="preserve">Se aclara al interesado que no se acepta su observación. La variable z permite acotar el periodo de actualización por TE de modo que no se incluya el periodo transcurrido desde el Mes de Suscripción del Acta de Reversión y hasta el Mes en que se suscriba el Acta de Liquidación del Contrato considerando que en este periodo el inversionista no tiene obligaciones constructivas y de operación y mantenimiento con sus riesgos inerentes. Nótese que en todo caso durante este periodo las sumas a reconocer se actualizan con  la inflación. </t>
  </si>
  <si>
    <t>Se aclara al interesado que no se acepta su observación. Tal y como se define dentro de esta variable en la fórmula, la misma solo tendrá valor " si es del caso su aplicación conforme a la Sección 10.6 de esta Parte General, siempre que no haya sido pagada...", por lo que la redacción ya está condicionada a su aplicabilidad de acuerdo con las circunstancias en las que ocurra la terminación anticipada, y no se puede desconocer el debido trámite sancionatorio a través del cual se determinará si procede tal imposición.</t>
  </si>
  <si>
    <t xml:space="preserve">Se aclara al interesado que efectivamente estas inversiones harán parte de la variable AR toda vez que independiente de que hayan revertido o no, la inversión realizada sobre dichos tramos en cada periodo h se allana a lo definido en los componentes del ARh y su reconocimiento tendrá el mismo tratamiento y condicionamiento que las demás intervenciones realizadas en el resto del corredor concesionado. </t>
  </si>
  <si>
    <t xml:space="preserve">Se aclara al interesado que los porcentajes de participación de UFs señalados en la Tabla 4.1 se incluyen únicamente en el Contrato Parte Especial toda vez que los mismos son exclusivos de cada proyecto y su efecto indirecto sobre la retribución está regulado en otras secciones del contrato. </t>
  </si>
  <si>
    <t>Se informa al interesado que no se acepta su observación. De acuerdo con la estructuración efectuada para el Proyecto, la ANI consideró razonable la inclusión de la Subcuenta Depósito Especial para este contrato cuyos recursos de destinación serán de libre disposición de la ANI y la porción restante del recaudo de peaje es suficiente para retribuir al Concesionario de este proyecto.  Con base en la estimación de los recursos netos para el proyecto (descontando los recursos para la subcuenta Depósito Especial) se considera que los mismos resultan suficientes para la ejecución del proyecto incluyendo el pago de la financiación y riesgos a cargo de la ANI hasta el monto previsto en la parte Especial. 
En todo caso se informa al interesado que se incorporará  soporte de ingresos para este contrato como mecanismo para compartir parte del riesgo comercial y facilitar la financiación del proyecto.  Esta regulación se presentará en la minuta que se publicará con el pliego definitivo.</t>
  </si>
  <si>
    <t>Se informa al interesado que se confirma la viabilidad del proyecto ya que la Entidad incorporará  el soporte de ingresos para este contrato como mecanismo para compartir parte del riesgo comercial y facilitar la financiación del proyecto.</t>
  </si>
  <si>
    <t>Se aclara al interesado que la asignación del riesgo comercial se va a compartir parcialmente para este proyecto incluyendo el Soporte de Ingresos para el Proyecto, que si bien, no compensa la totalidad del VPIP, compensa una parte en caso de reducción de tráfico y adicionalmente facilita la financiación del proyecto.</t>
  </si>
  <si>
    <t>Se aclara al interesado que la asignación del riesgo comercial se va a compartir parcialmente para este proyecto incluyendo el Soporte de Ingresos para el Proyecto, que si bien, no garantiza el 100% de los ingresos, compensa una parte en caso de reducción de tráfico y adicionalmente facilita la financiación del proyecto.
Respecto al comentario de elusión se sugiere al interesado aclarar a qué comentario obedece la pregunta.
Se informa al interesado que el riesgo de "efectos favorables y/o desfavorables derivados de las variaciones en los ingresos generados por la diferencia entre la fecha de Entrega de la Infraestructura (que incluye Estaciones de Peaje) establecida en el Contrato, y la fecha real de Entrega de la Infraestructura (que incluye Estaciones de Peaje)" no aplica para este proyecto porque de acuerdo con las secciones 1.56 y 1.125 de la tabla de referencias a la parte general, "Para este Proyecto la Entrega de la Infraestructura es una condición precedente para la suscripción del Acta de Inicio o expedición de la Orden de Inicio,  y por lo tanto no se pueden presentar efectos de las variaciones en los ingresos, pues el contrato inicia con la entrega de la infraestructura incluyendo las estaciones de peaje.</t>
  </si>
  <si>
    <t>Se aclara al interesado que el porcentaje de la Unidad Funcional 0 se aplicará sobre el Recaudo de Peaje remanente luego de habiendo descontado el monto correspondiente a la Subcuenta de Depósito Especial. Dicho lo anterior se informará en la minuta de Contrato Parte Especial que se publicará con los pliegos definitivos el valor de ese porcentaje que regirá durante la ejecución del contrato.</t>
  </si>
  <si>
    <t>Se aclara al interesado que las condiciones establecidas en el Proyecto actualmente respondieron precisamente a la intención de optimizar la liquidez del mismo, de manera que se considera que es eficiente. En ese sentido se aclara que:
  - No es posible incrementar el porcentaje destinado a la  UF0 de acuerdo con las limitantes establecidas para ello en la Ley 1508 y sus Decretos reglamentarios.
 - Asignar mayores porcentajes a las UF1- UF5 empeoraría significativamente la liquidez del proyecto, toda vez que tienen plazos de ejecución mayores que las otras Unidades Funcionales.
  - Los porcentajes y montos destinados al fondeo de las Subcuentas Depósito Especial y Contingencias, fueron estimados permitiendo que los recursos remanentes sean suficientes para ejecutar y retribuir adecuadamente las obligaciones del proyecto y por lo tanto no se considera pertinente disminuir estos porcentajes o montos.
   - Se aclara que el factor de calidad no tiene efecto en las fuentes de retribución del proyecto en la medida que es un elemento completamente optativo para cada proponente, asociado a la posibilidad de obtener mayor puntaje en la licitación.
Finalmente se aclara al interesado que la asignación del riesgo comercial se va a compartir parcialmente incluyendo el Soporte de Ingresos para el Proyecto, que si bien, no garantiza el 100% de los ingresos, compensa una parte en caso de reducción de tráfico y adicionalmente facilita la financiación del proyecto.</t>
  </si>
  <si>
    <t>Se aclara al interesado que no se considera procedente la observación. La sección referida no tiene relación con el mecanismo de DRs que se usaba en otros contratos, sino que se refiere a la compensación por riesgos de menor recaudo y hace alusión a su cómputo dentro del soporte de ingresos, en caso de que este aplique.  Se aclara al interesado que este contrato no contempla DRs, sin embargo, la asignación del riesgo comercial se va a compartir parcialmente  incluyendo el Soporte de Ingresos para el Proyecto, que si bien, no compensa la totalidad del VPIP, compensa una parte de los ingresos en caso de reducción de tráfico y adicionalmente facilita la financiación del proyecto.</t>
  </si>
  <si>
    <t xml:space="preserve">Se informa al interesado que las fuentes para los pagos derivados de riesgos a cargo de la ANI están regulados en la sección 13.4 de la parte general del contrato, referencia que está indicada dentro de la sección que cita el observante. No es necesario realizar ajustes.  Se aclara también que la ANI consideró la inclusión de la Subcuenta Depósito Especial para este contrato cuyos recursos de destinación serán de libre disposición de la ANI. </t>
  </si>
  <si>
    <t>Se informa al interesado que no se acepta su observación. Dado que es obligación del concesionario constituir el Patrimonio Autónomo y mantener la administración de los recursos a través del Contrato de Fiducia Mercantil, y que la facultad de solicitar el cambio de Fiduciaria por parte de la ANI está condicionada a incumplimientos de las obligaciones de ésta, es preciso que el Concesionario asuma todos los costos relacionados con el contrato de fiducia pero podrá a su vez determinar si proceden compensaciones y resarcimientos por parte de la Fiduciaria  en el caso de ocurrir dichos incumplimientos, y podrá plasmar esto en el Contrato de Fiducia Mercantil del cual no es parte la ANI.</t>
  </si>
  <si>
    <t>Se aclara al interesado que de acuerdo con la cláusula referida, la ANI podrá realizar traslados entre subcuentas de la Cuenta ANI (salvo las excepciones allí indicadas) y por lo tanto serán utilizados dichos recursos para los fines previstos en la regulación de la subcuenta destino. Esta cláusula fue incorporada para dotar a la ANI de un mecanismo para solventar eventuales problemas de liquidez entre las subcuentas en las que se permite el traslado, sin generar efectos negativos para el Concesionario.</t>
  </si>
  <si>
    <t xml:space="preserve">Se aclara al interesado  que el fondeo de esta subcuenta, incluso en un Evento Eximente de Responsabilidad es de vital importancia para la ejecución normal del contrato y por lo tanto no se considera procedente la solicitud. De igual manera y tal como se establece en la sección 14.2 (g), la entidad realizará las compensaciones correspondientes de acuerdo a las condiciones establecidas en las mismas.   </t>
  </si>
  <si>
    <t>Se informa al interesado que no se acepta su observación. De acuerdo con el numeral (7) de esta misma sección " La totalidad de los recursos adicionales aportados por el Concesionario de conformidad con lo previsto en la Sección 3.14(h)(vi)(6) anterior, serán pagados por la ANI para lo cual se aplicará mutatis mutandi el mismo procedimiento previsto en la Sección 13.4 de esta Parte General",  por lo cual este procedimiento está alineado con la de los riesgos de sobrecosto a cargo de la ANI.</t>
  </si>
  <si>
    <t>Se informa al interesado que no se acepta su observación. La ANI considera que el plazo establecido en la Sección 7.2 (f)(iii) para aprobación de la cuenta de cobro es razonable de acuerdo con los trámites necesarios al interior de la entidad y la experiencia en contratos 4G.</t>
  </si>
  <si>
    <t xml:space="preserve">Se informa al interesado que el Oferente deberá presentar los Anexos indicados en el Pliego de Condiciones. En todo caso, en el momento en que la ANI lo requiera, los Oferentes deberán aportar los Estados Financieros que soportan la información contenida en los referidos anexos. </t>
  </si>
  <si>
    <t>Se informa al interesado que su entendimiento es correcto. En todo caso, en el momento en que la ANI lo requiera los Oferentes deberán aportar los Estados Financieros que soportan la información contenida en los referidos anexos así como las correspondientes acreditaciones, designaciones y competencia al interior de la organización.</t>
  </si>
  <si>
    <t xml:space="preserve">Se informa al interesado que no se acepta su observación. El Concesionario deberá asumir las obligaciones tributarias correspondientes para aquellos Ingresos que reciba por concepto de la prestación de los Servicios Adicionales. </t>
  </si>
  <si>
    <t>Se aclara al interesado que no hay ningún fondeo a subcuenta algunda dentro de la sección referida. Por lo tanto no es procedente la observación.</t>
  </si>
  <si>
    <t>Se informa al interesado que no se acepta su observación por cuanto con estos recursos deberán pagarse todos los impuestos que se deriven del patrimonio autónomo y no los que estén unicamente en cabeza del Concesionario.</t>
  </si>
  <si>
    <t>Se informa al interesado que no se acepta su observación. La ANI considera que la redacción propuesta por el observante no es pertinente, ya que de presentarse este tipo de circunstancias originadas en un error de cálculo, se corregirá dicho error pero no se ajustará por IPC, dado que la retribución ya se está reconociendo en pesos corrientes.</t>
  </si>
  <si>
    <t>Se aclara al interesado que las condiciones establecidas responden a que la ejecución y el buen desarrollo del proyecto son del mayor interés para la Entidad, por lo tanto la Entidad requiere  contar con la certeza de que el concesionario cuenta con los recursos suficientes para la ejecución y finalización del proyecto.</t>
  </si>
  <si>
    <t xml:space="preserve">Se informa al interesado que no se acepta su observación. El literal (a) se refiere a la acreditación del Cierre Financiero y el literal (c) se refiere a cualquier cambio en los Prestamistas deberá ser notificado a la ANI, no únicamente al Cierre Financiero. </t>
  </si>
  <si>
    <t>Se informa al interesado que dichos términos son equivalentes, razón por la cual la entidad no considera necesario realizar aclaraciones adicionales.</t>
  </si>
  <si>
    <t>Se aclara al interesado que las condiciones establecidas en el contrato responden a que la ejecución y el buen desarrollo del proyecto son del mayor interés para la Entidad, por lo tanto la Entidad requiere  contar con la certeza de que el concesionario cuenta con los recursos suficientes para la ejecución y finalización del proyecto.  Sin embargo, la Entidad ampliará el plazo para acreditar el cierre financiero de acuerdo con la Sección 3.8 de la Parte General y la Tabla de Referencias de la Parte Especial, pudiendo acreditar el cierre financiero trescientos sesenta (360) Días contados desde la Fecha de Inicio aportando  a) el contrato de crédito suscrito y/o b) una certificación emitida por el Prestamista en la cual se indique al menos lo siguiente: (i) valor del crédito; (ii) acreedor; (iii) garantías; (iv) plazo para el pago; (v) tasa; (vi) condiciones para el desembolso.  Adicionalmente trescientos sesenta (360) Días contados desde la fecha de suscripción del Acta de Inicio de la Fase de Construcción deberá presentar el contrato de crédito suscrito o una certificación emitida por el (los) Prestamista(s) en la que conste que el contrato de crédito fue suscrito.  La redacción final respecto al cierre financiero estára contenida en la minuta parte general y parte especial que se publique con los pliegos de condiciones definitivos.</t>
  </si>
  <si>
    <t>Dentons Cárdenas &amp; Cárdenas, 16/07/2020</t>
  </si>
  <si>
    <t xml:space="preserve">En virtud de la Sección 5.6.4, “Para las Estructuras Plurales, la Entidad tendrá en cuenta la planta de personal del integrante de la Estructura Plural que aporte como mínimo el cuarenta por ciento (40%) de la experiencia requerida para el Proceso de Contratación”. 
Solicitamos:
a) Que se le permita a cualquier integrante de la Estructura Plural, independientemente del porcentaje de Experiencia en Inversión que haya acreditado e independientemente del porcentaje de participación en la Estructura Plural, acreditar el requisito de vinculación de personas en condición de discapacidad.
 Lo anterior, teniendo en cuenta que el artículo 2.2.1.2.4.2.6. del decreto 1082 de 2015 establece que: “Para efectos de lo señalado en el presente artículo, si la oferta es presentada por un consorcio, unión temporal o promesa de sociedad futura, se tendrá en cuenta la planta de personal del integrante del proponente plural que aporte como mínimo el cuarenta por ciento (40%) de la experiencia requerida para la respectiva contratación.” Dado que en esta licitación pública no habrá consorcios o uniones temporales (prohibidos por la ley de APPs) o promesas de sociedad futura, sino otro tipo de asociaciones que el pliego ha llamado “Estructuras Plurales” y dado que estas últimas no tienen la restricción establecida en el Decreto 1082 de 2015, consideramos que cualquiera de sus integrantes, sin importar su porcentaje de participación y sin importar si se trata o no de un Líder, puede acreditar el requisito correspondiente a la vinculación de personas en condición de discapacidad. 
     Adicionalmente, resulta altamente restrictivo exigir, en un contrato de concesión, que un miembro de la estructura plural, que simplemente acredite la contratación de personas en condición de discapacidad, deba acreditar el 40% de la experiencia exigida en el Pliego de Condiciones, ya que ello únicamente otorga el 1% de puntaje en la Licitación. 
b) Que nos confirmen que el compromiso de mantener en la planta de personal “el número de trabajadores con discapacidad de conformidad con lo dispuesto en la Ley 1618 de 2013 y el artículo 2.2.1.2.4.2.7 del Decreto 1082 de 2015” en los términos del Anexo 17 al Proyecto de Pliego de Condiciones,  se puede predicar de la eventual sociedad concesionaria y no del miembro del proponente (para cumplir con la finalidad de las normas de que dichas personas sean vinculadas a los proyectos).  Lo anterior es una razón más para mostrar que resulta irrelevante el porcentaje de participación del miembro del proponente que acredita tal cuestión.
Reiteramos que es totalmente desproporcionado el requisito de que quien acredite la contratación de personas en condición de discapacidad deba acreditar el 40% de la experiencia del proponente cuando, por ejemplo, para ser Líder se debe contar con un mínimo de 25% de participación en la estructura plural.
</t>
  </si>
  <si>
    <t xml:space="preserve">
Entendemos que si uno de los integrantes de la Estructura Plural contrata a la persona en condición de discapacidad, y obtiene la certificación del Ministerio del Trabajo para efectos de presentar con la oferta, en caso de adjudicación, la persona con discapacidad puede ser contratada posteriormente por el SPV o sociedad concesionaria, ajustándose obviamente a la normatividad laboral. Consideramos que esto es beneficioso para todas las partes involucradas, teniendo en cuenta que la sociedad concesionaria es la parte más estable de todas ya que su único propósito es ejecutar el Proyecto hasta la terminación del Contrato de Concesión, mientras que los accionistas tienen menos estabilidad y se pueden disolver o ceder su participación. 
 Por favor confirmar que nuestro entendimiento es correcto y que ese cambio de empleador, de un integrante de la Estructura Plural a la sociedad concesionaria, no será considerado por la ANI como un incumplimiento del contrato de concesión. 
</t>
  </si>
  <si>
    <t xml:space="preserve">Entendemos que, si el miembro de la Estructura Plural que contrató a la persona en condición de discapacidad enajena sus acciones en el SPV o sociedad concesionaria, el Concesionario puede contratar a dicha persona en condición de discapacidad, sin que por ello se configure incumplimiento del Contrato de Concesión. Solicitamos confirmar nuestro entendimiento. </t>
  </si>
  <si>
    <t xml:space="preserve">De conformidad con la Sección 4.1.5 (iv), quien aspire a ser Líder debe acreditar Experiencia en Inversión, entre otras cosas.  
De conformidad con la Sección 4.2.1, la Experiencia en Inversión puede ser acreditada con uno (1) o hasta cuatro (4) contratos. 
Agradecemos confirmar nuestro entendimiento, en el sentido de que si dos integrantes de la Estructura Plural aspiran a ser Líderes y, por lo tanto, los dos incluyen su Experiencia en Inversión en el Anexo 9, entendemos que la ANI revisará, validará y tendrá en cuenta proyectos presentados por los dos Líderes, independientemente del orden en el que los mismos se presenten. Lo anterior, aún en el caso de que con uno solo de los proyectos presentados por uno de los dos integrantes se cumpla con el monto mínimo exigido para acreditar la Experiencia en Inversión.  Solicitamos que nos confirmen nuestro entendimiento, ya que, en algunos casos, los integrantes de la Estructura plural quieren tener al menos dos Líderes. 
</t>
  </si>
  <si>
    <t xml:space="preserve">Entendemos que la entrega de los Estados Financieros por parte de los Oferentes (o de los miembros de una Estructura Plural) no es un requisito del Pliego de Condiciones para la acreditación de los Requisitos Habilitantes. En todo caso, de llegar a ser requeridos por la ANI, entendemos que los Estados Financieros se pueden entregar en copia simple y sin ninguna formalidad incluso si se refieren a una sociedad extranjera. Por favor confirmar nuestro entendimiento. </t>
  </si>
  <si>
    <t xml:space="preserve">Esta sección establece entre otros aspectos, la siguiente regla: “En caso de no haber contado con una participación mínima del veinticinco por ciento (25%) la experiencia será tenida en cuenta a prorrata de su participación en la estructura anterior”. 
Sobre este particular agradecemos confirmar a qué se refiere cuando se señalar que se tendrán en cuenta “a prorrata”, es decir (i) si la sociedad respectiva tiene un 24% de participación en la estructura anterior, para efectos de la Experiencia en Inversión ¿se tendrá en cuenta el 24% del monto del cierre financiero respectivo? o (ii) se aplicaría una fórmula para llegar a un porcentaje de ese 24% en relación con el 25% que (toda vez que ese 25% permite acreditar el 100% del valor del cierre financiero). Parecería que la segunda interpretación tiene más sentido en la medida que si por ejemplo el cierre financiero es de 100 pesos y la participación de la sociedad respectiva es del 25% se podría acreditar el total del cierre financiero, es decir 100 pesos, mientras que si en el mismo caso la participación es de 24% solo se podría acreditar 24 pesos a pesar de que la diferencia en participación es tan solo del 1%?  Agradecemos aclarar lo anterior.
</t>
  </si>
  <si>
    <t xml:space="preserve"> CCI, 21/07/2020</t>
  </si>
  <si>
    <t>3. Riesgo de las consultas previas que surjan durante la gestión contractual del proyecto
Este riesgo se encuentra consagrado en el numeral romano (iii) de la sección 13.2, parte general de la minuta, y es asignado al privado. Sobre esta distribución, expresamos varios reparos:
- En términos generales, el convenio 169 de la OIT señala que es responsabilidad de los gobiernos velar por los derechos de las comunidades y adelantar los procesos consultivos con estos grupos poblacionales.
- En un pronunciamiento de la Corte Interamericana de Derechos Humanos se condenó al Estado de Ecuador por no adelantar directamente el proceso de consulta previa con la comunidad indígena Kichwa de Sarayaku, argumentando, entre otras cosas, lo siguiente:
“Es necesario enfatizar que la obligación de consultar es responsabilidad del Estado, por lo que la planificación y realización del proceso de consulta no es un deber que pueda eludirse delegándolo en una empresa privada o en terceros, mucho menos en la misma empresa interesada en la explotación de los recursos en el territorio de la comunidad sujeto de la consulta”4 (resaltado fuera de texto).
- La ausencia de una ley estatutaria de consultas previas genera gran incertidumbre en la ejecución de cualquier proyecto. En efecto, son varios los cuestionamientos que se pueden formular por la ausencia de una regulación sobre la materia: (i) inexistencia de una disposición que obligue a la Dirección de Consulta Previas del Ministerio del Interior a adelantar un censo con el número y caracterización de comunidades étnicamente diferencias; (ii) incertidumbre respecto del alcance de la consulta previa y los derechos de las comunidades, lo cual se ha constituido en un instrumento de presión para frenar el avance de los proyectos; (iii) ausencia de criterios o reglas que permitan definir y mitigar los procesos de escisión o surgimiento de nuevas comunidades.
En tal sentido, sugerimos reconsiderar la asignación de este riesgo, lo cual beneficiará la financiación del proyecto, habida cuenta que en los sectores donde se ejecutarán las obras, se han presentado algunos casos preocupantes en materia de consultas previas.
De otra parte, queremos solicitar su valiosa aclaración sobre el entendimiento de los siguientes segmentos:
“(iii) Los efectos favorables y/o desfavorables derivados de los costos y las demoras en la gestión para la obtención de las Licencias Ambientales, Planes de Manejo Ambiental, conceptos y demás permisos de carácter ambiental, así como las gestiones, costos y demás actividades derivadas de los acuerdos de nuevas consultas previas con la comunidades étnicas y/o afrodescendientes y que sean requeridos durante la ejecución del Proyecto y para el cumplimiento de Indicadores en los términos de esta Parte General, toda vez que es obligación de resultado del Concesionario efectuar la Gestión Social y Ambiental y cumplir al respecto con la Ley Aplicable. Adicionalmente, salvo por las coberturas a cargo de la ANI expresamente previstas en el presente Contrato, de acuerdo con lo establecido en la Sección 8.1(d) de la Parte General, los efectos favorables y/o desfavorables derivados de los acuerdos que se generen como consecuencia de la(s) nueva(s) consulta(s) previa(s) protocolizadas durante la ejecución del Proyecto”.
Los apartes resaltados parecen indicar un mismo alcance. Sin embargo, teniendo en cuenta que la parte inicial del numeral romano (iii) señala que se trata de la asignación del riesgo por la gestión y obtención de licencias y permisos ambientales, se podría concluir que los únicos costos que debe asumir el ejecutor del proyecto en materia de consultas previas, serían aquellos que resulten durante los trámites ambientales, excluyéndose las consultas previas que se deben adelantar sin que sea necesario tramitar una licencia o autorizaciones de tipo ambiental.
4 Corte Interamericana de Derechos Humanos. Pueblo Indígena Kichwa de Sarayaku Vs. Ecuador. Sentencia del 27 de junio de 2012 (Fondo y Reparaciones), p. 56.</t>
  </si>
  <si>
    <t>4. Riesgo geológico previsto en el numeral romano xi
En el romano xi de la sección 13.2, parte general de la minuta, se observa el siguiente texto:
“(xi) Los efectos favorables y/o desfavorables de la variación en los costos asociados a las cantidades de obras requeridas para la prevención o solución de eventos geológicos. Se entenderá por eventos geológicos, el conjunto de amenazas o peligros para la infraestructura, recursos y las actividades humanas, derivadas de procesos geológicos de origen interno”.
Amablemente consideramos que este riesgo desconoce el mandato del artículo 4 de la Ley 1508 de 2012, porque se pretende responsabilizar al particular de una contingencia de imposible control y respecto de la cual no se reconocerán los costos por la implementación de medidas para su mitigación o solución integral.
Según el mandato del artículo 4, las Asociaciones Público Privadas deberán contar con una eficiente asignación de riesgos, atribuyéndose cada uno de ellos a la parte que esté en mejor capacidad de administrarlos, situación que podría desconocerse si el contratista asume aquellas consecuencias derivadas de procesos geológicos de origen interno, respecto de los cuales no existe un control razonable por parte de los contratistas, salvo que el objeto de la iniciativa tenga por finalidad la intervención definitiva de las contingencias geológicas.
En relación con este asunto particular, es necesario mencionar algunas decisiones de tribunales de arbitramentos sobre el riesgo geológico:
“Ha dicho el Tribunal que los fenómenos geológicos que afligen a la vía no eran desconocidos para las partes. Frente a esa situación, independientemente de la previsibilidad o no de los efectos y manifestaciones concretas y reales de esos fenómenos, a lo cual más adelante el Tribunal se referirá, resulta menester preguntarse el motivo por el cual la entidad pública concedente cuando elaboró el pliego y los estudios pertinentes, no reguló el tema en detalle, incluso, por ejemplo, para decir que las consecuencias que se derivaren de la situación geológica de la cordillera debían ser asumidas por el Concesionario. Independientemente de la validez jurídica o del alcance de una estipulación tal, lo cierto es que si la entidad quería trasladar el riesgo geológico al contratista debió así haberlo regulado. No debe perderse de vista que reguló aspectos atinentes a otros riesgos. Baste recordar ahora lo que se dijo en relación con el tráfico mínimo garantizado y con las mayores cantidades de obra.
Lo dicho conduce a que no es de recibo sostener que en virtud de la naturaleza del contrato de concesión, per se el contratista deba asumir a su costa las consecuencias de un fenómeno geológico de la naturaleza que ahora nos convoca. Podría hacerlo en una extensión semejante a la que se hubiera delimitado en cuanto expresamente se hubiere regulado el tema. Es decir que la entidad pudo haber “trasladado” el lindero del álea normal a un punto mayor a aquel que ahora se presenta. Lindero que en este caso se debe encuadrar dentro del mutismo de la entidad en términos de convención sobre el manejo de inestabilidades reales que en este caso ya se conocían desde muchos años atrás”.
Mas adelante señala el Tribunal:
“(Sic) Pero lo dicho implica que la entidad, entonces, debe asumir hacia el futuro los costos que demanden las obras necesarias para manejar y controlar las inestabilidades a un punto de salvaguardar el servicio adecuado de la vía?
A tal interrogante el Tribunal responde con un categórico NO. Ello se explica por lo siguiente: Una cosa es que el fenómeno bajo mención que se presenta en la Cordillera Oriental sea conocido por todos. Otra cosa tiene que ver con las consecuencias prácticas y reales que ese fenómeno produce y, además, con la solución definitiva dentro del marco conceptual y presupuestario del correspondiente proyecto. No encuentra el Tribunal elementos de juicio claros y contundentes que le permitan sostener que eran previsibles al momento de presentar la oferta, las consecuencias y soluciones reales que se derivaban de la situación, esa sí conocida, de la montaña. Ni la entidad ni el contratista lo previeron ni cree el Tribunal que estaban en condiciones de hacerlo, dada la información y documentación con que se contaba en el momento. El Tribunal insiste que hasta la fecha esa “solución mágica” que se acomode a las características del proyecto no ha aparecido”5.
En otro caso de una concesión departamental, el tribunal fue enfático en destacar el alcance de las obligaciones sobre la materia:
“Cabe precisar que si bien el Departamento advirtió en el Pliego que dicha información tendría carácter referencial y que las soluciones técnicas y las cantidades de obra que se incluirían en el Contrato serían las propuestas por el Concesionario; dicha estipulación no puede entenderse como una exoneración de la responsabilidad del Departamento derivada de la información suministrada a los proponentes, como quiera que la misma devendría ineficaz a la luz de lo dispuesto en el literal d) del numeral 5. del Artículo 24 de la Ley 80 de 1993. Por el contrario, para el Tribunal la referida previsión supone que el Concesionario tenía el derecho a asumir, como referencia para la elaboración de su Oferta, que los ítemes de obra incluidos en las cantidades de obra estimadas por el Departamento serían los que tendría que utilizar para la ejecución de sus obligaciones de construcción –a menos de que propusiera soluciones técnicas alternativas-, lo cual le permitía considerar, como lo hizo, que al no existir dentro de las cantidades de obra previstas por el Departamento los ítemes necesarios para la construcción de obras y estructuras especiales de contención y de drenaje, éste tipo de obras no hacían parte del alcance físico del Contrato.
(…)
En efecto, si tal hubiera sido la intención del Departamento, ello no quedó plasmado en el Pliego, y si se considerara que sí fue contemplado, habría de concluirse que no se estableció con la claridad requerida y exigible a quien prepara los términos de una licitación (de una parte se dispone que le corresponde al concesionario la atención de los sitios críticos en dos trayectos de la carretera, pero de otra no se incluyen en la información de referencia los ítemes necesarios para la construcción de las obras y estructuras especiales para su tratamiento), lo que lleva de suyo que ante la disyuntiva interpretativa derivada de la falta de claridad, que solamente el Departamento habría podido evitar, el Tribunal ha de optar por la aplicación de las reglas del artículo 1624 del Código Civil (in dubio pro debitore y contra proferentem), complementadas en materia de contratación estatal por el Artículo 26, numeral 3 de la Ley 80 de 1993, que determina la responsabilidad de la administración por la elaboración del Pliego en forma incompleta o confusa, de manera tal que ha de aceptarse que la obligación del Concesionario en materia de sitios inestables consistía en llevar a cabo los tratamientos convencionales para su atenciónquedando las obras y estructuras especiales por fuera del ámbito obligacional del Contrato”6.
Con fundamento en las anteriores decisiones, se pueden plantear varias conclusiones sobre la asignación del riesgo geológico en proyectos de infraestructura de transporte: (i) la existencia de información detallada sobre las condiciones o circunstancias de tipo geológico que afectan la ejecución del proyecto, son de gran importancia para delimitar el alcance de las obligaciones respecto de este tipo de contingencia; (ii) el riesgo solo se debe asignar si se acuerda contractualmente las intervenciones y obras que se requieren efectuar sobre fallas geológicas, sitios inestables o puntos críticos; (iii) Es necesario retribuir al contratista por asumir el riesgo geológico en aras de garantizar una asignación eficiente y preservar el equilibrio económico del contrato; (iv) salvo por los casos de fuerza mayor asegurable y por las soluciones integrales que tenga por objeto atender eventos de tipo geológico, en ausencia de las previsiones señaladas anteriormente, no sería posible imputar al responsable de un proyecto las afectaciones en la infraestructura o en la ejecución del contrato que tenga como causa procesos de orden geológico. 
5 Laudo del 29 de julio de 2004, en la controversia sostenida entre Concesionaria Vial de los Andes S.A. contra el INVIAS.
6 Laudo del 26 de enero de 2011, en una controversia sostenida entre el Departamento de Cundinamarca contra la Concesionaria Panamericana S.A.</t>
  </si>
  <si>
    <t>5. Riesgos relacionados con la variación de los costos respecto de la entrega de la infraestructura
En lo que concierne a esta contingencia, prevista en el numeral romano (xiii) de la sección 13.2, es importante precisar que la fecha de entrega de la infraestructura debería ser un término vinculante para las partes, habida cuenta que el momento de la entrega de la infraestructura es un hito importante para el inicio de las obligaciones asociadas al proyecto.
De mantenerse la redacción actual, se generarían consecuencias importantes para los responsables del proyecto. Para destacar nuestra preocupación, nos referiremos algunos casos particulares sobre los impactos por la entrega tardía de la infraestructura:
(i) La extensión del plazo de entrega de la infraestructura podría incidir en la deflectometría de la vía, lo que acarrearía mayores actividades constructivas o de mantenimiento, distintas a las estimadas al momento de la presentación de la propuesta.
(ii) En sitios con inestabilidades geológicas o sectores con puntos críticos, el mayor plazo podría tener implicaciones sobre el alcance de las intervenciones que se deben acometer durante la ejecución del proyecto, situación que no es contemplada al momento de estructurar una oferta.
(iii) En algunos casos puntuales, la tardanza en la entrega de la infraestructura podría representar cambios en el tipo de intervención por la ocurrencia de fenómenos climáticos que afecten las condiciones del suelo7.
Así las cosas, la fecha de la entrega efectiva de la infraestructura debería ser vinculante para la entidad, razón por la cual, no debería asignarse al contratista el riesgo de mayores costos de construcción por razones asociadas a las demoras en la entrega de la infraestructura.
Dra. Cardona, atendiendo a sus buenos oficios, agradecemos tener en cuenta nuestras reflexiones sobre la minuta de contrato, y sus apéndices, del proyecto Nueva Malla Vial del Valle del Cauca, las cuales propenden por el éxito de la adjudicación y el desarrollo del programa.
6 Laudo del 26 de enero de 2011, en una controversia sostenida entre el Departamento de Cundinamarca contra la Concesionaria Panamericana S.A.
7 Aunque en el caso del sector 1 de la Ruta del sol no se presentó una demora en la entrega de la infraestructura, las condiciones en el suelo variaron con ocasión de eventos geológicos y climáticos que se presentaron durante la ejecución del proyecto.</t>
  </si>
  <si>
    <t>Gómez-Pinzón Abogados, 21/07/2020</t>
  </si>
  <si>
    <t xml:space="preserve">Mediante correo electrónico del día 15 de mayo de 2030, presentamos observaciones al proyecto de pliego de condiciones conforme a la sección 2.6 del pliego de condiciones.
Sin embargo, en el documento denominado "Respuesta a las observaciones al proyecto de pliego de condiciones" no se incluyeron todas las observaciones realizadas. 
Asimismo, conforme la numeración de observaciones del documento "Respuesta a las observaciones al proyecto de pliego de condiciones" parecieran haber observaciones y respuestas no incluidas adicionales a las presentadas por Gómez Pinzón Abogados. 
Por todo lo anterior, solicitamos se respondan todas las observaciones presentadas a la fecha por Gómez-Pinzón Abogados y todos los interesados </t>
  </si>
  <si>
    <t>Se solicita eliminar el requisito de presentar junto con la oferta traducciones oficiales al español, atendiendo a recomendaciones como las de Colombia Compra Eficiente (Circular Externa No. 17 de 11 de febrero de 2015), conforme a la cual el proponente puede presentar con la oferta una traducción simple al castellano y, de resultar adjudicatario, deberá presentar la traducción oficial al
castellano de los documentos presentados en idioma extranjero.</t>
  </si>
  <si>
    <t>Jurídica – Estructuración/Contratación</t>
  </si>
  <si>
    <t>Financiera – Jurídica</t>
  </si>
  <si>
    <t>Financiera – Riesgos</t>
  </si>
  <si>
    <t>Jurídica – Estructuración</t>
  </si>
  <si>
    <t>Técnica – Ambiental</t>
  </si>
  <si>
    <t>Técnica – Predial</t>
  </si>
  <si>
    <t>Jurídica – Sancionatorios</t>
  </si>
  <si>
    <t>Se informa al interesado que las fechas actuales de la entrada en operación de los proyectos se describen a título informativo, lo cual se deduce del estado de los procesos precontractuales y del desarrollo de los proyectos, y que puede tener modificaciones incluso por la contingencia COVID-19, a saber:
- Autopista Buga - Loboguerrero - Buenaventura: Inicio de construcción 2023 e inicio de operación 2028, lo anterior si se realiza la contratación del corredor completo en 2021.
- Autopista Mulaló - Loboguerrero: Respecto al proyecto Mulaló - Loboguerrero, la fecha de entrada en operación aún no se encuentra definida en tiempos reales, esto en razón a que no se ha obtenido la licencia ambiental para el proyecto. 
- Conexión Pacífico 3: Inicio de construcción 30 de octubre de 2015. Según el informe ejecutivo carretero de diciembre de 2019 la fecha prevista de terminación de obra es el 2 de octubre de 2021.
- Autopista Popayán - Santader de Quilichao: Aun no cuenta con fecha de inicio de construcción ni contrato de crédito. El plazo de construcción desde el inicio de la fase de construcción es de 4 años.
- Autopista Rumichaca - Pasto: Inicio de construcción 15 de febrero de 2017. La fecha prevista de terminación de obra es febrero de 2021.</t>
  </si>
  <si>
    <t>Se informa al interesado que las series de volúmenes proyectados para las categorías especiales se muestran en el capítulo 8.11. del Estudio de Tráfico y Demanda. Dentro de este análisis se incluyeron los volúmenes históricos de categorías especiales en los peajes donde de acuerdo con las resoluciones existentes se establecen las condiciones de aplicación y los beneficiarios de las tarifas especiales. Asi mismo se precisa que se publicarán las actuales resoluciones que regulan lo referente a las categorías especiales diferenciales. El crecimiento de las categorías (IE y IIE) se tomó con las mismas tasas de crecimiento que la de las categorías I y II en cada peaje.</t>
  </si>
  <si>
    <t xml:space="preserve">Se informa al interesado que los perfiles para definir la profundidad y el desempeño de los pilotes propuestos, se estimaron de acuerdo con las zonas homogéneas definidas a partir de exploraciones cercanas o de fuentes secundarias. Igualmente se aclara que la información estará disponible a título meramente informativo acorde con las condiciones de la Sección 1.7 Cuarto de Información de Referencia del Pliego de Condiciones. </t>
  </si>
  <si>
    <t>Se informa al interesado que para la Unidad Funcional 3 y la segunda calzada de la unidad funcional 4 no se realizaron mediciones deflectométricas por tratarse de tramos de nueva construcción. Los cálculos estructurales y deflexiones del tramo existente de la Unidad Funcional 4 se clasificaron inicialmente en el corredor 1, lo cual se aclarará en el Cuarto de Información de Referencia. Por otro lado, la Unidad Funcional 5 presenta dentro de su informe en el numeral relacionado con resultados de campo, el resultado y análisis de las mediciones con FWD, tambien cuenta con su respectivo anexo en el cuarto de datos. Se aclara que esta información estará disponible a título meramente informativo acorde con las condiciones de la Sección 1.7 Cuarto de Información de Referencia del Pliego de Condiciones.</t>
  </si>
  <si>
    <t>Se informa al interesado que se cuenta con información de mediciones de la UF4 que se complementará en el Cuarto de Información de Referencia. Se aclara que esta información estará disponible a título meramente informativo acorde con las condiciones de la Sección 1.7 Cuarto de Información de Referencia del Pliego de Condiciones. 
Por otra parte, en la UF5 la intervención contempla la reposición de carpeta, por lo que no se tomaron ahuellamientos.</t>
  </si>
  <si>
    <t>Se informa al interesado que si bien no se realizaron micromodelaciones de colas, las tasas de operación de los peajes existentes se verificaron con los volúmenes aforados en períodos de 15 minutos. Esto aforos se incluirán en el Cuarto de Información de Referencia. Se aclara que esta información estará disponible a título meramente informativo acorde con las condiciones de la Sección 1.7 Cuarto de Información de Referencia del Pliego de Condiciones.</t>
  </si>
  <si>
    <t>Se informa al interesado que los conos de aproximación se incorporaron en los planes de mantenimiento de los segmentos adyacentes, los cuales se encuentran en los anexos de las carpetas CII. Igualmente se informa que las losas rígidas se identificaron en buen estado, y los mantenimientos se estimaron en las actividades rutinarias.</t>
  </si>
  <si>
    <t>Se informa al interesado que las intervenciones de la tabla 9-40 se aplican según el abscisado de los sectores homogéneos, y por calzada, en el programa de mantenimiento. Para el corredor 1, se muestra este programa de mantenimiento detallado a partir de la página 261. En todos los volúmenes se incluye como anexo el programa de mantenimiento con la relación de intervenciones por abscisado de los sectores homogéneos. Se aclara que esta información estará disponible a título meramente informativo acorde con las condiciones de la Sección 1.7 Cuarto de Información de Referencia del Pliego de Condiciones.</t>
  </si>
  <si>
    <t>Se informa al interesado que se incluyeron anexos en formatos abiertos de la información utilizada en los modelos de tránsito, así como los archivos de base de los modelos en la carpeta 0AI27 del Cuarto de Información de Referencia. Adicionalmente se aclara lo siguiente por cada aspecto observado: 
1, 2 y 3. Se incluirá información de los volúmenes de las estaciones de peaje a partir de octubre de 2018 hasta abril de 2020 suministrada por INVIAS. 
4. Los archivos de zonificación georeferenciados se encuentran en la carpeta 0AI27. Se incluirá la información en otra versión de formato de base de datos geográfica para facilitar la lectura de los datos georeferenciados.
5. El índice de zonas se incluirá como archivo en hoja de cálculo.
6. La inforrmación histórica de peajes anterior a 2018 se puede consultar en los datos públicos de ANI: https://www.ani.gov.co/estadistica-trafico-y-recaudo
7. El tipo de carga transportada está en las encuestas OD de vehículos de carga de la carpeta 0AI27 en la columna "Carga transportada" junto con el peso aproximado.
Se aclara que la información del Cuarto de Información de Referencia se incluye a título meramente informativo de acuerdo con las condiciones de la Sección 1.7 del Pliego de Condiciones.</t>
  </si>
  <si>
    <t>Se informa al interesado que el entendimiento es correcto en el sentido que siempre que suceda la Entrega de la Infraestructura del tramo Cali-Candelaria, es decir se le entregue al Concesionario las dos (2) calzadas, persistirá el alcance de Intervención de Puesta a Punto en las calzadas de este tramo. Sin embargo, se aclara que el monto de CAPEX allí expresado, de acuerdo con las notas de la Sección 3.6(f), sólo será tenido en cuenta como valor de referencia para el evento en el que estas obligaciones sean excluidas. En el caso que sí suceda la Entrega de la Infraestructura, las Intervenciones de Puesta a Punto serán las necesarias para cumplir las Especificaciones Técnicas y su costo hará parte de los riesgos a cargo del Concesionario descritos en la Sección 13.2 de la Parte General.</t>
  </si>
  <si>
    <t>Se informa al interesado que no se encuentra conveniente acortar los plazos y no se acoge su solicitud, pues los plazos de antelación para este procedimiento de presentación del plan de desvíos, corresponden al tiempo de revisión de la Interventoría y posterior trámite de autorización que debe obtener el Concesionario ante la autoridad competente para los trabajos que alteren la circulación en las vías públicas, esto de acuerdo con el Código Nacional de Tránsito Terrestre.</t>
  </si>
  <si>
    <t>Se informa al interesado que la frecuencia de los avisos será definida por el Concesionario considerando la pertinencia de la información y los patrones de uso de las vías, de forma que la radiodifusión apoye las actividades de Operación sobre el corredor. Se informa que se aclararán las condiciones mínimas de tiempo al aire de esta condición en el Apendice Tecnico 2, y se publicará con los documentos del Pliego de Condiciones Definitivo.</t>
  </si>
  <si>
    <t>Se informa al interesado que su apreciación no es correcta. Se aclara que la condición mínima exigida es la de adaptación de al menos un carril existente por sentido del flujo para el recuado electrónico vehicular. Sin embargo, la definición del número total de carriles y en cuántos se incluye la tecnología de recuado electrónico vehicular deberá hacerse para cumplir con el indicador O3 y O3-1 de cola de peaje del Apéndice Técnico 4 y su definición corresponde al Concesionario en los Estudios de Detalle.</t>
  </si>
  <si>
    <t>Se informa al interesado que la información de zonificación se presenta en bases de datos en los anexos del estudio de tráfico. Se incluirán los archivos de zonificación en otra versión para facilitar su consulta, junto con el listado de identificación de zonas modeladas en los anexos de la carpeta 0A del Cuarto de Información de Referencia. Se aclara que esta información estará disponible a título meramente informativo acorde con las condiciones de la Sección 1.7 Cuarto de Información de Referencia del Pliego de Condiciones.</t>
  </si>
  <si>
    <t>Se informa al interesado que la Entidad no considera que pueda interpretarse que las decisiones del Director del Proyecto tendrán efecto de modificar los términos y/o las obligaciones del Contrato, dado lo anterior no se acepta su observación.</t>
  </si>
  <si>
    <t>Se informa al interesado que para el proyecto en cuestión, las exclusiones aplicables suceden si se encuentra en los Planes de Ordenamiento Territorial o Departamental pertinentes, o en el RUAPP. Al encontrarse el tren de cercanías mencionado en la observación dentro de los proyectos de los Planes de Ordentamiento Departamental del Valle del Cauca y en los Planes de Ordenamiento Territorial de Palmira, no se lista por aparte porque depende de las definiciones que otorgan esos mismos planes.</t>
  </si>
  <si>
    <t>Se informa al interesado que acorde con los proyectos relacionados en la Sección 1.55 de la tabla de referencias a la Parte General, en la Parte Especial del Contrato, dicho proyecto no será considerado en el concepto de Elusión si se encuentra incorporados en los Planes de Ordenamiento Territorial o Departamental pertinentes, por lo tanto el interesado debe evaluar si el proyecto mencionado corresponde con los trenes de cercanías incluidos en el Plan de Ordentamiento Departamental del Valle del Cauca y el Plan de Ordenamiento Territorial de Palmira.</t>
  </si>
  <si>
    <t>Se aclara que la Unidad Funcional 0 irá absorviendo la infraestructura de las demás Unidades Funcionales, una vez se suscriba el Acta de Terminación Parcial o Acta de Terminación, salvo lo que respecta a los tramos en los que se aplique la Reversión Especial. 
La Unidad Funcional 0 inicia con la infraestructura existente y se extenderá hasta cubrir toda la infraestructura proyectada. Esta UF0 se define con indicadores que se enfocan principalmente en actividades de Operación y mantenimiento rutinario que se miden desde el Acta de Inicio, los cuales tendán una gradualidad en su valor de aceptación desde la Etapa Preoperativa, y a medida que se suscriben las Actas de Terminación de Unidad Funcional se hacen exigibles los valores de aceptación de  Operación y mantenimiento rutinario plenos y así a lo largo de la Etapa de Operación y Mantenimiento.
Los tramos del Factor de Calidad estarán cubiertos por indicadores de la Etapa Preoperativa que cubren las actividades de operación durante las obras de construcción enfocadas a condiciones mínimas de operación y seguridad vial. Este aspecto será compementado en las obligaciones de los Apéndices Técnicos 2 y 4.
El resto de las Unidades Funcionales (UF1, UF2, UF3, UF4 y UF5) cubren las Intervenciones que se requieren para completar la infraestructura proyectada y serán objeto de medición de indicadores una vez de suscriban las Actas de Terminación o Actas de Terminación Parcial, que se enfocan principalmente en actividades de mantenimiento periodico.
En razón de lo expuesto, una vez se obtengan las Actas de Terminación o Terminación Parcial, en cada tramo se aplicarán en forma confunta los indicadores de la UF0 que se enfoca en en actividades de Operación y mantenimiento rutinario, junto con los indicadores de la Unidad Funcional que le corresponda a ese mismo tramo (ya sea UF1, UF2, UF3, UF4 o UF5) que se enfocan en las actividades de mantenimiento periódico.
Los indicadores  de la  Tabla 4 recogen la definición para las seis Unidades Funcionales aplicables en el  cálculo del Índice de Cumplimiento por Unidad Funcional.</t>
  </si>
  <si>
    <t>Se informa al interesado que el alcance de las obras de Factor de Calidad será aclarado en los documentos del Pliego de Condiciones Definitivo para que estas se desarrollen en los corredores viales existentes. En concordancia con la Ley 1228 de 2008, estos alcances al no correponder con cambios de categoría ni ampliaciones no se requiere la adquisición de las fajas determinadas en el Artículo 2 de dicha Ley.</t>
  </si>
  <si>
    <t>Se informa al interesado que en la Sección 3.3.3.2.3 no hay restricciones acerca de la estrategia que utilizará el Concesionario para difundir la información de forma permanente, lo cual podrá ser planteado incluyendo pautas en uno o varios canales que cubran toda a zona del Proyecto. Se aclara que se definirán condiciones de un mínimo de pautas y tiempo al aire en el Apendice Tecnico 2, y se publicará con los documentos del Pliego de Condiciones Definitivo.</t>
  </si>
  <si>
    <t>Se informa al interesado que las condiciones de los carriles de cobro semiautomático serán definidas por el Concesionario según la Ley Aplicable. De otra parte, para la adopción del sistema IP/REV regulado por el Ministerio de Transporte, el costo de las instalaciones de lectura y las comisiones del intermediador estarán cargo del Concesionario quien desempeña el rol de operador.</t>
  </si>
  <si>
    <t>Se informa al interesado que el Concesionario deberá de llevar a cabo la evaluación de la infraestructura existente (obras de drenaje incluidas) y proponer las actuaciones necesarias para su buen funcionamiento cumpliendo las Especificaciones Técnicas. Esto puede implicar la demolición de obras de drenaje existentes y construcción de nuevas, para cumplir con la capacidad hidráulica que arrojen las conclusiones de los Diseños de Detalle a desarrollar por el Concesionario en la Fase de Preconstrucción, o como producto de dichas conclusiones pudiera implicar solo el mantenimimento los actuales elementos de drenaje, dadas sus condiciones. 
En cuanto a las cunetas que no existan, y que hagan parte de tramos cuya intervención sea Rehabilitación, no se tendrá obligación de construcción a menos que estas sean necesarias para el cumplimiento de los indicadores y seguridad vial, lo cual no indica que sea una Intervención de Mejoramiento porque no implica mejoras de capacidad ni nivel de servicio de la vía.</t>
  </si>
  <si>
    <t>respuesta enviada por juan camilo el 29 de julio</t>
  </si>
  <si>
    <t>KMA Construcciones-Grupo Ortiz. 30/07/2020</t>
  </si>
  <si>
    <t>En el cuarto de datos no se encuentran los diseños ni los planos  de ninguna especialidad en relación con los Puentes Peatonales, así como tampoco su ubicación para ninguno de los tramos de las Unidades Funcionales que presentan en el Apéndice Técnico 1. Se solicita incluir en la información del cuarto de datos</t>
  </si>
  <si>
    <t>No se encuentran planos estructurales ni cantidades donde se prevean muros de acompañamiento para los estribos de los puentes. Se solicita incluir en el cuarto de datos</t>
  </si>
  <si>
    <t>No se encuentra prediseño o estudios de suelos donde se justifique el pilotaje propuesto para los puentes nuevos de las unidades funcionales 3 y 4. Se solicita incluir en el cuarto de datos</t>
  </si>
  <si>
    <t>No se encuentra pre-diseño o justificación del dimensionamiento de la estructura metálica de los puentes tipo placa y vigas de acero nuevos de las unidades funcionales 3 y 4. Se solicita incluir en el cuarto de datos</t>
  </si>
  <si>
    <t>Se solicita confirmar el ancho de calzada en los sitios de puentes nuevos de las unidades funcionales 3 y 4. En planos se menciona 11.10m y en memorias 11.90m.</t>
  </si>
  <si>
    <t>La cimentación mostrada en los planos estructurales de la intersección Versalles no coincide con la cimentación propuesta por el estudio de suelos, sin embargo los planos tienen una marca de agua que dice: "SE ESTÁ AJUSTANDO, EL PROYECTO, DE ACUERDO AL ESTUDIO DE SUELOS, RECIBIDO EN DICIEMBRE, EL CUAL ARROJO QUE EN LA ZONA SE TIENEN PROBLEMAS DE LICUEFACCIÓN." ¿Se van a actualizar los planos estructurales de la solución de contención propuesta?</t>
  </si>
  <si>
    <t>Las carpetas D1 y D2 tienen la información repetida. ¿Se tiene alguna información adicional de la carpeta D2?</t>
  </si>
  <si>
    <t>D3111
D4111
D31211
D41211
D31221
MV-C03-GG-PL-001-R0</t>
  </si>
  <si>
    <t xml:space="preserve">G12622
P.N.V 030817 JBT </t>
  </si>
  <si>
    <t>Carpeta D1 y D2 cuarto de datos</t>
  </si>
  <si>
    <t>No se encontraron las cantidades ni los diseños del puente sobre la vía férrea en el Tramo 2 de la UF 5 que se va a construir doble calzada entre las intersecciones Cencar y Americas. Se solicita incluir.</t>
  </si>
  <si>
    <t>¿Se ha realizado algun inventario de puentes con cantidades para mantenimiento en los tramos de la UF5?</t>
  </si>
  <si>
    <t>Se solicita incluir las cantidades de obra de los mantenimientos de los puentes existentes de las unidades funcionales UF2 y UF4, ya que en el informe MV-C01-ST-IF-001-R0 se presenta el inventario con las acciones de mantenimiento, pero no se incluyen las cantidades</t>
  </si>
  <si>
    <t>No se encontró en ninguno de los volúmenes del cuarto de datos algún documento o referencia de estudio de divagación del Río Cauca, el cual puede afectar sobre la proyección de nuevas estructuras sobre el Cauce y de obras de protección de socavación. En especial para las Unidades Funcionales 1 y 4. Se solicita incluirlo en el cuarto de datos.</t>
  </si>
  <si>
    <t>No se encontró la cuantificación ni la procedencia de las llantas de confinamiento y protección de terraplenes índicados en la UF3. Se solicita incluirlo en el cuarto de datos.</t>
  </si>
  <si>
    <t>En las características geométricas y técnicas de entrega de cada tramo para vías a cielo abierto, se encuentra inconguencia en que se cumplan los requisitos técnicos conforme a lo existente en los corredores y sin embargo se cumpla con lo dispuesto en el POT municipal y ley 105.</t>
  </si>
  <si>
    <t>UF 1 Tramo 1
No se encontró diseño geométrico del tramo de la curva don Otto</t>
  </si>
  <si>
    <t>UF 1 Tramo 9
De la Interseccion Parque del Azúcar no se encontraron diseños de geometría  ni cantidades por parte del estructurador.
Solamente esquema de bordes de la glorieta propuesta.</t>
  </si>
  <si>
    <t>UF 1 Tramo 9
De la Interseccion Versalles se encontraron diseños, proyectando un puente sobre la calle 42 sin embargo, no se encuentran los diseños geométricos del deprimido que se mencionan en el Apéndice Técnico 1.</t>
  </si>
  <si>
    <t xml:space="preserve">UF 2 Tramo 2
Variante El Bolo - solo se encontró un archivo PDF con el diseño de la variante, no contiene perfil de terreno natural ni informacion de Topografia, donde se obtenga un perfil de la zona y defina la intervención </t>
  </si>
  <si>
    <t>UF 2 Tramo 2
En el apéndice técnico menciona para la variante El Bolo puesta a punto y mantenimiento de las dos calzadas. La variante el Bolo esta proyectada como calzada sencilla con dos carriles y bermas.</t>
  </si>
  <si>
    <t>UF 2
Obras especiales que como mínimo debe ejecutar el concesionario.
No se encontró informacion por parte del estructurador a ninguno de los temas especificos de esta tabla, no hay ubicación, no hay diseños, no hay cantidades.</t>
  </si>
  <si>
    <t>UF 4
En la construcción de la segunda calzada se debe aclarar que corresponde a la duplicación de la calzada existente y no definir el cumplimiento de la velocidad 80Km/h, radio mínimo de 229 y cumplimiento de la norma, ya que en el cumplimiento de velocidades específicas pueden quedar curvas con velocidad de 100 Km/h  (radio minimo de 394 m) y en este caso se ampliaría la afectacion predial en la zona.</t>
  </si>
  <si>
    <t>UF 3
El análisis de velocidades específicas, el estructurador no lo realizó con una justificación no aplicable en la geomorfología del proyecto. (Ver A1211, numeral 7.4 pag. 41 de 49), adicional a esto el apéndice técnico únicamente contempla el mejoramiento de la vía, sin excepciones.</t>
  </si>
  <si>
    <t>UF5 Reversión Especial
No se encontró el diseño en planta y perfil del deprimido, ni secciones transversales, no se encontraron perfiles de los ramales de la interseccion ni cantidades.</t>
  </si>
  <si>
    <t>UF1
Factor de calidad
La vía La Herrradura - Matapalo, no se encontraron diseños, ni cantidades.</t>
  </si>
  <si>
    <t>UF1
Factor de calidad
En la vía La Herrradura - Matapalo, se encuentra incongruencia en la velocidad de operación de 50 Km/h que requiere radio mínimo de 73 m y el radio minimo de 40 m, adicional es una via terciaria y según el Manual de Diseño contempla para este tipo de vias una velocidad maxima de 40 Km/h</t>
  </si>
  <si>
    <t xml:space="preserve">UF1
Reversión Especial
Vía Palmira - Pradera
Aclarar que la intervención corresponde a duplicación de la calzada existente y no construccion de una doble calzada
</t>
  </si>
  <si>
    <t xml:space="preserve">UF1
Reversión Especial
Via Palmira - Candelaria
El estructurador contempla en la intervención añadir bermas a ambos costados de la calzada en los tramos que no tiene y ampliación de las existentes a 2.0 m, comenta que la calzada mejorada cumple las especificaciones de la ley 105, particularmente en lo que respecta a los anchos de sección.
El diseño propuesto no cumple con entretangencia máxima para velocidad de 80 Km/h, lo cual implica ajuste a la geometria horizontal
</t>
  </si>
  <si>
    <t>UF1
Reversión Especial
Via Palmira - Candelaria
Se debe contemplar el análisis de velocidades específicas dado que el estructurador no lo realizó con una justificación no aplicable en la geomorfología del proyecto. (Ver A1211, numeral 7.4 pag. 41 de 49).</t>
  </si>
  <si>
    <t>UF1
Reversión Especial
Vía Palmira - Candelaria
Aclarar porque los chaflanes presentados en la planta no son conincidentes con los de las secciones transversales</t>
  </si>
  <si>
    <t xml:space="preserve">UF2
Variante El Bolo
Las cordenadas estan desplazadas con respecto al tramo de variante que existente, no se tiene informacion de topografia, ni linea de terreno para contemplar la altura del terraplen a construir. 
</t>
  </si>
  <si>
    <t>En la Tabla 7 para la intersección Guacarí-Ginebra, se solicita confirmación de las coordenadas que se encuentra en la columna de Coordenadas de los límites de intervención, ya que parece ser que la coordenada Este no corresponde al Sistema de Coordenadas que está utilizando el proyecto.</t>
  </si>
  <si>
    <t>En la Tabla 7, la "Intersección Acceso Sur Guacarí" e "Intersección Vía Ingenio Pichichi" tienen las mismas coordenadas Este y Norte de las columnas 3 y 4 de la tabla. Por favor confirmar las coordenadas de cada una de las intersección y las coordenadas de los límites de la intervención.</t>
  </si>
  <si>
    <t xml:space="preserve">Deprimido Versalles. En la Carpeta G1 del cuarto de datos no se encontró el informe de redes húmedas o memorias de cálculo donde presenten el diseño del sistema de drenaje del deprimido y conexión con el sistema de alcantarillado de la ciudad de Palmira; solo se encontraron planos del año 2017, con dos versiones (mayo y septiembre), sin embargo se evidencia diferencias en la solución proyectada (cantidad de sumideros, tanque de regulación, diámetros de colector, etc.), por lo cual se solicita lo siguiente:
• Aclarar cual es la solución definitiva propuesta para el drenaje del deprimido.  
• Aclarar si la solución tiene el aval del Operador.
• Una de las soluciones presenta un tanque de regulación, aclarar como es el funcionamiento del tanque, para que evento crítico se contempla, aclarar si se debe a algún control de flujo en el colector existente receptor, aclarar si se requiere adicionalmente estructuras anti-reflujo.
• Como complemento a la observación anterior, confirmar que en el diseño se evaluó los niveles de lámina de agua el colector existente receptor que garantice que no existe un nivel que genere inundación en el deprimido.
• Teniendo en cuenta que se observan profundidades hasta de 5 m y en el plano no se informa de un método constructivo, se solicita se aclare si se tiene contemplado método convencional o algún método sin zanja </t>
  </si>
  <si>
    <t xml:space="preserve">Todo Proyecto. 
En las Tablas de “Características Geométricas y técnicas" presentadas en el Apéndice Técnico 1 para los tramos con alcance de construcción y mejoramiento de las UF 1 (Reversión Palmira: Pradera y Candelaria), 3, 4 y 5, No especifican cuneta o berma cuneta; igualmente en las cantidades de la estructuración tampoco cuantifican cunetas (Excepto UF 5 – Tramo 2); y  de acuerdo a los planos de diseño geométrico disponibles en el Cuarto de Datos hay zonas de corte en los cuales se necesitaría proyectar obras longitudinales en la vía para el manejo del drenaje. Por lo anterior se solicita se confirme que dentro del perfil vial de los tramos con alcance de construcción y mejoramiento, se puede proyectar obras de drenaje longitudinales como cunetas, berma cunetas o canales en los tramos que de acuerdo al diseño detallado sea necesario. </t>
  </si>
  <si>
    <t>Factor de Calidad. 
En la "Tabla 31 – Características Geométricas y técnicas Matapalo – La Herradura" del Apéndice Técnico 1, especifican berma cuneta a ambos costados de la vía. No se encontró plano donde se evidenciaran los chaflanes de la vía.</t>
  </si>
  <si>
    <t>Factor de Calidad.
 En la "Tabla 33 – Características Geométricas y técnicas de Villa Rica - Caloto" del Apéndice Técnico 1, no especifican cuneta, sin embargo en el Cuarto de Datos se encuentran planos de diseño geométrico que muestran las cunetas en todo el recorrido y en ambos lados de la vía. De acuerdo a lo anterior, se solicita se confirme que dentro del perfil vial se puede proyectar obras de drenaje longitudinales como cunetas, berma cunetas o canales en los tramos que de acuerdo al diseño detallado sea necesario.</t>
  </si>
  <si>
    <t xml:space="preserve">Todo Proyecto. 
En los tramos que tiene como alcance puesta a punto o rehabilitación, se tienen zonas con paso urbano o semiurbanos que se supone tienen obras de drenaje existentes, sin embargo en los informes de estructuración no se evalúan estas estructuras ni se cuantifican en los anexos de cantidades. Por lo anterior, se solicita lo siguiente:
• Se aclare el alcance del Proyecto con respecto a las obras de drenaje urbano (cunetas, sumideros, pasa cunetas, cárcamos y conexiones a pozos) existentes dentro de la vía en todos los pasos urbanos y semiurbanos que están dentro del Proyecto.
• En Google Earth se observan sumideros, cárcamos, etc. que se encuentra ubicados en las esquinas de los accesos viales al límite con la vía principal. Se solicita se aclare el límite hasta donde se tenga que realizar la intervención de las obras de drenaje existentes, incluyendo los accesos vehiculares.
• Se confirme que las redes de alcantarillado pluvial existentes en las zonas urbanas y semiurbanas dentro de las vías no son del alcance de rehabilitación y mantenimiento de la Concesión.
</t>
  </si>
  <si>
    <t>Todo Proyecto. 
En la Información de Estructuración no presentan inventario, proyección y/o cantidades de cunetas, paso cunetas, obras de subdrenaje, y sumideros. Se solicita presentar la respectiva información para tenerse en cuenta en la cuantificación del presupuesto.</t>
  </si>
  <si>
    <t>Todo el Proyecto. 
En los informes hidráulicos de la Estructuración indican para las obras que no cumplan los criterios hidráulicos, su demolición y su substitución por otra obra de paso de sección mayor y en los Anexos indican las obras a reemplazar por capacidad hidráulica; sin embargo, teniendo en cuenta el alcance indicado para puesta a punto y rehabilitación indicado en el Apéndice Técnico 1, No se encontró un inventario detallado que indique el estado de las obras transversales (estado estructural y de servicio) para poder identificar la necesidad de intervenciones de rehabilitación estructural, ni un listado de obras existentes de drenaje que se proyecte la reposición o reparación parcial o total por concepto de su estado estructural; también se identifica varios tramos que no tienen cantidades para ningún ítem. Por lo anterior se solicita se aclare si dentro de las cantidades se contemplaron valores por concepto de rehabilitación estructural.</t>
  </si>
  <si>
    <t xml:space="preserve">UF 5 Reversión Especial
Deprimido Sameco. De acuerdo al diseño presentado en la carpeta G1 del Cuarto de Datos, el drenaje pluvial se evacuará por medio de una solución convencional a gravedad por medio de sumideros y un colector pluvial hasta el río Cali. Se tienen las siguientes consultas:
• No se encontró el nivel de aguas máximas del río Cali. Confirmar que en el diseño se evaluó los niveles de lámina de agua máxima en el río Cali, que garantice que no existe un nivel que genere inundación en el deprimido, o que pueda necesitar estructura anti reflujo y/o tanque amortiguador, o la necesidad de cambio de solución.
• Aclarar si la solución tiene el aval del Operador.
• Teniendo en cuenta que se observan profundidades hasta de 10 m y en el plano no se informa de un método constructivo, se solicita se aclare si se tiene contemplado método convencional o algún método sin zanja.
</t>
  </si>
  <si>
    <t>UF 1.  
En el Informe de Estructuración de la UF 1 (Carpeta B1) para los Tramos de la UF 1 no presentan inventario de obras existentes e información de obras proyectadas, solamente planos de localización de obras existentes y proyectadas, por lo cual no se tiene soporte de las cantidades presentadas en el Anexo 10. Se solicita presentar en el cuarto de datos toda la información soporte de la estructuración de la UF 1.</t>
  </si>
  <si>
    <t>UF 1 - Tramo 3: 
De acuerdo a la revisión de la Estructuración del Proyecto contenido en los planos e informes, este tramo no presenta obras de drenaje existente ni proyectado, sin embargo, en el cuadro de cantidades presentan la proyección de dos tramos de box sin aclaración de su ubicación. No indican la existencia de obras en el plano para el tramo de 3.6 km, Rozo -Las Torres. Se solicita presentar la información de las obras existentes y proyectadas (inclusive a rehabilitar).</t>
  </si>
  <si>
    <t>UF 2 - Tramo 3: De acuerdo a la revisión de la estructuración del Proyecto contenido en los planos e informes, este tramo no presenta obras de drenaje existente ni proyectado, sin embargo  se evidencia la existencia de obras. Se solicita presentar la información de las obras existentes y proyectadas.</t>
  </si>
  <si>
    <t>UF 1 – Tramo 9.
No se encuentran cantidades de rehabilitación para el tramo Paso Nacional – Palmira que pertenece al Tramo 9 de la Unidad Funcional 1. Adicionalmente en el informe de Estructuración UF 1 Corredor 13 (Carpeta B12), no se encontraron diseño de obras de drenaje a nivel proyectadas en las intersecciones Versalles y Parque de Azúcar. Se solicita presentar la información de las obras existentes y proyectadas (inclusive a rehabilitar).</t>
  </si>
  <si>
    <t>UF 2 - Tramo 2. 
Se solicita se confirme que para este tramo solamente está pendiente la construcción del puente sobre el río Bolo. Se solicita que el tramo construido recientemente fue diseñado y construido de acuerdo al Manual de Drenaje del INVIAS y están en buen estado estructural las obras de drenaje existentes.</t>
  </si>
  <si>
    <t>UF 3. 
De acuerdo a lo presentado en el plano de obras de drenaje de la Estructuración, en varios tramos la rasante está a nivel de terreno, observando que al colocar las obras que proponen en el Anexo 8 desde el fondo del terreno, la rasante está a tope o bajo el lomo de la obra, por lo cual sería necesario subir la rasante de la vía.</t>
  </si>
  <si>
    <t>UF 3.
De acuerdo a la Tabla 6-1 y Anexo 8 del Volumen III proyectan obras transversales entre las abscisas 4+850 y 15+445 (Intersección Av. Bicentenario); No se encontraron en el cuarto de datos obras de drenaje en los primeros 4.8 km, y no se encontró aclaración sobre el tramo inicial. Se solicita presentar la información de las obras proyectadas a todo lo largo del tramo, inclusive en la zona semiurbana, que se localiza al inicio del Tramo 3</t>
  </si>
  <si>
    <t>UF 3 y UF4. 
En el CAPÍTULO IX OBLIGACIONES DE LAS CONSULTAS PREVIAS del Apéndice Técnico 1, indican con el Consejo Comunitario de San Isidro y Consejo Comunitario del Guabal la construcción de obras hidráulicas “El concesionario o ejecutor del proyecto garantizará la suficiencia de las obras construidas para el manejo de escorrentía, para lo cual se construirán: Para el corredor 2 se definió la construcción de 44 obras hidráulicas (cajones, alcantarillas y puentes). Para el corredor 3, la construcción de cunetas perimetrales, 9 obras de drenaje nuevas y la ampliación de 52 obras existentes" (Cursiva y subrayado fuera de texto). No está clara la ubicación de estas obras, sin embargo, de acuerdo a la descripción que realizan, se solicita se confirme que corresponden a las obras proyectadas para el drenaje de la vía, por lo cual, este requerimiento estaría cubierto con las obras proyectadas en el diseño de la vía. Y para la UF 4, de acuerdo a las obras proyectadas en el estudio de Estructuración para el tramo 1 de la calzada nueva de la vía, se evidencia que hacen falta obras transversales y cunetas para completar la cantidad de obras mencionadas en el acta social, por lo cual se solicita que se indique la cantidad real y ubicación de las obras compromiso con la Comunidad.</t>
  </si>
  <si>
    <t>UF 4 – Tramo 1.
En relación  a los resultados del Puente Guillermo Valencia, indican en la Tabla 6-3 “Gálibos de los puentes proyectados analizados” un galibo de 1.11m, lo cual no estaría de acuerdo con el galibo mínimo establecido en el Manual de diseño geométrico del INVIAS. Igualmente en la Tabla 6-3 indican que la lámina de agua es 964.18 msnm, sin embargo según el Anexo 10, la lámina de agua arriba es mayor (965.54 msnm). Por lo anterior es necesario verificar la rasante de la vía y puente proyectado sobre el río Cauca. No se encontró el análisis de socavación del puente proyectado ni existente, ni el análisis de divagación del cauce</t>
  </si>
  <si>
    <t xml:space="preserve">UF 5 - Tramo 1. 
La información del tramo se encuentra contenida en el Corredor 5, de acuerdo al documento B5111, en el capítulo 6.1.2.1 RESULTADOS DEL ESTUDIO, se especifica que los diseños fueron realizados para la ampliación de la calzada izquierda del tramo Cali – Cencar - Las Américas, lo que correspondería al tercer carril del Tramo 1, por tal motivo el alcance de la Estructuración para este tramo no concuerda con el alcance planteado en el Apéndice Técnico 1, que es puesta a punto. Se solicita aclaración. </t>
  </si>
  <si>
    <t>UF 5 - Tramo 2. 
Presentan cantidades de cunetas para todo el tramo Cali – Cencar - Las Américas, sin embargo no se encuentran discriminadas las cantidades para el Tramo 2 de este Proyecto. No se encuentra la evaluación hidráulica o plano donde indiquen la ubicación de las cunetas proyectadas. Se solicita presentar memoria de cantidades, incluyendo las de rehabilitación.</t>
  </si>
  <si>
    <t>UF 4 – Tramo 2 y UF 5 - Tramo 3, 
No se encontró el inventario ni la evaluación hidráulica de las obras transversales existentes de los tramos mencionados, solamente se enconetró plano con ubicación de las obras existentes. Se solicita presentar memoria de cantidades, incluyendo las de rehabilitación.</t>
  </si>
  <si>
    <t>Factor de Calidad Herradura - Matapalo. 
De acuerdo a la revisión de la información de la Estructuración y Cuarto de Datos del Proyecto, para este tramo no se encontró hidrología, evaluación hidráulica de obras de drenaje y puentes, inventario de obras existentes, diseños, planos, ni cantidades hidráulicas. Se solicita presentar el inventario de obras existentes, los diseños, esquemas o proyección de cantidades disponibles.</t>
  </si>
  <si>
    <t>Factor de Calidad Villa Rica-Caloto. 
De acuerdo a la revisión de la información de la Estructuración y Cuarto de Datos del Proyecto, en este tramo no se encontró hidrología, evaluación hidráulica de obras de drenaje y puentes, inventario de obras existentes, diseños, planos, ni cantidades hidráulicas; para este tramo se encuentra planos de diseño geométrico con sección típica mixta en donde definen cunetas en la zona de corte, y en la planta se muestran las cunetas en todo el recorrido y en ambos lados de la vía. Se solicita presentar el inventario de obras existentes, los diseños, esquemas o proyección de cantidades disponibles.</t>
  </si>
  <si>
    <t>Factor de Calidad Villa Rica-Caloto. 
En carpeta G5 se evidencia 5 puentes existentes; no se encontró información de evaluación hidrológica y de socavación de los puentes, para conocer el funcionamiento y galibo de los puentes. Se observa un diseño estructural de un puente de 18 metros de longitud de dos calzadas; no se sabe si el puente atraviesa una vía o un curso de agua; tiene una altura de 1.30 m aprox.; si este puente correspondiera a un curso de agua, no se estaría cumpliendo con el galibo mínimo de 2 metros determinado por el INVIAS.</t>
  </si>
  <si>
    <t>Tramo de reversión especial Palmira – Pradera. 
No se encontró la proyección de obras adicionales a lo largo del tramo ni en la intersección teniendo en cuenta que se encuentra en una zona urbana. Se solicita confirmar si se tiene proyectado realizar más obras.</t>
  </si>
  <si>
    <t>Tramo de reversión especial Palmira – Candelaria.
Indican la existencia de 1 box 2x1m y alcantarilla de 0.9m para cruce de canales artificiales, proponiendo la ampliación de la obra ODT 0+500 con la misma sección. Se solicita confirmar si en este tramo se proyectará la construcción de más estructuras hidráulicas.</t>
  </si>
  <si>
    <t xml:space="preserve">Todo el Proyecto - Cantidades. 
Teniendo en cuenta las diferentes observaciones realizadas anteriormente sobre cantidades, se solicita presenten en el cuarto de datos las memorias de cálculo de las cantidades propuestas en la Estructuración para tener claridad de las obras que están proyectando en todas las Unidades Funcionales, Tramos de Reversión y Factores de calidad. </t>
  </si>
  <si>
    <t>Edificaciones. 
En la información de Estructuración no se encontró información de diseños de redes húmedas (acueducto y alcantarillado) para modificación o ampliación de las zonas de peaje, pesaje y áreas de servicio. Por lo anterior, se solicita se confirme que no se requiere redes internas adicionales o ajustes a las redes existentes para estas áreas.</t>
  </si>
  <si>
    <t>En el Apéndice Técnico 5 no se encontró el inventario de redes húmedas para los tramos de puesta a punto y rehabilitación, para los cuales se supone que no habrá intervenciones que generen afectación de redes existentes, sin embargo, esto no se podría definir hasta tener el inventario detallado de las redes existentes y las intervenciones que se definan en los diseños detallados de la vía. Por lo anterior se solicita se incluya el inventario de redes existentes en el cuarto de datos</t>
  </si>
  <si>
    <t>No se encontraron planos, ni cantidades de manejo de redes de acueducto y alcantarillado de los tramos a construir o mejorar de todo el Proyecto, a excepción de una interferencia de acueducto en el deprimido de Sameco (Plano y cantidades)  (UF 5 Reversión Especial). Por lo anterior se solicita se presenten los diseños o memorias de cantidades disponibles  del componente de redes húmedas para los traslados o protección de redes húmedas en todos los tramos a Intervenir.</t>
  </si>
  <si>
    <t>Factores de Calidad. 
En la Parte Especial del contrato, numeral 3.11.1.c indican lo siguiente “Para efectos de las intervenciones ofrecidas por el Concesionario para obtener mayor puntaje como factor de calidad no se tendrá en cuenta lo previsto en la Sección 8.2 del Contrato Parte General- Redes - por cuanto será responsabilidad y riesgo total del Concesionario el valor de intervención de Redes. En ese sentido será responsabilidad del Concesionario la ejecución de todos los traslados e intervenciones de Redes por efecto de las intervenciones ofrecidas para obtener mayor puntaje como factor de calidad y no podrá utilizar los recursos previstos en la Subcuenta de Redes” (Cursiva y subrayado fuera de texto).  Teniendo en cuenta lo anterior, se considera que es un riesgo alto no tener información de las redes existentes para cuantificación de manejo de redes y su influencia en el costo de la obra y por consiguiente de la oferta para los tramos de Factor de Calidad. Por lo anterior se solicita se presenten los diseños o memorias de cantidades disponibles para estimación del presupuesto del componente de redes húmedas para los traslados o protección de redes húmedas en los tramos de Factor de Calidad.</t>
  </si>
  <si>
    <t>Factor de Calidad. 
Teniendo en cuenta que de acuerdo a lo indicado en el numeral 3.11.1.c de la Parte Especial del Contrato, “será responsabilidad del Concesionario la ejecución de todos los traslados e intervenciones de Redes por efecto de las intervenciones ofrecidas para obtener mayor puntaje como factor de calidad y no podrá utilizar los recursos previstos en la Subcuenta de Redes” (Cursiva y subrayado fuera de texto), se solicita se confirme que aplica todo lo indicado en el Apéndice Técnico 5 y en el numeral 8.2 del Contrato General a excepción de lo establecido para la utilización de los recursos previstos en la subcuenta de redes; como es la realización y presentación del inventario, plan de manejo de redes, gestión con los Operadores, fuerza mayor, etc.</t>
  </si>
  <si>
    <t>Factor de Calidad. 
En el numeral 8.2.h de Contrato General que indica “Cuando, conforme al convenio con el titular de la respectiva Red o conforme con la Ley Aplicable, los costos del traslado y/o intervención de las Redes deban ser asumidos por el titular y éste afirme no contar con los recursos para efectuar el traslado o se niegue a asumir tales costos, se podrá asumir dicho costo con los recursos de la Subcuenta Redes, sin perjuicio del derecho de repetir contra el titular de la Red para reclamar el costo, para lo cual el Concesionario prestará toda su colaboración entregando la información necesaria para hacer la reclamación que será efectuada por la ANI”. Teniendo en cuenta lo establecido en el .11.1.c de la Parte Especial del Contrato, se entiende que los costos que no asuma el operador como el responsable del manejo de la red, serán asumidos por el Concesionario al no poder utilizar la subcuenta de redes; por lo cual se solicita se aclare si la ANI realizaría el trámite de reclamación de costos al Operador y hará la respectiva devolución al Concesionario, o el Concesionario tendría la potestad para realizar dicho trámite para el caso de las redes a trasladar en los tramos de Factor de Calidad.</t>
  </si>
  <si>
    <t>Una vez revisada la información en cuarto de datos de la entidad no se encuentra la carpeta G5-7 Relacionada en el Índice CDD-NMVVC-ACP-V6 , correspondiente al 06-VOL VI Geotéc y Pavimentos del tramo de Factor de Calidad de Villa Rica - Caloto.</t>
  </si>
  <si>
    <t>UF1 Pavimentos
De acuerdo con la Tabla 5 – Unidades funcionales del proyecto y demás apartes del Apéndice Técnico 1, se establece que la Unidad Funcional 1, incluye el "Paso Nacional Sonso", una vez revisados los planos del proyecto y el KMZ, se puede evidenciar que el corredor discurre en ese sector por la Variante Sonso; pero no se identifica la inclusión del Paso Nacional en los análisis y definición de intervenciones destinadas a la rehabilitación y mantenimiento periódico en este sector del Tramo 2. En ese sentido, solicitamos realizar la aclaración pertinente .</t>
  </si>
  <si>
    <t>UF1 Pavimentos. 
En los documentos revisados, no se evidenció información, análisis y propuestas de intervención asociadas particularmente a las distintas interseciones (incluidos ramales donde así aplique) que requieren intervención de puesta a punto, de acuerdo con lo indicado en la Tabla 7 del Apéndice Técnico 1. Considerando lo anterior, se solicita sea aclarado este tema y/o complementada la información</t>
  </si>
  <si>
    <t>Pavimentos. Unidad Funcional 1 Tramo 2. En la Tabla 5 del Apéndice Técnico 1, se indica que incluye el Paso Nacional por San Marcos y el Paso Nacional por Yotoco con una intervención de Puesta a Punto y mantenimiento periódico, mientras en la Tabla 9 se relaciona la intervención requerido "Rehabilitación y Mantenimiento Periódico"; sin embargo, en los documentos revisados no se relaciona análisis y propuestas para la intervención. Para los análisis realizados el corredor discurrió en estos sectores por las variantes de Yotoco y San Marcos. En tal sentido se solicita las aclaraciones y/o complementaciones al respecto.</t>
  </si>
  <si>
    <t>Pavimentos. La Tabla 25 Infraestructura de Reversión Especial del Apéndice Técnico1 relaciona la Intervención prevista para el Tramo Salida Palmira - Pradera como "Construcción de doble calzada", incluyendo una observación que indica "Continuación de la doble calzada existente hasta la Intersección Buldozer. Incluye el Mejoramiento de la intersección Buldozer" ; sin embargo, lo desarrollado en los documentos revisados relacionan la construcción de la segunda calzada y la construcción de la intersección. Lo anterior, muy comedidamente solicitamos sea aclarado y/o ajustado para evitar confusiones en cuanto al alcance que se debe ejecutar.</t>
  </si>
  <si>
    <t>UF-2 Pavimentos. En los documentos revisados, no se evidenció información, análisis y propuestas de intervención asociadas particularmente a las distintas interseciones (incluidos todos los ramales) que requieren intervención de puesta a punto, de acuerdo con lo indicado en la Tabla 12 del Apéndice Técnico 1. Considerando lo anterior, se solicita sea aclarado este tema y/o complementada la información</t>
  </si>
  <si>
    <t>UF 2 Pavimentos. En la Tabla 5 del Apéndice Técnico 1, para la UF 2 Tramo 1, se indica que incluye la Variante Villa Rica y en la Tabla 13 se relaciona debe intervenirse el Paso Nacional por Villa Rica con un alcance de "Rehabilitación y Mantenimiento Periódico"; sin embargo, en los documentos revisados no se relacionan análisis ni propuestas para la intervención para el Paso Nacional por Villa Rica, para los análisis realizados el corredor discurrió en este sector por la variante. En tal sentido se solicita las aclaraciones al respecto.</t>
  </si>
  <si>
    <t>UF 2 Tramo 2 Pavimentos. En los documentos revisados, no se evidenció información, análisis y propuestas de intervención asociadas a la Puesta a Punto del tramo existente de la UF 2 Tramo 2, Construcción del tramo faltante y Mantenimiento de la Variante El Bolo, de acuerdo con lo indicado en la Tabla 5 del Apéndice Técnico 1. Los análisis se realizaron considerando un corredor que discurre por el Paso Nacional El Bolo. Considerando lo anterior, se solicita sea aclarado este tema y/o complementada la información</t>
  </si>
  <si>
    <t>UF-3 Pavimentos. En los documentos revisados, no se evidenció información, análisis y las intervenciones asociadas particularmente para la Construcción y Mantenimiento Periódico de la Intersección Av. Bicentenario - Vía Cali-Puerto Tejada y la Intersección Av. Bicentenario - Vía Ye de Villa Rica-Jamundí Comedidamente solicitamos sea aclarado y/o complemetada la información. Asimismo, que sean precisados los requisitos técnicos específicos que se deben considerar.</t>
  </si>
  <si>
    <t>Factor de Calidad Pavimentos. En los documentos revisados, no se evidenció información, análisis y propuestas de intervención asociadas al mejoramiento de la Vía Herradura - Matapalo, que hace parte del Factor de Calidad; razón por la cual, se solicita sea aclarada y/o complementada la información al respecto.</t>
  </si>
  <si>
    <t>En la Unidad Funcional 1 se encontraron  cantidades de sistemas de ITS pero no se encontraron cantidades de Fibra Óptica. Se solicita complementar la información</t>
  </si>
  <si>
    <t xml:space="preserve">En la Unidad Funcional 1 no se encontraron los diseños ni cantidades de redes de energía eléctrica de media y baja tensión . Se solicita complemetar la información en el cuarto de datos.       
</t>
  </si>
  <si>
    <t xml:space="preserve">En la Unidad Funcional 1 para el tramo 9, se solicita incluir la siguiente información
-        Trazado y cantidades de las redes de telemáticos en el área de la nueva intersección Versalles.
-        Diseño de alumbrado público para la intersección Versalles.
-        Diseño de la red semafórica si hay lugar a esta en la nueva intersección Versalles.
-        Ubicación de las cámaras del sistema de CCTV para la intersección Versalles.
-        Ubicación de las cámaras del sistema de CCTV para los tramos de la UF1 donde dichas cámaras están proyectadas. </t>
  </si>
  <si>
    <t>En la Unidad Funcional 2 no se encontraron ni diseños ni cantidades de redes de energia eléctrica de media y baja tension. Se solicita complementar la información en el cuarto de datos.</t>
  </si>
  <si>
    <t xml:space="preserve">Para la Unidad Funcional 2, se solicita incluir en el cuarto de datos la siguiente información.
-        Planos telemáticos y planos de alumbrado de la unidad funcional 2 y conocer posibles interferencias en los tramos donde habrá nuevas construcciones e intervenciones como en retorno peaje Estambul, retorno motocicletas Guanabanal.
-        Planos de diseños de redes de alumbrado para el tramo Cali – Palmira.
-        Planos redes de gas de la unidad funcional 2 y conocer posibles interferencias en los tramos donde habrá nuevas construcciones e intervenciones como en retorno peaje Estambul, retorno motocicletas Guanabanal.
</t>
  </si>
  <si>
    <t>No se encontraron diseños ni cantidades de redes de energia eléctrica (Alta, media y baja tensión) en la unidad funcional 3. Se solicita incluir la información en el cuarto de datos</t>
  </si>
  <si>
    <t xml:space="preserve">Para la Unidad Funcional 3 se solicita incluir la siguiente información en el cuarto de datos
-        Planos de diseño de la solución a la interferencia de redes eléctricas de baja, media y alta tensión y además de telemáticos, con los nuevos trazados de vía.
-        Planos de la empresa de gas Transportadora de Gas Internacional para confirmar posible interferencia con el trazado de vía proyectado indicado en el Apéndice Técnico 5.
</t>
  </si>
  <si>
    <t>No se encontraron diseños ni cantidades de redes de energia eléctrica en la unidad funcional 4.  Se solicita incluir la información en el cuarto de datos</t>
  </si>
  <si>
    <t>Para la Unidad Funcional 4 se solicita incluir 
-        Planos de diseño de la solución a la interferencia de redes eléctricas de baja y media tensión y redes de gas y además de telemáticos en el tramo 1 de la UF 4.</t>
  </si>
  <si>
    <t>En la Unidad Funcional 4 tanto para tramo 1 como para tramo 2 se encuentran cantidades de sistemas ITS pero no se encuentran cantidades de Fibra Óptica</t>
  </si>
  <si>
    <t xml:space="preserve">En la Unidad Funcional 5 no se encontraron ni diseños ni cantidades de redes de energia eléctrica de media y baja tension en el tramo5 . </t>
  </si>
  <si>
    <t>Para la Unidad Funcional se solicita incluir 
 -        Planos de diseño de la solución a la interferencia de redes eléctricas de baja y media tensión, redes de gas y además de telemáticos en el tramo 2 de la UF 5.</t>
  </si>
  <si>
    <t>Para la intersección Versalles, se encontró un archivo de listado de precios de referencia que tiene unos valores y no hay unas cantidades definidas, se requiere confirmar si esos son los items con los que se trabajó y a que tramo se asocia dicho listado</t>
  </si>
  <si>
    <t>Cuando se  hace referencia a los peajes, en la mayoría de los casos se menciona la puesta a punto, esta contemplaría la rehabilitación del espacio público? SI lo anterior es afirmativo se solicita incluir la información respectiva</t>
  </si>
  <si>
    <t>Aclarar si se va a mantener mobiliario urbano y señalización existente en el tramo variante Palmira</t>
  </si>
  <si>
    <t>En la intersección Sameco, se contempla la construcción del deprimido, sin embargo la mayoría de las calzadas se proyectan en áreas que actualmente son calzada. Adicionalmente no hay un espacio público apropiado en diferentes sectores del tramo. En consecuencia, teniendo que esta área se contempla de construcción requiere validar si se requiere la construcción de un espacio público nuevo o la  rehabilitación y puesta a punto del espacio público existente.</t>
  </si>
  <si>
    <t>No se tiene información planimetríca del Centro de Control de Operación, de acuerdo con el inventario se presentan las áreas existentes las cuales por lo general so superiores a las requeridas, sin embargo es necesario tener la planimetría para identificar los servicios necesarios requerido y si se requiere algun área adicional.</t>
  </si>
  <si>
    <t>No hay planimetría editable de los puentes peatonales a reubicar o propuestos, se requiere para identificar las áreas de los andenes y espacio público asociado a estos</t>
  </si>
  <si>
    <t>No hay planimetría editable de los peajes, se encuentra un inventario preliminar que no se considera sufiicente para el cálculo de áreas</t>
  </si>
  <si>
    <t>De acuerdo al Apéndice Técnico 1,  el Centro de Control de Operación requiere unas áreas específicas; al verificar el inventario en el archivo H6114  se observa que hay áreas como depósito o sala recibos y circulaciones que no aparecen claramente en el  inventario, se solicita confirmar si estas áreas se encuentran identificadas con otros nombres o se pueden considerar en el área de almacén.</t>
  </si>
  <si>
    <t>En las estaciones de pesaje, se solicita aclarar si la oficina de administración, requerida en el Anexo Técnico 1,  corresponde a la oficina de control de básculas</t>
  </si>
  <si>
    <t>No se cuenta con planimetría editables, de las estaciones de pesaje para verificar correspondencia de áreas existentes con solicitadas. Por favor incluir</t>
  </si>
  <si>
    <t>En ninguno de los inventarios revisados de las estaciones de pesaje se encuentra el área de zona de revisión solicitado, confirmar si se encuentra en otra área descrita o no. Así mismo se requiere planimetría para corroborar dimensiones. Por favor incluir</t>
  </si>
  <si>
    <t>Se encuentra información de la estación de pesaje Ginebra, se entiende que este corresopnde al mismo indicado en el apedice técnico como El Cerrito, confirmar si es así.</t>
  </si>
  <si>
    <t>¿Para la estaciones de pesaje el número de servicios sanitarios requeridos corresponde al área de oficina o a unos baños adicionales para los conductores?</t>
  </si>
  <si>
    <t>Los dos gráficos full color de 64x64 px  y 3 líneas alfanuméricas con 12 caracteres que se solicita en el Apéndice Técnico no se encuentran en los inventarios de los peajes, se solicita aclarar si están con otro nombre para identificarlos</t>
  </si>
  <si>
    <t>No es claro si para los peajes se debe verificar el cumplimiento de la NTC1500 de  servicios sanitarios</t>
  </si>
  <si>
    <t>En la intersección Sameco se plantea un deprimido bajo el puente existente. Dentro de la información consultada en el cuarto de datos, no se encontraron planos del puente existente, como cimentaciones, sistema estructural entre otros. Por favor incluir en la información del cuarto de datos.</t>
  </si>
  <si>
    <t xml:space="preserve">D111
MV-C01-ST-IF-001-R0 </t>
  </si>
  <si>
    <t>Carpeta CI31</t>
  </si>
  <si>
    <t>Apéndice Técnico 1, Capítulo IV, Numeral (4.2-4.3,4.5-4.6), Tabla (6-11-19-23), pag (13-18-23-24) de 70
Cumplimiento de especificacions de Ley 105 de 1993 (s/n)</t>
  </si>
  <si>
    <t>Carpetas 
A123221 
G110444</t>
  </si>
  <si>
    <t>H10216</t>
  </si>
  <si>
    <t>Apéndice Técnico 1, Capítulo IV, Numeral 4.1, Tabla 5, pag 11 de 70</t>
  </si>
  <si>
    <t>Apéndice Técnico 1, Capítulo IV, Numeral 4.3, Tabla 14, pag 22 de 70</t>
  </si>
  <si>
    <t>Apéndice Técnico 1, Capítulo IV, Numeral (4.5 - 4.6), Tabla (19-23), pag (23-24) de 70</t>
  </si>
  <si>
    <t>Apéndice Técnico 1, Capítulo IV, Numeral (4.4), Tabla (15), pag (22) de 70</t>
  </si>
  <si>
    <t>Apéndice Técnico 1, Capítulo VII, Numeral 7.2 Tabla 31, pag 43 de 70</t>
  </si>
  <si>
    <t>Apéndice Técnico 1, Capítulo IV, Numeral 4.7 Tabla 25, pag 25 de 70
Intervencion prevista Construccion doble calzada</t>
  </si>
  <si>
    <t xml:space="preserve">Apéndice Técnico 1, Capítulo IV, Numeral 4.7 Tabla 25, pag 25 de 70
Intervencion prevista Mejoramiento
</t>
  </si>
  <si>
    <t>Apéndice Técnico 1, Capítulo IV, Numeral 4.7 Tabla 25, pag 25 de 70
Intervencion prevista Mejoramiento</t>
  </si>
  <si>
    <t xml:space="preserve">A12206
MV-C13-DG-PL-004-ST-MJ-R0
</t>
  </si>
  <si>
    <t xml:space="preserve">Apéndice Técnico 1, Capítulo IV, Numeral 4.1 Tabla 5, pag 9 de 70
</t>
  </si>
  <si>
    <t>Apéndice 1, Tabla 7, Página 15 de 70, Intersección Guacarí Ginebra, Columna  6 "Coordenada de los límites de intervención"</t>
  </si>
  <si>
    <t>Apéndice 1, Tabla 7, Página 15 de 70,Intersección Acceso Sur Guacarí e Intersección Vía Ingenio Pichichi, Columna 3 "Este", Columna 4 "Norte", Columna  6 "Coordenada de los límites de intervención"</t>
  </si>
  <si>
    <t>Carpeta G1. Deprimido Versalles</t>
  </si>
  <si>
    <t>Factor de Calidad. Apéndice Técnico 1</t>
  </si>
  <si>
    <t>Información Estructuración</t>
  </si>
  <si>
    <t>Carpeta G2. Deprimido Sameco</t>
  </si>
  <si>
    <t>Carpeta B1. Información Estructuración</t>
  </si>
  <si>
    <t>Carpeta B2. Información Estructuración</t>
  </si>
  <si>
    <t>Carpeta B3. Información Estructuración</t>
  </si>
  <si>
    <t>Carpeta B3 y B4. Información Estructuración
Apéndice Técnico 1</t>
  </si>
  <si>
    <t>Carpeta B4. Información Estructuración</t>
  </si>
  <si>
    <t>Carpeta B5. Información Estructuración</t>
  </si>
  <si>
    <t>Carpeta B5 y B4. Información Estructuración</t>
  </si>
  <si>
    <t>Carpetas B y G</t>
  </si>
  <si>
    <t>Apéndice Técnico 5 y Carpeta F</t>
  </si>
  <si>
    <t>Apéndice Técnico 5, Carpetas G y F</t>
  </si>
  <si>
    <t>Parte Especial, Apéndice Técnico 5, Carpetas G y F</t>
  </si>
  <si>
    <t>Parte General, Parte Especial, Apéndice Técnico 5</t>
  </si>
  <si>
    <t>Parte General y Parte Especial</t>
  </si>
  <si>
    <t>Apéndice Técnico 1, Capítulo VII, Numeral 7.2 Factor de Calidad, Literal B.</t>
  </si>
  <si>
    <t>Apéndice Técnico 1, Capítulo IV, Tabla 5 Numeral 4.2, Tabla 9.</t>
  </si>
  <si>
    <t>Apéndice Técnico 1, Capítulo IV, Numeral 4.2, Tabla 7.</t>
  </si>
  <si>
    <t>Apéndice Técnico 1, Capítulo IV, Numeral 4.7, Tabla 25.</t>
  </si>
  <si>
    <t>Apéndice Técnico 1, Capítulo IV, Numeral 4.3, Tabla 12.</t>
  </si>
  <si>
    <t>Apéndice Técnico 1, Capítulo IV, Tabla 5 y Numeral 4.3, Tabla 13.</t>
  </si>
  <si>
    <t>Apéndice Técnico 1, Capítulo IV, Tabla 5 y Numeral 4.3, Tabla 11.</t>
  </si>
  <si>
    <t>Apéndice Técnico 1, Capítulo IV, Numeral 4.4, Tabla 16.</t>
  </si>
  <si>
    <t>Apéndice Técnico 1, Capítulo VII, Numeral 7.2, inciso 7.2.1, viñeta a (Tabla 30).</t>
  </si>
  <si>
    <t>Informe de Estudios y Analisis Adicionales Anexo 4</t>
  </si>
  <si>
    <t>Informe de Estudios y Analisis Adicionales Adicionales Anexo 5 y Apendice Técnico 5</t>
  </si>
  <si>
    <t>Informe de Estudios y Analisis Adicionales Corredor 2 Anexo 5 y Apéndice Técnico 5</t>
  </si>
  <si>
    <t>Informe de Estudios y Analisis Adicionales Corredor 3 Anexo 5 y Apéndice Técnico 5</t>
  </si>
  <si>
    <t>Informe de Estudios y Analisis Adicionales Adicionales Corredor 3 Anexo 4</t>
  </si>
  <si>
    <t>ARCHIVO G1107115</t>
  </si>
  <si>
    <t>Apéndice Técnico  pag 36</t>
  </si>
  <si>
    <t>ARCHIVO G110712</t>
  </si>
  <si>
    <t>ARCHIVOS G2</t>
  </si>
  <si>
    <t>H6114</t>
  </si>
  <si>
    <t>Archivos H40</t>
  </si>
  <si>
    <t>Archivos  H10-11-13-14</t>
  </si>
  <si>
    <t xml:space="preserve">Archivos H6114 </t>
  </si>
  <si>
    <t>Archivos H326,H7118, H7119, H5116, H5117</t>
  </si>
  <si>
    <t>APENDICE TÉCNICO 1</t>
  </si>
  <si>
    <t>Carpeta G2</t>
  </si>
  <si>
    <t>No se encontró carpeta D5 dentro del cuarto de datos, que haga referencia a la unidad funcional 5. Se solicita aclarar y/o incluir</t>
  </si>
  <si>
    <t>Se informa al interesado que si bien hay elementos del Plan de Adquisición de Predios que se deben actualizar, si hay ajustes en los Estudios de Trazado y Diseño Geométrico, siendo este la base de control y hoja de ruta para la gestión predial, y haciendo parte de la información necesaria para evaluar los riesgos asociados a los Estudios de Trazado y Diseño Geométrico que entregue el Concesionario, no se encuentra procedente modificar las fechas de entrega.</t>
  </si>
  <si>
    <t>Se informa al interesado que no es procedente su observación ya que los formatos para planos prediales hacen parte del sistema de gestión de calidad de la ANI.</t>
  </si>
  <si>
    <t>Se informa al interesado que solo podrán utilizarse los recursos de la Subcuenta Predios si dentro del Equipamiento Comunitario se requiere la adquisición de Predios a sus dueños y el pago a sus beneficiarios derivado de la ejecución del Plan de Compensaciones Socioeconómicas. Lo costos adicionales correspondientes a reposición, restablecimiento, gestiones y cumplimientos de normas técnicas son a cuenta y riesgo del Concesionario.</t>
  </si>
  <si>
    <t xml:space="preserve">Se informa al interesado que no se acepta su observación. La ANI considera que la definición es adecuada y se reitera que es obligación del Concesionario obtener directamente la información ante las oficinas correspondientes. </t>
  </si>
  <si>
    <t>Se informa al interesado que no se considera procedente extender el proceso de revisión del Plan de Adquisición de Predios. Sin embargo se aclara que las condiciones de plazos máximos de revisión y respuesta no impide que se establezcan mecanismos voluntarios para agilizar las revisiones.</t>
  </si>
  <si>
    <t>Se informa al interesado que la Sección 4.3 (c) (i) define los propósitos del Estudio de Títulos, y es lo que enmarca el alcance de las actividades allí descritas. Si bien se establece que el Estudio de Títulos es el concepto jurídico respecto de la tradición del Predio mínimo de veinte (20) años, sin limitarse a ello, se espera que puedan incluirse evidencias relevantes a la tradición que puedan superar ese límite de 20 años si son necesarias para determinar el estado de los derechos reales que sobre éste recaen y determinar quién es el propietario del bien a quien debe destinarse la Oferta Formal de Compra, entre otros aspectos que esta Sección determina como objetivo del Estudio de Títulos.</t>
  </si>
  <si>
    <t xml:space="preserve">Se aclara al interesado que la misma Sección explica el procedimiento cuando no es posible aportar la copia de la cédula de ciudadanía, por lo tanto no afectaría la revisión del Estudio de Títulos: "Cuando no sea posible obtener copia de las cédulas de ciudadanía, se dejará constancia en el estudio de títulos y deberán aportarse en el momento de la notificación de la Oferta Formal de Compra." </t>
  </si>
  <si>
    <t>Se aclara al interesado que la Sección 4.6(c) del Apéndice Técnico 7 define que "El Concesionario deberá adelantar la elaboración de los estudios de zonas homogéneas que servirán de referencia para la elaboración de los Avalúos Comerciales Corporativos.", por lo tanto su entendimiento no es correcto.</t>
  </si>
  <si>
    <t xml:space="preserve">Se informa al interesado que no se acepta su observación. Es obligación del Concesionario adelantar la Gestión Predial y en consecuencia, la fórmula se considera acertada. En todo caso, se recuerda al interesado que la Sección 7.4. regula los eventos de Fuerza Mayor Predial, en donde se incluye la demora en la adjudicación de baldíos. </t>
  </si>
  <si>
    <t>Se informa al interesado que los Estudios de Trazado y Diseño Geométrico que debe elaborar el Concesionario definen la franja final de compra. Los estudios prediales de factibilidad podrán consultarlos en la Carpeta E, y para las intersecciones especiales en la Carpeta G del Cuarto de Información de Referencia. Finalmente, esta información estará disponible a título meramente informativo acorde con las condiciones de la Sección 1.7 Cuarto de Información de Referencia del Pliego de Condiciones.</t>
  </si>
  <si>
    <t>Se informa al interesado que el Concesionario debe adquirir el predio para cumplir con la obligación ambiental, sin embargo, si el propietario se niega a vender su predio, será posible adquirir dicho predio a través del mecanismo de adquisición predial de Expropiación Judicial o Expropiación Administrativa establecido en la normatividad vigente de conformidad con los literales h) y j) del artículo 58 de la ley 388 de 1997, en donde al final la ANI tendrá que efectuar la transferencia de la titularidad a la Entidad Ambiental que corresponda para el cumplimiento de la obligación ambiental.</t>
  </si>
  <si>
    <t xml:space="preserve">Se informa al Interesado que los Predios que hacen parte de los tramos de carreteras existentes e instalaciones que se relacionan en el CAPÍTULO III INFRAESTRUCTURA EXISTENTE del Apéndice Técnico 1 harán parte de la Entrega de la Infraestructura. Para mayor detalle se explica por alcance de las Intervenciones a continuación.
Los tramos cuyo alcance de las Intervenciones es Operación y Mantenimiento Rutinario, y Puesta a Punto y Mantenimiento Periódico (ver Capítulo IV Infraestructura Proyectada en el Apéndice Técnico 1) hacen parte de la Entrega de la Infraestructura y no requieren Gestión Predial. Sin perjuicio que si el Concesionario determina que para el cumplimiento de las obligaciones del Contrato en estos tramos, como puede ser la construcción de puentes peatonales u obras de seguridad vial, entre otras, puedan necesitarse Predios Requeridos adicionales al derecho de vía que en su caso sí hacen parte de las obligaciones de Gestión Predial.
Los tramos con alcance de Intervenciones de Mejoramiento requieren la Gestión Predial de los predios para la ampliación del derecho de vía según las condiciones geométricas. En estos casos los predios de la Entrega de la Infraestructura corresponden con el corredor vial existente. De acuerdo con el Capítulo IV Infraestructura Proyectada en el Apéndice Técnico 1, los tramos de Mejoramiento son los siguientes:
- Mejoramiento de la intersección Parque del Azúcar en el Paso nacional por Palmira
Los alcances de Mejoramiento para los tramos Salida Palmira - Candelaria y Mejoramiento de la intersección Buldozer (en el tramo Salida Palmira - Pradera) no tienen predios identificados para Gestión Predial porque las fajas disponibles de terreno son suficientes para las Intervenciones, sin embargo dependerá de los Estudios de Trazado y Diseño Geométrico del Concesionario determinar si se necesitarían más Predios que deberán incluirse en las obligaciones de la Gestión Predial.
Los tramos con alcance de Construcción requieren la Gestión Predial de la franja establecida en el Capítulo IV Infraestructura Proyectada en el Apéndice Técnico 1. Estos tramos son:
- Construcción de la intersección Versalles en el Paso nacional por Palmira (únicamente los predios de ampliación de la intersección ya que la vía existente cuenta con el derecho de vía disponible y hará parte de la Entrega de la Infraestructura).
- Avenida Bicentenario y las intersecciones Av. Ciudad de Cali - Vía Cali-Puerto Tejada y Av. Ciudad de Cali - Vía Ye de Villa Rica-Jamundí (franja de doble calzada, en este tramo no habrá entrega de predios en la Entrega de la Infraestructura)
- Ye de Villa Rica - Av. Bicentenario (la segunda calzada requiere Gestión Predial, y la calzada existente hace parte de la Entrega de la Infraestructura).
- Glorieta Cencar - Glorieta Las Américas (la segunda calzada requiere Gestión Predial, y la calzada existente hace parte de la Entrega de la Infraestructura)
Los tramos Salida Palmira - Pradera con alcance de construcción de segunda calzada y la Intersección Sameco con alcance de Construcción no tiene predios identificados para Gestión Predial porque las fajas disponibles de terreno son suficientes para las Intervenciones, sin embargo dependerá de los Estudios de Trazado y Diseño Geométrico del Concesionario determinar si se necesitarían Predios para adelantar la Gestión Predial.
Las Instalaciones en el Corredor del Proyecto que incluyen el CCO, las estaciones de peaje, las estaciones de pesaje y las áreas de servicio son predios existentes y harán parte de la Entrega de la Infraestructura. Para estas instalaciones, las ampliaciones de los predios existentes deben incluirse en la Gestión Predial.
Para el detalle de los predios existentes y que provienen de las adquisiciones prediales de la Concesión 005 de 1999, los cuales incluyen al corredor y a las instalaciones (CCO, pesajes, peajes, áreas de servicio) pueden consultarse en los formatos GCSP-f-114_inventario_predial y sus anexos que se encuentran en la carpeta H del Cuarto de Información de Referencia. </t>
  </si>
  <si>
    <t>Se informa al interesado que la solicitud no es procedente, tanto el Plan de Adquisición de Predios como los Cronogramas que este incluye, se exigen para tener elementos de control y seguimiento sistemático de las actividades que componen estos planes, conforme al cronograma establecído. Para evitar mal entendimiento y subjetividad, se realizará el cambio en la parte correspondiente de la Parte General.</t>
  </si>
  <si>
    <t>Se aclara al interesado que la Sección 5.6(e) del Apéndice Técnico 7 tiene por objeto precisar que en el caso que se requiera la notificación por aviso, esta sea realizada utilizando como medio la página web de la ANI o en la página web del Concesionario. En tal sentido, esta Sección aplica en los dos casos definidos en en el Artículo 69 del Código de Procedimiento Administrativo y de lo Contencioso Administrativo es decir:
(i) Si no pudiere hacerse la notificación personal al cabo de los cinco (5) días del envío de la citación, esta se hará por medio de aviso que se remitirá a la dirección, al número de fax o al correo electrónico que figuren en el expediente o puedan obtenerse del registro mercantil, acompañado de copia íntegra del acto administrativo.
(ii) Cuando se desconozca la información sobre el destinatario, el aviso, con copia íntegra del acto administrativo, se publicará en la página electrónica y en todo caso en un lugar de acceso al público de la respectiva entidad ... (lo demás establecido en el Artículo 69).
Se aclara que el Código de Procedimiento Administrativo y de lo Contencioso Administrativo al ser esta parte de la Ley Aplicable se deben seguir aun cuando estas no se transcriban en el Apéndice Técnico 7, por tal motivo la obligación establecida en el Artículo 69 es igualmente aplicable para dejar en el expediente constancia de la remisión o publicación del aviso y de la fecha en que por este medio quedará surtida la notificación personal.</t>
  </si>
  <si>
    <t xml:space="preserve">Se informa al interesado que no se acoge la observación, y se aclara que ya está establecida la definición de Adjudicación de Predios en la Parte General (ver definiciones del Capítulo I).
</t>
  </si>
  <si>
    <t>Se informa al interesado que no se acoge la observación, y se aclara que ya está establecida la definición de Área Remanente No Desarrollable en el Apéndice Técnico 7 (ver definiciones del Capítulo II).</t>
  </si>
  <si>
    <t>Se aclara al interesado que ya está establecida la definición de Cesión de Predios en la Parte General (ver definiciones del Capítulo I).</t>
  </si>
  <si>
    <t>Se informa al interesado que no se acoge la observación, y se aclara que ya está establecida la definición de Cesión de Predios en la Parte General (ver definiciones del Capítulo I).</t>
  </si>
  <si>
    <t>Se informa al interesado que no se acoge la observación, y se aclara que ya está establecida la definición de Predios Adquiridos en la Parte General (ver definiciones del Capítulo I).</t>
  </si>
  <si>
    <t>Se aclara al interesado que la Sección 7.4 de la Parte General ya incluye la regulación de la Fuerza Mayor Predial, y entre las causas descritas se incluyen los plazos de las expropiaciones. Se incluyeron en el Contrato en la Parte General definiciones y disposiciones específicas para los plazos relativos al “Periodo de Exclusión 1” o “PE1 _(h )^(u )”, “Periodo de Exclusión 2” o “PE2 _(h )^(u )”, “Periodo de Exclusión 3” o “PE3 _(h )^(u )” que se regulan en la Sección 7.1(f)(ii).</t>
  </si>
  <si>
    <t>Se informa al interesado que no se considera procedente limitar en forma exclusiva el trámite de actualización de cabida y linderos a las compras totales porque de esta forma no se tendría en consideración los casos en los que con compras parciales se pueda generar la necesidad de esta actualización. Ahora bien, se aclara que las obligaciones de la Sección 4.3(c)(ii)(1) se refieren a Predios acorde con la definición de la Sección 1.145 de la Parte General, es decir limitado al terreno necesario para la completa disposición del Corredor del Proyecto, igualmente es pertinente aclarar que la Resolución IGAC 193 de 2014 reglamenta el artículo 26 de la Ley 1682 de 2013, por lo tanto se trata de una disposición normativa y según la Ley 1682 es aplicable en caso de requerirse en los siguientes términos: "En caso que en el proceso de adquisición o expropiación de inmuebles necesarios para la realización de proyectos de infraestructura de transporte, se requiera la actualización de cabida y/o linderos, la entidad pública, o quien haga sus veces, procederá a solicitar dicho trámite ..." (subrayado fuera del texto).  Por lo que su observación no procede.</t>
  </si>
  <si>
    <t>Se aclara al interesado que la condición tal como lo define la Sección 4.4 de la Parte General se refiere a la primera Unidad Funcional cuya ejecución deba comenzar al inicio de la Fase de Construcción, y que puede ser con predios adquiridos o predios disponibles para completar el 40%. La Sección 2.6 del Apéndice Técnico 7 se refiere en forma general al inicio de todas las Unidades Funcionales en tanto se menciona "que deben acometerse al inicio y durante la Fase de Construcción", por lo tanto, para el caso específico de la primera Unidad Funcional debe referirse a las Condiciones Precedentes para el Inicio de la Fase de Construcción en la Sección 4.4 de la Parte General que se refiere a la primera Unidad Funcional.</t>
  </si>
  <si>
    <t xml:space="preserve">Se informa al interesado que su observación es correcta, por tanto las referencias a la Secciones 8.2 y 8.2(d), consignadas en la sección 8.3 del Apéndice Técnico Predial se corregirán, y se referirán a las secciones del Capítulo VII, respectivamente 7.2 y 7.2(f) de la Parte General.
Asimismo, se aclara que la Sección 8.3(d) del Apéndice Técnico 7 desarrolla la validación y verificación de las cuentas de las que trata la Sección 7.2(f) de la Parte General, por lo tanto es complementaria de dichas disposiciones. Se estima conveniente aclarar la redacción en el Apéndice Técnico 7 y la referencia a la Sección 7.2(f) de la Parte General. </t>
  </si>
  <si>
    <t xml:space="preserve">Se informa al interesado que en lo relacionado con el Cronograma del Trabajo Predial y considerando que el mismo describe las actividades y tiempos en los que se deberá ejecutar la gestión predial, consideramos pertinente los 2 meses para la entrega, después de suscrita el acta de inicio </t>
  </si>
  <si>
    <t xml:space="preserve">Se informa al interesado que la adquisición predial para esta obra está en proceso dentro de la liquidación del contrato de concesión 005 de 1999. Debido a que el estado de la adquisición y titularización a nombre de la ANI puede ocurrir con posterioridad al Acta de Inicio, se incluyen condiciones particulares para la Entrega de la Infraestructura de esta obra en la Sección 3.6 de la Parte </t>
  </si>
  <si>
    <t>Se informa al interesado que las diferencias podrán ser tratadas en un Comité Especial de Predios el cual se incluye en el Apendice Técnico 7 - Predial.</t>
  </si>
  <si>
    <t>Se informa al interesado que la información de los Predios depende de los Estudios de Detalle a desarrollar por el Concesionario, por lo tanto no procede la solicitud.
Respecto a la disponibilidad de información predial, el Cuarto de Información de Referencia incluye los estudios de factibilidad para los Predios Requeridos para nueva construcción y ampliaciones, y para ampliar la información de antecedentes del proyecto se incluirá en el Cuarto de Información de Referencia la reversión del contrato 005 de 1999. Es importante precisar que esta información estará disponible a título meramente informativo acorde con las condiciones de la Sección 1.7 Cuarto de Información de Referencia del Pliego de Condiciones.
Asimismo, se aclara al interesado que el Concesionario tendrá a su cargo los costos definidos en el Contrato, en especial por lo dispuesto en el Capítulo VII de la Parte General y la Sección 8.3 del Apéndice Técnico 7, los cuales no incluyen impuestos prediales de los predios a ser adquiridos.</t>
  </si>
  <si>
    <t>respuesta enviada por juan camilo el 14 de agosto</t>
  </si>
  <si>
    <t>Se informa al interesado que no se acepta su observación. El numeral 3 se refiere a intereses remuneratorios y el numeral 4 se refiere a intereses moratorios.</t>
  </si>
  <si>
    <t>Se aclara al interesado que la Ficha Predial será elaborada por el Concesionario, por lo cual no se determinan terceros que participen en el proceso y les sean imputables causas de retrasos. Ahora bien, si para la obtención de la información de los anexos de la Ficha Predial se requiere que alguna Autoridad Estatal resuelva la solicitud del Concesionario, la excedencia de plazos de trámites podrá ser tratada según la Fuerza Mayor definida en la Sección 1.79 de la Parte General.</t>
  </si>
  <si>
    <t>Se informa al interesado que al respecto, el Contrato ya incluye las condiciones específicas en la Sección 3.6 de la Parte Especial, que identifica los tramos en los que el estado de la adquisición predial puede afectar la Entrega de la Infraestructura. Para conocimiento de los antecedentes se puede consultar la Carpeta H del Cuarto de Información de Referencia sobre la reversión de la anterior concesión. Es importante precisar que esta información estará disponible a título meramente informativo acorde con las condiciones de la Sección 1.7 Cuarto de Información de Referencia del Pliego de Condiciones.
Lo anterior no excluye al Concesionario de la responsabilidad en la identificación jurídica y catastral de los predios, el análisis y debida diligencia que debe tener en la etapa de preconstrucción y que deberá ser tenida en cuenta en el Plan de Adquisición de Predios.</t>
  </si>
  <si>
    <t>Se informa al interesado que al momento de hacer el reconocimiento de las franjas a adquirir en los estudios de estructuración no se identificaron situaciones de invasión, por consiguiente tampoco la necesidad de restitución.
Lo anterior no excluye al Concesionario de la responsabilidad en la identificación jurídica y catastral de los predios,  el análisis y debida diligencia que debe tener en la etapa de preconstrucción y que deberá ser tenida en cuenta en el Plan de Adquisición de Predios.</t>
  </si>
  <si>
    <t>Se aclara al interesado que esta condición es coherente con los alcances definidos en el Contrato para la Gestión Predial, toda vez que las acciones de adquisición de Predios y Compensaciones Socioeconómicas son necesarias para adquirir las fajas de terreno o las partes de la faja requeridas para llevar a cabo las Intervenciones y en cumplimiento de las Especificaciones Técnicas. No se considera procedente incluir reservas ni condicionamientos sobre este aspecto.
Se informa que los casos particulares en los que se identifican necesidades especiales por el estado de los Predios, ya se regulan en la Sección 3.6(f) de la Parte Especial.
Lo anterior no excluye al Concesionario de la responsabilidad en la identificación jurídica y catastral de los predios,  el análisis y debida diligencia que debe tener en la etapa de preconstrucción y que deberá ser tenida en cuenta en el Plan de Adquisición de Predios.</t>
  </si>
  <si>
    <t>Se informa al interesado que esta información hace parte de la debida diligencia a desarrollar por el Oferente para la presentación de su Oferta. Para ello podrá utilizar a título informativo la información predial de la Carpeta H del Cuarto de Información de Referencia. Es importante precisar que esta información estará disponible a título meramente informativo acorde con las condiciones de la Sección 1.7 Cuarto de Información de Referencia del Pliego de Condiciones.</t>
  </si>
  <si>
    <t>Se informa al interesado que no se considera procedente extender los plazos. Si bien se requieren trámites de diversa índole que serán definidos en el Plan de Trámites Ambientales, existen Intervenciones que se pueden adelantar con instrumentos ambientales PAGA que permitirán procesos más expeditos para al menos una parte de las obras.</t>
  </si>
  <si>
    <t>Se contesta la observación en el entendimiento que se refiere a la Sección 5.4 Cierre Ambiental. 
Se aclara al interesado que los casos en los que haya obligaciones con fechas posteriores a la terminación de las obras se incluyen en la Sección 5.4 (b) por lo que no se considera necesario modificar la redacción.</t>
  </si>
  <si>
    <t>Se informa al interesado que las licencias ambientales existentes son las enumeradas en los tres expedientes que se consignan en el Capítulo IX del Apéndice Técnico 6. La obtención de las Licencias y Permisos para las Intervenciones del Proyecto actual, incluida la de la Avenida Bicentenario, hacen parte de las obligaciones del Capítulo 8 de la Parte General relativo a la Gestión Social y Ambiental que desarrollará el Concesionario. En el Cuarto de Información de Referencia en la carpeta E231211 se encuentra el pronunciamiento de ANLA acerca la no necesidad de tramitar Diagnóstico Ambiental de Alternativas para la Avenida Bicentenario (antes prolongación Avenida Ciudad de Cali) y los términos del estudio de impacto ambiental para la obtención de la licencia.</t>
  </si>
  <si>
    <t>Se aclara al interesado que Las licencias ambientales existentes son las enumeradas en los tres expedientes que se consignan en el Capítulo IX del Apéndice Técnico 6 sobre las cuales el Concesionario debe aceptar en cesión obligatoria de la que trata la sección 4.4.(a) del mismo apéndice, con todas las obligaciones pendientes de cumplimiento y las obligaciones por ejecutar hasta obener el cierre de los expedientes. El estado de las licencias puede ser consultado en los expedientes relacionados en la Tabla 2. Ademas de lo anterior, el Concesionario deberá tramitar y obtecer las Licencias y Permisos Ambientales que resulten necesarios para poder ejectar  los tramos de nueva construcción establecidos por el proyecto.
Se aclara al interesado la siguiente información sobre los expedientes a título informativo:
- El expediente LAM1015 está en proceso de cierre.  
- El expediente LAM3423 debe permanecer abierto para acometer las obras civiles pendientes de ejecución. Estos dos expedientes cuentan con los respectivos Autos de Seguimiento en donde están contenido el estado de las obligaciones ambientales pendientes de ejecución. 
- En lo relacionado con el Expediente 1659 se debe manifestar que la última visita de seguimiento de la ANLA se realizó a mediados de marzo de 2020, sin embargo, a la fecha de respuesta aún no se cuenta con el Auto de Seguimiento de la ANLA, por lo que se carga el Auto de Seguimiento realizado en 2018.
- En lo relacionado con el expediente LAM1380 se presenta el último Auto de Seguimiento de abril de 2019. 
- Se está reuniendo los Actos administrativos asociados a los Expedientes LAM1380 y LAM1659, pero a la fecha no se cuenta con toda la información solicitada. Estos dos expedientes también deben permanecer abiertos hasta terminar las obras y obligaciones que están pendientes de ejecución. 
- Entretanto, los Autos de Seguimiento de los LAM1015 y 3423 relacionan todas las actividades que están pendientes cumplimiento o de ejecución.
Se aclarar que en la Tabla 2 del Apéndice Técnico 6 solo se relacionan las obras y actividades que están pendientes de ejecución. Sin embargo, el Concesionario adjudicatario, al aceptar en cesión total las licencias ambientales, debe atender por su cuenta y riesgo todos los requerimientos de gestión ambiental asociados a los mismos que realice la ANLA, tales como, la  remisión de entrega de información (ICA´s – GDB´s asociadas), actualización de planes de gestión del riesgo, atención de visitas se seguimiento, pagos por concepto de seguimiento, además de las obligaciones necesarias  y asociadas a la atención de los acuerdos de consulta previa de las gestiones asociadas a la Autoridad Nacional de Consulta Previa, sin limitarse a estos; hasta obtener el cierre del expediente de Licenciamiento Ambiental.</t>
  </si>
  <si>
    <t>Se informa al interesado que el estado de las licencias puede consultarse en los expedientes relacionados en la Tabla 2 del Capítulo IX del Apéndice Técnico 6.
Es pertinente aclarar que el Artículo 2.2.2.3.8.4 del Decreto 1076 de 2015 del 26 de mayo de 2015, señala que “El beneficiario de la licencia ambiental en cualquier momento podrá cederla total o parcialmente, lo que implica la cesión de los derechos y obligaciones de ella se deriva (…)” y no cesión de responsabilidades. Es así que la ANLA ha señalado en diferentes actos administrativos que “la normativa vigente no contempla alguna posibilidad de cesión de los procesos sancionatorios, los cuales tienen el carácter de intuito personal, por lo cual, la cesión de derechos y obligaciones de una Licencia Ambiental o de un Plan de Manejo Ambiental no implica per se la cesión de los procesos sancionatorios promovidos con ocasión de las infracciones ambientales derivadas de los instrumentos de manejo ambiental, por las que está llamado a responder el titular del instrumento para la época de los hechos”. Por ende, ni procesos sancionatorios, ni multas serán objeto de cesión al adjudicatario de la concesión.</t>
  </si>
  <si>
    <t>Se informa al interesado que la obtención tardía de Licencias y Permisos por demora de la Autoridad Ambiental se encuentra regulado como un evento de Fuerza Mayor Ambiental en la Sección 8.1(h). La ANI considera que la redacción propuesta es suficiente para el Contrato.</t>
  </si>
  <si>
    <t xml:space="preserve">Se informa al interesado que en la subcuenta cambio climático, según el numeral (3) el manejo de los recursos será responsabilidad exclusiva del Concesionario con la Entidad Cooperante, y según el numeral (2) los aportes serán única y exclusivamente para ejecución de programas de mitigación y adaptación según los lineamientos de la Entidad Cooperante. Dicho esto, las condiciones para ordenar el desembolso de recursos con cargo a esta subcuenta se definirán en los acuerdos que se establezcan entre el Concesionario y la Entidad Cooperante. </t>
  </si>
  <si>
    <t xml:space="preserve">Se informa al interesado que no se acepta la redacción propuesta. Los aspectos a los que hace alusión el Interasado están regulados en el Contrato de manera suficiente y clara. </t>
  </si>
  <si>
    <t>Se informa al interesado que las consultas que se realizaron a las autoridades ambientales sobre los estudios de factibilidad fueron todas pronunciadas en el sentido de no necesitar diagnóstico ambiental de alternativas, entre ellas por ser más relevante en la observación el trazado de la Avenida Bicentenario y la duplicación de calzada de la UF4. A título informativo estos antecedentes pueden consultarse en la Carpeta E del Cuarto de Información de Referencia, según las condiciones de la Sección 1.7 del Pliego de Condiciones.</t>
  </si>
  <si>
    <t>Esta definición corresponde a los Estudios de Trazado y Diseño Geométrico y Diseños de Detalle que desarrolle el Concesionario por cuanto son determinantes en las áreas que definan al Corredor del Proyecto. De otra parte, en el proceso de estructuración, no se identificaron reservas forestales para sustracción, pero hay reservas naturales de la sociedad civil (La Cabaña) y reservas naturales regionales (El Vínculo) contiguas al Corredor del Proyecto que dependiendo de los Estudios de Trazado podrían afectarse. Dicha información podrá encontrarse en el Cuarto de Información de Referencia, a título informativo, según las condiciones de la Sección 1.7 del Pliego de Condiciones.</t>
  </si>
  <si>
    <t>Se informa al interesado que según los expedientes 1659 (10000 individuos), 1015 (1010 individuos en compensación por la variante de Yotoco) y 3423 (3,66 ha y 795 árboles), se tienen compensaciones forestales en etapa de mantenimiento.</t>
  </si>
  <si>
    <t>Se aclara al interesado que Las licencias ambientales existentes son las enumeradas en los tres expedientes que se consignan en el Capítulo IX del Apéndice Técnico 6 sobre las cuales el Concesionario debe aceptar en cesión obligatoria de la que trata la sección 4.4.(a) del mismo apéndice, con todas las obligaciones pendientes de cumplimiento y las obligaciones por ejecutar hasta obener el cierre de los expedientes. El estado de las licencias puede ser consultado en los expedientes relacionados en la Tabla 2. Ademas de lo anterior, el Concesionario deberá tramitar y obtecer las Licencias y Permisos Ambientales que resulten necesarios para poder ejectar  los tramos de nueva construcción establecidos por el proyecto.</t>
  </si>
  <si>
    <t>Se informa al interesado que el puente peatonal Aguazul se encuentra actualmente en construcción, para permitir que la Entrega de Infraestructura no interfiera el estado de la construcción se incluyeron condiciones específicas en la Parte Especial Sección 3.6. Se confirma el entendimiento acerca que proviene de acuerdos de consulta previa.</t>
  </si>
  <si>
    <t>Se informa al interesado que en lo que refiere al LAM3423 se cargó en el Cuarto de Información de Referencia, el Acta No. 49 de 2020, la cual recoge el seguimiento del cumplimiento al Plan de Manejo Ambiental, otorgada mediante la Resolución 1496 del 28 de julio de 2006 y sus posteriores modificaciones, así como a los requerimientos realizados con posterioridad porla ANLA mediante los autos de control y seguimiento ambiental, teniendo en cuenta la información documental contenida en el citado expediente. 
Dicha información podrá encontrarse en el Cuarto de Información de Referencia, a título informativo, según las condiciones de la Sección 1.7 del Pliego de Condiciones.</t>
  </si>
  <si>
    <t>Se informa al interesado que en lo que refiere al LAM1659 el último acto administrativo de seguimiento proferido por la ANLA corresponde al Auto 8198 de 2018 el cual está disponible para consulta en el Cuarto de Información de Referencia. 
Dicha información podrá encontrarse en el Cuarto de Información de Referencia, a título informativo, según las condiciones de la Sección 1.7 del Pliego de Condiciones.</t>
  </si>
  <si>
    <t>Se aclara al interesado que la cesión obligatoria de las licencias es sobre los tramos del alcance del Contrato. Es decir que los tramos fuera del Corredor del Proyecto no se consideran en las cesiones parciales.</t>
  </si>
  <si>
    <t>Se informa al interesado que en el Capítulo III del Apéndice Técnico 1 se señala la infraestructura existente que será objeto de la Entrega de la Infraestructura, y según los alcances de la infraestructura proyectada del capítulo IV del mismo apéndice, las Intervenciones de Construcción requieren adelantar la Gestión Predial y adquisición predial, tanto en tramos viales como en intersecciones e instalaciones. Las situaciones particulares de Predios relacionados con la infraestructura existente se regulan en la Parte Especial en la Sección 3.6(f).</t>
  </si>
  <si>
    <t>Se informa al interesado que no se identificaron predios baldíos, sin embargo se puede consultar la información jurídica en los anexos de la carpeta E1, y para la intersección Versalles y paso nacional Palmira en la carpeta G1111. Se aclara que esta información estará disponible a título meramente informativo acorde con las condiciones de la Sección 1.7 Cuarto de Información de Referencia del Pliego de Condiciones
Lo anterior no excluye al Concesionario de la responsabilidad en la identificación jurídica y catastral de los predios, el análisis y debida diligencia que debe tener en la etapa de preconstrucción y que deberá ser tenida en cuenta en el Plan de Adquisición de Predios. Y en caso de identificar predios con esta connotación, será su responsabilidad adelantrar los trámites necesarios tendientes a su titulación de conformidad con lo establecido en el Contrato y en las normas que regulan esta materia.</t>
  </si>
  <si>
    <t>Se informa al interesado que no se identificaron predios ejidos, sin embargo se puede consultar la información jurídica en los anexos de la carpeta E1, y para la intersección Versalles y paso nacional Palmira en la carpeta G1111. Se aclara que esta información estará disponible a título meramente informativo acorde con las condiciones de la Sección 1.7 Cuarto de Información de Referencia del Pliego de Condiciones
Lo anterior no excluye al Concesionario de la responsabilidad en la identificación jurídica y catastral de los predios, el análisis y debida diligencia que debe tener en la etapa de preconstrucción y que deberá ser tenida en cuenta en el Plan de Adquisición de Predios. Y en caso de identificar predios con esta connotación, será su responsabilidad adelantrar los trámites necesarios tendientes a su titulación de conformidad con lo establecido en el Contrato y en las normas que regulan esta materia.</t>
  </si>
  <si>
    <t xml:space="preserve">Se informa al interesado que se revisaron los planes de urbanización y planes parciales, en especial en los municipios de Cali y Jamundí se surtieron validaciones del trazado según los planes y licencias adoptadas y en evaluación. En el sur de Cali se tienen zonas de reserva vial según el POT que se incluyen en las áreas de cesión de los planes parciales, sin embargo sólo una parte de los planes han surtido las actuaciones urbanísticas y licenciamientos que hacen efectivas esas cesiones, por lo que los Predios fuera de las cesiones efectivas se estiman para la gestión predial.
Lo anterior no excluye al Concesionario de la responsabilidad en la identificación, análisis y debida diligencia que debe hacer en la etapa de preconstrucción y que deberá ser tenida en cuenta en el Plan de Adquisición de Predios. </t>
  </si>
  <si>
    <t>Se informa al interesado que dicha información fue obtenida en 2018.</t>
  </si>
  <si>
    <t>Se informa al interesado que como criterio para la estimación se tomaron valores aproximados para suplir la información específica de las actividades económicas de cada tipo de predio.</t>
  </si>
  <si>
    <t>Se informa al interesado que en el Cuarto de Información de Referencia se encuentra la información cartográfica de zonas homogéneas físicas y geoeconómicas. Dentro del informe se encuentra la sustentación de la obtención de esas zonas homogéneas.
Finalmente se aclara que esta información estará disponible a título meramente informativo acorde con las condiciones de la Sección 1.7 Cuarto de Información de Referencia del Pliego de Condiciones.</t>
  </si>
  <si>
    <t>Se informa al interesado que el área de construcciones se estima en los anexos de inventarios prediales. Se aclara que esta información estará disponible a título meramente informativo acorde con las condiciones de la Sección 1.7 Cuarto de Información de Referencia del Pliego de Condiciones.</t>
  </si>
  <si>
    <t>Se informa al interesado que no se identificaron invasiones al momento de hacer las identificaciones de campo.
Lo anterior no excluye al Concesionario de la responsabilidad en la identificación jurídica y catastral de los predios,  el análisis y debida diligencia que debe tener en la etapa de preconstrucción y que deberá ser tenida en cuenta en el Plan de Adquisición de Predios</t>
  </si>
  <si>
    <t xml:space="preserve">Se informa al interesado que los valores se estimaron en tres rangos: 
INDUSTRIA LIVIANA 
INDUSTRIA MEDIANA 
INDUSTRIA PESADA </t>
  </si>
  <si>
    <t>Se informa al ineresado que la información fue considerada dentro de la estimación de costos, considerando especialmente los cultivos permanentes en la zona. Aunque en el Cuarto de Información de Referencia no se incluyen datos de costos por estar vinculados a la reserva legal del modelo financiero, se puede tomar información de las ortofotos de la carpeta A, y la información de coberturas de los análisis ambientales de la carpeta E2 y geodatabase del E2312. Se aclara que esta información estará disponible a título meramente informativo acorde con las condiciones de la Sección 1.7 Cuarto de Información de Referencia del Pliego de Condiciones.</t>
  </si>
  <si>
    <t>Se informaal interesado que al respecto el Contrato ya incluye las condiciones específicas en la Sección 3.6 de la Parte Especial, que identifica los tramos en los que el estado de la adquisición predial puede afectar la Entrega de la Infraestructura. Para conocimiento de los antecedentes se puede consultar la Carpeta H del Cuarto de Información de Referencia sobre la reversión de la anterior concesión. Finalmente, se aclara que esta información estará disponible a título meramente informativo acorde con las condiciones de la Sección 1.7 Cuarto de Información de Referencia del Pliego de Condiciones.</t>
  </si>
  <si>
    <t>Se informa al interesado que en el momento en el que se levantó la información predial en campo no se detectaron invasiones en el derecho de vía. 
Lo anterior no excluye al Concesionario de la responsabilidad en la identificación jurídica y catastral de los predios,  el análisis y debida diligencia que debe tener en la etapa de preconstrucción y que deberá ser tenida en cuenta en el Plan de Adquisición de Predios.</t>
  </si>
  <si>
    <t>Se aclara al interesado que las obligaciones del contrato se orientan a la debida diligencia del Concesionario, al respecto la Sección 13.2(v) dice de forma explícita frente a este riesgo "... en tanto es obligación del Concesionario tomar las medidas necesarias previstas en la Ley Aplicable para la defensa y protección del Corredor del Proyecto ante las Autoridades Estatales competentes en la debida forma y oportunidad". En forma coordinada se desarrollan las obligaciones de la Sección 5.2.2.5.4.3 Recuperación de Espacio Público del Apéndice Técnico 8, y la Sección 8.1 Restitución de Bienes de Uso Público del Apéndice Técnico 7.</t>
  </si>
  <si>
    <t>Se aclara al interesado que esta condición es coherente con los alcances definidos en el Contrato para la Gestión Predial, toda vez que las acciones de adquisición de Predios y Compensaciones Socioeconómicas son necesarias para adquirir las fajas de terreno o las partes de la faja requeridas para llevar a cabo las Intervenciones y en cumplimiento de las Especificaciones Técnicas. No se considera procedente incluir reservas ni condicionamientos sobre este aspecto.
Se informa que los casos particulares en los que se identifican necesidades especiales por el estado de los Predios, ya se regulan en la Sección 3.6(f) de la Parte Especial.
Lo anterior no excluye al Concesionario de la responsabilidad en la identificación jurídica y catastral de los predios,  el análisis y debida diligencia que debe tener en la etapa de preconstrucción y que deberá ser tenida en cuenta en el Plan de Adquisición de Predios</t>
  </si>
  <si>
    <t>Se informa al interesado que dicha información hace parte de la debida diligencia a desarrollar por el oferente para la presentación de su Oferta. Para ello podrá utilizar, a título informativo, la información predial de la Carpeta H del Cuarto de Información de Referencia. Se aclara que esta información estará disponible a título meramente informativo acorde con las condiciones de la Sección 1.7 Cuarto de Información de Referencia del Pliego de Condiciones.</t>
  </si>
  <si>
    <t xml:space="preserve">Aunque la Entidad entiende la situación actual y en respuesta a la misma se han ampliado los plazos, se informa al interesado que será responsabilidad de los Oferentes visitar e inspeccionar los sitios en los cuales se desarrollará el Proyecto, realizando todas las evaluaciones y estimaciones que sean necesarias para presentar su Oferta. Esta obligación hace parte de la debida diligencia que deberá adelantar en el Proceso de Selección. En todo caso se precisa que los lugares en que deben realizarse las visitas son transitables por el público adoptando las medidas de bioseguridad requeridas por el Gobierno Nacional.  </t>
  </si>
  <si>
    <t xml:space="preserve">Se informa al interesado que no se acepta su observación. El cumplimiento de las Especificaciones Técnicas no eximirá al Concesionario de las obligaciones a su cargo. Considerando que las Especificaciones Técnicas se refieren a exigencias mínimas que deberán ser adoptadas por el Concesionario en cumplimiento de sus labores en el Contrato, la ANI no aceptará ninguna reclamación ni solicitud de extensión de plazo ni solicitudes de compensaciones diferentes a las establecidas en el Contrato. </t>
  </si>
  <si>
    <t xml:space="preserve">Se informa al interesado que no se acepta su observación. Corresponde a la debida diligencia de cada Oferente determinar el contenido y alcance de su Oferta. En todo caso, las condiciones establecidas en el Pliego de Condiciones son claras al indicar cada uno de los requisitos de la Oferta.  
</t>
  </si>
  <si>
    <t>Se le informa al interesado que no se acepta su observación. Tal y como se establece en el capítulo 13 del Contrato Parte General, las condiciones de entrega de infraestructura son un riesgo que asumirá el futuro concesionario, por lo que todos los posibles interesados son responsables de realizar la debida diligencia, en cuanto al estado de la infraestructura que podrían recibir. Se precisa al interesado que esta misma regulacion se encontraba en la minuta del programa de 4G.</t>
  </si>
  <si>
    <t>Se informa al interesado que no se acepta su observación. El Concesionario está obligado a entregar al Interventor el Plan de Obras incluyendo el cronograma de las obras discriminado por Unidades Funcionales y la forma como se planearán las Intervenciones para finalizar las Unidades Funcionales en las fechas máximas previstas por la Parte Especial.
El mecanismo de plazo adicional sin sanciones se encuentra debidamente regulado en la Parte General y la ANI considera que ambas regulaciones son razonables. Razones por las cuales la entidad no considera procedente su solicitud.</t>
  </si>
  <si>
    <t>Se informa al interesado que no se acepta su observación. La Multa prevista en la Sección 6.1(p) busca conminar al Concesionario de forma tal que cumpla con la obligación establecida en el Contrato de estar al día en el pago de salarios, prestaciones sociales y parafiscales de los empleados del Concesionario así como de cualquier trabajador. Esta Multa se entenderá sin perjuicio de las sanciones establecidas en la ley para el incumplimiento de este tipo de obligaciones.</t>
  </si>
  <si>
    <t xml:space="preserve">Se informa al interesado que se tendrá en cuenta su observación al momento de publicar el Pliego Definitivo. En todo caso, se indica al interesado que puede realizar observaciones haciendo referencia a las Secciones correspondientes, y de ser el caso, a la línea en la que se encuentra el punto a ser observado. </t>
  </si>
  <si>
    <t>Se informa la interesado que no se acepta su observación. La Entidad considera que la definición de Concesión incluye los elementos esenciales que describen la experiencia solicitada y no se estima necesario modificar dicho requisito.</t>
  </si>
  <si>
    <t xml:space="preserve">Se aclara al interesado que la redacción contenida en esta definición busca asegurar que se cumpla cualquier condición establecida en el contrato para suscribir el Acta de Inicio de Fase de Construcción, independiente de que esté taxativamente en la sección 4.4. La ANI considera que las condiciones son claras y por lo tanto no es necesario hacer el ajuste requerido. </t>
  </si>
  <si>
    <t xml:space="preserve">Se informa al interesado que la redaccion actual se considera adecuada, por lo que no se acepta la propuesta de ajuste. </t>
  </si>
  <si>
    <t xml:space="preserve">Se informa al interesado que no se acepta su observación. La ANI deberá aprobar expresamente la modificación al Plan de Obras por un Evento Eximente de Responsabilidad o por causas imputables a la ANI. </t>
  </si>
  <si>
    <t xml:space="preserve">Se informa al interesado que no se acepta su observación. La ANI y la Interventoría deberán pronunciarse expresamente frente a la verificación para que la misma se entienda aprobada, dada la importancia de este aspecto. </t>
  </si>
  <si>
    <t>Se informa al interesado que no se acepta la observación. La verificación de las Intervenciones no implica la aceptación definitiva de las mismas. En el evento en que se advierta que las Intervenciones no cumplen con cualquiera de las reglas contenidas en el Contrato, el Concesionario deberá tomar las medidas correctivas correspondientes.</t>
  </si>
  <si>
    <t xml:space="preserve">Se informa al interesado que la ANI no considera necesario hacer la referida aclaración, toda vez que los eventos regulados en el contrato, en los cuales el Interventor y/o la ANI pueden objetar los Estudios de Trazado y Diseño Geométrico y/o los Estudios de Detalle, son claros. </t>
  </si>
  <si>
    <t>Se informa al interesado que la sección objeto de observación fue modificada, y se incluye una precision similar a la de su comentario. El ajuste se incluirá en la minuta que se publicará con el Pliego de Condiciones Definitivo.</t>
  </si>
  <si>
    <t xml:space="preserve">Se informa al interesado que no se acepta su observación. El proceso de selección que deberá adelantar el Concesionario le permtirá elegir la mejor propuesta que le presenten de forma tal que cumpla con las necesidades del Proyecto. Por su parte, se aclara al interesado que el Concesionario es responsable frente a la ANI por el Proyecto, en esta medida, independientemente de la responsabilidad de los contratistas y subcontratistas frente al Concesionario, este último es quien debe responder directamente frente a la ANI. Para el caso particular, responderá por la calidad y estabilidad de las obras ejecutadas por el tercero que sea contratado. </t>
  </si>
  <si>
    <t>Se aclara al interesado que esta redacción se refiere a que en el evento que existan vías o tramos que cuenten con garantías de calidad y estabilidad de obras al momento de la Entrega de la Infraestructura, esto no exime al Concesionario del cumplimiento de las Especificaciones Técnicas de Operación y Mantenimiento contenidas en los Apéndices Técnicos 2 y 4. Estas obligaciones se detallan en la Sección 3.6(d) de la Parte Especial.</t>
  </si>
  <si>
    <t>respuesta enviada por juan camilo el 18 de agosto</t>
  </si>
  <si>
    <t xml:space="preserve">Se informa al interesado que de acuerdo con la Sección 14.2. (g) (iii) el reconocimiento de costos ociosos aplicará cuando se cumplan los siguientes eventos en ejecución del Contrato: (i) que el Evento Eximente de Responsabilidad impida la ejecución de la totalidad o una parte sustancial de las Intervenciones y (ii) que esta parálisis implique que ciertos recursos queden ociosos por no poder ser utilizados para ninguna actividad relacionada o no con el Contrato. </t>
  </si>
  <si>
    <t>Se informa al interesado que no se acepta su observación. La existencia de un evento de Fuerza Mayor tiene como consecuencia directa que la obligación afectada por este evento no será exigible al Concesionario por el tiempo en que persista la situación que dio origen al evento de Fuerza Mayor. La obligación pendiente de cumplimiento únicamente será exigible al Concesionario cuando la Fuerza Mayor no impida su cumplimiento. Teniendo en cuenta lo anterior, no resulta necesario incluir un mecanismo de compensación específica para el Concesionario.</t>
  </si>
  <si>
    <t>Se informa al interesado que su apreciación no es correcta y su solicitud no es procedente. La asignación de riesgos asociados a la Gestión Ambiental y Social corresponde con lo estipulado en el Capítulo XIII por lo cual no se estima procedente incluir modificaciones.</t>
  </si>
  <si>
    <t xml:space="preserve">Se informa al interesado que no se considera procedente modificar la matriz de riresgos; de otra parte se debe aclarar al interesado que los riesgos por compensaciones socioambientales son compartidos de acuerdo con las disposiciones contenidas en el apartado 8.1(C) de la Parte General. 
Se aclara al interesado que el CONPES 3714 no es aplicable a este tipo de proyectos toda vez que los mismos se enmarcan en proyectos de Asociación Público Privada, los cuales están asociada al CONPES 3107 y 3760. 
Adicionalmente, la Entidad reconoce que la preocupación y argumentos desarrollado por el interesado son válidos y los mismos son atendidos por las definiciones de fuerzas mayores ambientales desarrolladas detalladamente dentro de la sección 13.3 (t) del Contrato Parte General y demás secciones asociadas a un evento de Fuerza Mayor de este tipo. </t>
  </si>
  <si>
    <t>respuesta enviada por juan  camilo el 18 de agosto</t>
  </si>
  <si>
    <t>Se informa al interesado que en el Cuarto de Información de Referencia no se incluyen los costos asociados a los programas diseñados para los temas ambientales y sociales, debido a que los msmos hacen parte de la información con reserva que hace parte del modelo financiero.</t>
  </si>
  <si>
    <t>Se informa al interesado que no se tramitaron licencias ambientales para los tramos de nueva construcción durante el proceso de estructuración, esta es una obligación que corresponde al Concesionario dentro de la Gestión Social y Ambiental.</t>
  </si>
  <si>
    <t>Se informa al interesado que el pronunciamiento de ANLA se puede consultar en la carpeta E241227 del Cuarto de Información de Referencia. Se aclara que esta información estará disponible a título meramente informativo acorde con las condiciones de la Sección 1.7 Cuarto de Información de Referencia del Pliego de Condiciones.</t>
  </si>
  <si>
    <t>Se informa al interesado una vez analizada la solicitud, no se encuentra procedente eliminar el procedimiento descrito en la Sección 4.1(b)(2)(ii) del Apéndice Técnico 6. Dicho procedimiento, que cubre únicamente a los estudios de impacto ambiental y es de plazos más cortos que la Revisión de los Estudios de Trazado y Diseño Geométrico y los Estudios de Detalle, se considera necesario para el control de los trámites de licencias cuyas consecuencias afectan a los riesgos ambientales compartidos y a la utilización de la Subcuenta Compensaciones Socioambientales.
De otra parte, se aclara al interesado que en el apartado al que hace referencia en su pregunta, la Interventoría emitirá conceptos de "No Objeción" más no conceptos de "Aprobación" por lo que ni la ANI ni la Interventoría asumiran riesgo alguno sobre los estudios ambientales, ni por el trámite de evaluación de los mismos ante las Autoridades Ambientales.</t>
  </si>
  <si>
    <t>Se informa al interesado que sí se contemplan los plazos. Las actividades de estudios ambientales, licencias y permisos hacen parte de las obligaciones de la Etapa Preoperativa definidas en el Capítulo VIII de la Parte General, y se deben definir por el Concesionario en la Plan de Trámites Ambientales según la Sección 4.2 del Apéndice Técnico 6 dentro del plazo de la Fase de Preconstrucción.</t>
  </si>
  <si>
    <t>Se informa al interesado que la ley de Infraestructura establece en el artículo 39 que los proyectos que salgan a adjudicación deben contar con viabilidad ambiental, la citada norma la define como la alternativa del proyecto aprobada por parte de la autoridad ambiental competente con base en estudios de prefactibilidad. Ahora, el Decreto 1076 de 2015 en su artículo 2.2.2.3.3.1. "De los estudios ambientales" señala que los estudios ambientales son el DAA y el EIA. En el proceso de estructuración no se requirió del trámite de DAA por lo que no fue aplicable la "Metodología General para la Elaboración y Presentación de Estudios Ambientales", por lo que no se generaron dichas GDB´s. 
De otra parte es preciso señalar que la información contenida en el cuarto de datos está disponible a título meramente informativo, acorde con las condiciones de la Sección 1.7 Cuarto de Información de Referencia del Pliego de Condiciones.</t>
  </si>
  <si>
    <t xml:space="preserve">Se informa al interesado que durante la etapa de estructuración del proyecto se hicieron estimaciones sobre opciones viables para implementar las compensaciones por biodiversidad para determinar los valores de las Compensaciones Socioambientales. Igualmente, la información contenida en el cuarto de datos está disponible a título meramente informativo, acorde con las condiciones de la Sección 1.7 Cuarto de Información de Referencia del Pliego de Condiciones, por tanto la definición de la estrategia de compensación, dónde y cómo se realice, corresponderá al Concesionario.
</t>
  </si>
  <si>
    <t>Se informa al interesado que de manera preliminar se identificaron en las unidades funcionales 3, 4, 5 y el Paso nacional por Palmira de la Unidad Funcional 1 aprovechamientos forestales. Dicha información se encuentra publicada en el Cuarto de Información de Referencia, a título meramente informativo según las condiciones de la Sección 1.7 del Pliego de Condiciones. La afectación real dependerá de la definición correspondiente a los Estudios de Trazado y Diseño Geométrico y Diseños de Detalle que desarrolle el Concesionario.</t>
  </si>
  <si>
    <t>Se informa al interesado que de manera preliminar no se identificaron reservas forestales para sustracción, pero hay reservas naturales de la sociedad civil (La Cabaña) y reservas naturales regionales (El Vínculo) contiguas al Corredor del Proyecto que dependiendo de los Estudios de Trazado podrían afectarse. En el Cuarto de Información de Referencia se encuentra publicada dicha información a título meramente informativo según las condiciones de la Sección 1.7 del Pliego de Condiciones. La posible afectación dependerá de la definición correspondiente a los Estudios de Trazado y Diseño Geométrico y Diseños de Detalle que desarrolle el Concesionario.</t>
  </si>
  <si>
    <t>Se aclara al interesado que la Subcuenta de compensaciones Ambientales podrá ser utilizada únicamente para las acciones establecidas específicamente en el Contrato Parte General dentro de las cuales no se incluyen los costos mencionados. Estos costos deberán ser ejecutados como parte del presupuesto de Gestión Ambiental por parte del concesionario, en línea con lo establecido en la sección 8.1 (a) del Contrato Parte General. 
Complementariamente, el Contrato Parte General en el apartado 3.14, litera "g" romanito (vi), numeral 5 señala que en ningun caso los recursos de la Subcuenta Compensaciones Socioambientales podrán ser utilizados para el pago de pasivos ambientales.</t>
  </si>
  <si>
    <t xml:space="preserve">Se informa al interesado que la sección observada fue objeto de ajuste, estas modificaciones se podrán evidenciar en la minuta que se publicará con el Pliego de condiciones definitivo. </t>
  </si>
  <si>
    <t>Se informa al interesado que la Sección 15.3 (d)(vii) establece que los honorarios del Tribunal de Arbitramento Internacional se limitan a los mismos montos señalados en la Sección 15.2(f), salvo que las Partes de común acuerdo los modifiquen  . De acuerdo con la referida sección, los honorarios se limitarán al valor de las pretensiones    y en todo caso, no superarán un máximo de 500 SMMLV por cada árbitro.</t>
  </si>
  <si>
    <t>Se informa al interesado que no se acepta su observación toda vez que la ANI considera que el mecanismo de Amigable Composición es razonable y responde a las necesidades del Proyecto. En todo caso, se recuerda al interesado que la decisión del Amigable Componedor podrá ser demandada por las causales de nulidad aplicables a cualquier acto jurídico, adicionalmente, lo anterior encuentra su soporte en el artículo 60 de la Ley 1563</t>
  </si>
  <si>
    <t xml:space="preserve">Se informa al interesado que la Sección observada fue eliminada. Esta modificación se podrá evidenciar en la minuta que se publique con el pliego de condiciones definitivo </t>
  </si>
  <si>
    <t>Se informa al interesado   que no se acepta su observación toda vez que la ANI considera que el mecanismo de Amigable Composición es razonable y responde a las necesidades del Proyecto. Adicionalmente, se indica que las controversias se producen de forma eventual, por lo que no es necesario pagar mensualmente a un amigable componedor si no se ha presentado alguna controversia.</t>
  </si>
  <si>
    <t xml:space="preserve"> No se acepta la observación. Toda vez que el entendido de la ANI es que, de una lectura íntegral del contrato y en especial de su  Capitulo XV , se desprende que la regla general para resolver controversias es el arbitraje; en tanto que, el amigable componedor es la excepción, de ahí que las controversias sometidas a este mecanismo son enunciadas taxativamente. </t>
  </si>
  <si>
    <t xml:space="preserve">Se informa al interesado que se acepta la observación y el ajuste frente al nombramiento del tercer amigable en la minuta del contrato se evidenciará en la version que se publique con el Pliego de Condiciones Definitivo. </t>
  </si>
  <si>
    <t xml:space="preserve">Se informa al interesado lo siguiente:
1. En lo que respecta a las decisiones del Amigable Componedor que deben ser adoptadas de forma unánime, se informa al interesado que no se acepta su observación toda vez que la Entidad considera que el mecanismo de Amigable Composición tal y como está regulado en el Contrato es razonable y responde a las necesidades de este tipo de proyectos; todavez que, lo que busca esta estipulación contractual, es brindar seguridad jurídica a las partes respecto de las decisiones adoptadas, sin perjuicio de que, las mismas puedan ser susceptibles de ser controvertidas mediante la invocación de las causales previstas en el contrato (anulación y resición de la decisión).
2. En lo que respecta a la remuneración de los Amigables Componedores, se informa al interesado que su entendimiento es correcto. 
</t>
  </si>
  <si>
    <t>Se informa al interesado que no se acepta su observación toda vez que la ANI considera que el mecanismo de Amigable Composición es razonable y responde a las necesidades del Proyecto. Adicionalmente, se aclara al interesado que de acuerdo con lo previsto por el numeral (v) del literal f de la Sección 15.1, las decisiones del Panel de Amigables Componedores deberán adoptarse por unanimidad. A falta de unanimidad las Partes convienen que la decisión no será vinculante, ni de obligatorio cumplimiento y cualquiera de ellas podrá plantear la disputa ante un tribunal de arbitramento</t>
  </si>
  <si>
    <t xml:space="preserve">Se informa al interesado que no se acepta su observación. La Entidad considera que la regulación prevista es razonable y responde a las necesidades del Proyecto y la destinación de recursos de la Subcuenta MASC. 
</t>
  </si>
  <si>
    <t xml:space="preserve">Se informa al interesado que no se acepta su observación. La Entidad considera que la regulación prevista es razonable y responde a las necesidades del Proyecto y la destinación de recursos de la Subcuenta MASC. 
</t>
  </si>
  <si>
    <t xml:space="preserve">Se reitera al interesado que no se acepta su observación. La Entidad considera que la regulación prevista es razonable y responde a las necesidades del Proyecto y la destinación de recursos de la Subcuenta MASC. 
</t>
  </si>
  <si>
    <t>Se informa al interesado que no se acepta su observación. La ANI considera que los requisitos establecidos para los integrantes del Panel de Amigables Componedores es razonable y responde a la naturaleza de sus decisiones. El hecho de que la decisión se efectúe en derecho quiere decir que se efectuará con base en lo dispuesto en las leyes correspondientes, no que quien imparta la decisión sea un abogado. Adicionalmente, se informa al  interesado que se realizaron ajustes en la sección observada, dichos cambios se verán reflejados en la versión de minuta Parte general que se publicará con el Pliego de Condiciones Definitivo.</t>
  </si>
  <si>
    <t>Se informa al intersado que la sección observada fue eliminada y en general el capitulo XV fue objeto de modificaciones las cuales se podrán evidenciar en la minuta que se publique con el Pliego de Condiciones Definitivo.</t>
  </si>
  <si>
    <t xml:space="preserve">Se informa al interesado que se acepta su observación y se ajustará la numeración en el documento definitivo. 
</t>
  </si>
  <si>
    <t xml:space="preserve">Se informa al interesado que no se acepta su observación. La ANI considera que la destinación de los recursos de la Subcuenta MASC es razonable. 
</t>
  </si>
  <si>
    <t xml:space="preserve">Se informa al interesado que las Partes podrán acudir al Arbitraje cuando la decisión que estaba a cargo del Amigable Componedor no fue adoptada por unanimidad. En esta medida, debe informarse al interesado que en el evento en que se configure alguno de los supuestos señalados en la Ley 1563 de 2012 para que exista Arbitraje, el Contrato prevé que las controversias que surjan entre las Partes con ocasión del contrato (a excepción de las que corresponden a la competencia exclusiva del Amigable Componedor) serán resueltas por un Tribunal de Arbitramento.
</t>
  </si>
  <si>
    <t xml:space="preserve">Se informa al interesado que no se acepta su observación. La ANI considera que la destinación de los recursos de la Subcuenta MASC prevista en el Contrato es razonable y se compadece con las necesidades de este tipo de proyectos. 
</t>
  </si>
  <si>
    <t xml:space="preserve">Se informa al interesado que no se acepta su observación. La ANI considera que la regulación propuesta para la Amigable Composición es razonable y está en línea con este tipo de mecanismos.
</t>
  </si>
  <si>
    <t xml:space="preserve">Se informa al interesado que no se acepta su observación. La ANI considera que la regulación propuesta para la Amigable Composición es razonable y está en línea con este tipo de mecanismos. </t>
  </si>
  <si>
    <t>Se aclara al interesado que en la condición que los tramos del Factor de Calidad sólo harán parte de la Entrega de la Infraestructura si estos son ofrecidos por el Oferente, para tal efecto la descripción de la infraestructura existente de esos tramos se incluye en la Sección 7.2 del Apéndice Técnico 1. Asimismo, se informa al interesado que las Intervenciones en los tramos del Factor de Calidad descritos en la Sección 7.2 del Apéndice Técnico 1 serán desarrolladas dentro de los plazos de las Fases de la Etapa Preoperativa y estarán terminadas a más tardar para el cumplimiento de los procedimientos y las fechas definidas en la Sección 3.1 Reversión Especial de la Parte Especial, por lo tanto durante el tiempo que se desarrollen las Intervenciones existirán las obligaciones de Operación y Mantenimiento de la Etapa Preoperativa que garanticen la transitabilidad y seguridad vial durante las actividades de construcción.</t>
  </si>
  <si>
    <t>Se informa la interesado que en la carpeta J del Cuarto de Datos estará disponible las intervenciones realizadas por el INVIAS, con posterioridad a la entrega de la infraestructura por parte de la antigua concesión, con el fin de que dicha situación sea tenida en cuenta dentro de su propuesta.
Es importante manifestar que la información publicada en el cuarto de datos estará disponible a título meramente informativo acorde con las condiciones de la Sección 1.7 Cuarto de Información de Referencia del Pliego de Condiciones.</t>
  </si>
  <si>
    <t>Se informa al interesado que se adelantaron consultas al INVIAS del tráfico registrado en los peajes desde noviembre de 2018 hasta junio de 2020. Dicha información se puede consultar en la carpeta "J" del Cuarto de Información de Referencia. 
Es importante manifestar que la información publicada en el cuarto de datos estará disponible a título meramente informativo acorde con las condiciones de la Sección 1.7 Cuarto de Información de Referencia del Pliego de Condiciones.</t>
  </si>
  <si>
    <t>Se informa al interesado que con respecto a la Unidad Funcional 2 (Variante El Bolo, Intersección Cali - Palmira 3 (Palmira-El Cerrito) - Intersección Ingenio Providencia) la información se encuentra en la carpeta CII2. Tener en cuenta que el tramo Intersección Cali-Palmira 3 (Palmira-El Cerrito) - Intersección Ingenio Providencia, también se nombra los estudios como Variante Norte Palmira.
Respecto a los Factores de Calidad, En la carpeta G5-7 se incluyeron los estudios de geotecnia y pavimentos de Villarica - Caloto. Es importante anotar que dicha información se encuentra a a título meramente informativo según las condiciones de la Sección 1.7 del Pliego de Condiciones, por lo que le corresponderá al Concesionario en sus Estudios de detalle, velar por el cumplimiento de los Apéndices Tecnicos, en especial los indicadores de estado, del Apéndice Técnico 4.</t>
  </si>
  <si>
    <t>Se informa al interesado que las bases de datos de los aforos serán adicionadas al Cuarto de Información de Referencia en la carpeta 0A. Igualmente se aclara que todas las modificaciones al Cuarto de Información de Referencia serán informadas a traves de aviso de proceso.
Se aclara que la información del Cuarto de Información de Referencia se incluye a título meramente informativo de acuerdo con las condiciones de la Sección 1.7 del Pliego de Condiciones.</t>
  </si>
  <si>
    <t>Se informa al interesado que el dimensionamiento de los puentes nuevos se encuentra en los anexos FICHA DE ACTUACIONES EN PUENTE NUEVO y los planos de implantación en los anexos PLANO DE LOCALIZACIÓN DE OBRAS que se incluyen en los anexos de la carpeta D. Los archivos y carpetas que respecto al índice publicado no se encuentran o no permiten acceso (D3, D4123, D4124, D511, entre otras) se incluirán de nuevo en el Cuarto de Información de Referencia. Igualmente se aclara que todas las modificaciones al Cuarto de Información de Referencia serán informadas a traves de aviso de proceso.
Se aclara que la información del Cuarto de Información de Referencia se incluye a título meramente informativo de acuerdo con las condiciones de la Sección 1.7 del Pliego de Condiciones.</t>
  </si>
  <si>
    <t>Se informa al interesado que los túneles no son un alcance obligatorio dentro de las intervenciones definidas en el Apéndice Técnico 1. Sin embargo, si como resultado de los Estudios de Trazado y Diseño Geométrico y los Estudios de Detalle desarrollados por el Concesionario, se llegan a incluir túneles dentro de las soluciones constructivas, los requisitos de Operación y Mantenimiento definidos en el Apéndice Técnico 2 serían aplicables para esos túneles.</t>
  </si>
  <si>
    <t>Se informa al interesado que se actualizará la información contenida en el cuarto de datos de acuerdo con los índices relacionados para la misma. Igualmente se informa que la información del Cuarto de Información de Referencia es a título meramente informativo según lo dispuesto en la Sección 1.7 del Pliego de Condiciones.
Por otro lado, se informa que una vez se haga la actualización del Cuarto de Información de Referencia, se podrán recibir discos duros para realizar copias físicas del mismo en las instalaciones de la Entidad.</t>
  </si>
  <si>
    <t>SENDA, 3/07/2020</t>
  </si>
  <si>
    <t xml:space="preserve">Se solicita aclaración sobre cuál es el medio de comunicaciones existente en la vía? </t>
  </si>
  <si>
    <t>Respecto de la observación anterior se solicita aclarar si existe fibra óptica en trazado e indicar su distribución en uno o a dos costados de la vía.</t>
  </si>
  <si>
    <t>Se solicita aclarar qué equipos ITS existen,cuáles se encuentran en funcionamiento y si se debe contemplar la renovación de todos ellos.</t>
  </si>
  <si>
    <t xml:space="preserve">Se solicita aclarar cuántas estaciones de peaje se deben contemplar para renovación tecnológica e indicar si deben cumplir IP/REV. </t>
  </si>
  <si>
    <t>Respecto de la observación anterior se solicita indicar la ubicación definitiva de las estaciones de peaje por Unidad Funcional y PK.</t>
  </si>
  <si>
    <t>Se solicita aclarar cuántos CCO de ITS son existentes y cuántos son nuevos, cual es su  ubicación definitiva por Unidad Funcional y PK.</t>
  </si>
  <si>
    <t>En línea con la observación anterior, se solicita aclarar si se contempla algún CCO provisional.</t>
  </si>
  <si>
    <t>Se solicita aclarar cuántas estaciones de pesaje son existentes, cuántas nuevas y su ubicación definitiva por Unidad Funcional y PK.</t>
  </si>
  <si>
    <t>Se solicita clarar cuál es la fecha de inicio y la fecha final de cada unidad Funcional, teniendo en cuenta la fecha de entrega de las obras constructivas para la Implementación de los Sistemas ITS.</t>
  </si>
  <si>
    <t>Se solicita aclarar cuántas subestaciones son existentes, cuántas nuevas y cuál es la ubicación actual e definitiva de las mismas en la vía.</t>
  </si>
  <si>
    <t xml:space="preserve">
Se solicita aclarar cuál es la Capacidad de cada una de las Subestaciones.
</t>
  </si>
  <si>
    <t>Se solicita clarar cuál es la fecha de inicio y la fecha final de cada unidad Funcional, teniendo en cuenta la fecha de entrega de las obras constructivas para la Implementación de los Sistemas Sistemas Electromecánicos.</t>
  </si>
  <si>
    <t>Se informa al interesado que la asignación del riesgo para el Concesionario, en la Sección 13.2(a)(xi) de la Parte General, considera que el Proyecto se compone por una malla vial con la mayor parte de la infraestructura existente, y con antecedentes que evidencian la ausencia de eventos geológicos complejos, por lo cual no se considera que exista una alta probabilidad de descubrimiento de fallas geológicas sin contempladar por parte de la ANI como lo expresa la observación. En razón de lo expuesto se considera que el nivel del riesgo es acotado y la asignación apropiada es al Concesionario. 
Se informa adicionalmente que se ampliará la redacción de la Sección 13.2(a)(xi)  de la Parte General, por lo que sus cambios podrán consultarse con la publicación del Pliego de Condiciones Definitivo.</t>
  </si>
  <si>
    <t>respuesta enviada por reina el 20 de agosto</t>
  </si>
  <si>
    <t>La Entidad considera que las alternativas reguladas en el Pliego de Condiciones son amplias y suficientes, y se encuentran acordes con el proyecto y el mercado, adicionalmente estas alternativas y requisitos guardan consistencia con lo proyectos previamente publicados y adjudicados por la entidad. Por lo expuesto no se acepta su observación.</t>
  </si>
  <si>
    <t>Se informa al interesado que no se acepta su observación. En el momento de presentar su oferta correspondiente al Factor de Calidad el interesado deberá evaluar y cuantificar que la asución que todos los riesgos presentados en el Contrato Parte General Sección 13.2 y 13.3 estarán asignados en su totalidad al Privado, teniendo en cuenta que estas obras son de libre ofrecimiento por los interesados dentro del proceso de selección.</t>
  </si>
  <si>
    <t>Durán &amp; Osorio Abogados Asociados, 14/08/2020</t>
  </si>
  <si>
    <t xml:space="preserve"> 
¿Se entiende que esto aplica para las obras que se realizarán en la Unidad Funcional 3 y Unidad Funcional 4? Favor aclarar la redacción en el Apéndice Técnico </t>
  </si>
  <si>
    <t xml:space="preserve">
Se solicita aportar la tipología de puente y la ubicación que se presentó para el cierre de la consulta previa. </t>
  </si>
  <si>
    <t xml:space="preserve"> 
¿Se entiende que esto aplica únicamente para las obras que se realizarán en la Unidad Funcional 3? Favor aclarar la redacción en el Apéndice Técnico </t>
  </si>
  <si>
    <t xml:space="preserve">
Se solicita aportar la tipología del puente y la ubicación que se presentó para el cierre de la consulta previa</t>
  </si>
  <si>
    <t xml:space="preserve">Teniendo en cuenta que las condiciones existentes de topografía, litología, pluviosidad, y actividades agroindustriales aledañas a la zona pueden generar afectaciones al sistema de aguas subterráneas independientemente de la ejecución de la obra, se entiende que para controlar la posible afectación que podría genenrar la obra se requiere la medición de línea base durante por lo menos un año y validación por parte de las autoridades ambientales, previa obtención de la licencia ambiental y ejecución de las obras. En este sentido les pédimos poner a disposición la linea base cumpliendo con esto, o de lo contrario ampliar los plazos para la obtención de la licencia y por ende el de pre construcción. 
</t>
  </si>
  <si>
    <t>De acuerdo con el expediente ANLA LAM1015 a la fecha existen consultas previas con los municipios de Puerto Tejada y Villarrica que aún no se han cerrado. Por la redacción de la viñeta se entiende que estas consultas activas en el anterior contrato de concesión estarán a cargo de la ANI. Favor confirmar que nuestro entendimiento es correcto y de manera respetuosa solicitamos se aclare en el  alcance y el estado actual de estas consultas previas.</t>
  </si>
  <si>
    <t xml:space="preserve">Consultado el expediente ANLA LAM1015 la ANLA aún no ha validado si se cumplieron las siguintes obligaciones por parte de la UTDVVCC: 
b. Una vez verificada la información allegada mediante el radiado 2020024262-1-000 del 18 de febrero de 2020, la UTDVVCC no describieron las obras civiles ejecutadas y las actividades de revegetalización y reforestación desarrolladas en cada una de ellas. 
f. Dentro de la información cartográfica remitida por la UTDVVCC no se observa información relacionada con las obras civiles, localización, superficie y limites. 
g. En la verificación documental del expediente se observa que la UTDVVCC no ha remitido los registros documentales de la identificación de las áreas de siembra de las especies leguminosas donde no existía cobertura vegetal. 
h. Dentro de la información allegada no se visualiza la localización y cuantificación de los bordes de los ríos o cañadas donde se sembraron las especies indicadas en el PMA.     ¿el actual titular UTDVVCC entregará estas obligaciones con el certificado de cumplimiento de la ANLA? En caso contrario ¿Cuáles son los rubros para el cubrimiento de estas obligaciones? </t>
  </si>
  <si>
    <t xml:space="preserve">Teniendo en cuenta que de acuerdo con lo establecido en el contrato de concesión parte especial, la fase de preconstrucción tiene un plazo de 12 meses para realizar todas las actividades necesarias que permitan dar inicio a la fase de construcción. De acuerdo con lo establecido en el contrato y en el apéndice técnico 1 para las unidades UF3 y UF4 se requiere licencia ambiental, plazo que evidentemente se considera insuficiente para cumplir todas las obligaciones establecidas en el mismo contrato de concesión, con las autoridades ambientales y en las consultas previas con las comunidades. 
A manera de ejemplo para todo el proceso de elaboración de estudios y diseños que darán soporte luego al Estudio de Impacto ambiental, el cual no solo consiste en la toma de datos sino que al menos requiere de tres (3) reuniones o momentos de socialización del EIA, de acuerdo con el decreto 1076 de 2015. Por lo anterior se considera necesario que la etapa de preconstrucción se amplíe al menos en ocho (8) meses adicionales a los 12 señalados. 
Adicionalmente, teniendo en cuenta que el apéndice técnico 6 establece la sesión total de las licencias ambientales lo cual implica heredar la totalidad de las obligaciones y sus actos administrativos asociados, y que estas están ubicadas dentro de las unidades funcionales 1, 2, y 5, se entiende que para poder incluir las nuevas obras en estas unidades funcionales se requiere una modificación a estas licencias ambientales, sin emnargo de acuerdo a los procedimientos actuales de modificación de licencia, pese a que estas licencias ambientales son de los años 1999, 2000, y 2006. Por lo anterior, el procedimiento de modificación requiere de más de 12 meses, lo cual hace imposible completar esta gestión en el plazo de la fase de preconstrucción establecido en el contrato. </t>
  </si>
  <si>
    <t>BBVA Valores, 19/08/2020</t>
  </si>
  <si>
    <t>Amablemente solicitamos que se ajuste la redacción en las secciónes 18.3 (c), (d), y (e) de la Parte General para precisar que las erogaciones asociadas a la Gestión de Redes se deben tener en cuenta para el cálculo de la variable AR h de la Fórmula C en caso de terminación anticipada (i) con anterioridad al inicio de la Fase de Construcción, o (ii) en Fase de Construcción o (iii) en Etapa de Operación y Mantenimiento
En caso que se estime pertinente mantener la redacción actual, agradecemos nos confirmen a qué se debe el tratamiento diferencial entre la Gestión de Redes y las erogaciones por Gestión Predial y Gestión Socio-ambiental, las cuales se listan de forma taxativa en los rubros para el cálculo de la variable AR h</t>
  </si>
  <si>
    <t>Amablemente solicitamos que se incluya una definición de Gestión de Redes similar a la utilizada para Gestión Predial, ya que el mismo no está definido y es requerido para el Proyecto</t>
  </si>
  <si>
    <t>Amablemente solicitamos que se precise el cronograma de aportes a cargo del Concesionario para el fondeo de la Subcuenta de Obras Menores descrita en el numeral 3.14(h)(x) de la Parte General del contrato de concesión. La actual redacción del numeral 3.14(h)(x)(1) indica que el fondeo se determinará en el contrato de concesión, sin embargo en la Parte Especial no se encuentra un cronograma de aportes para tal fin</t>
  </si>
  <si>
    <t xml:space="preserve">CAMILO LÓPEZ MARTÍNEZ,identificado con la cédula de ciudadanía No. 80.775.044, de manera respetuosa, en ejercicio del derecho fundamental de petición consagrado en el artículo 23 de la Constitución Política, y regulado en la ley 1755 de 30 de junio de 2015, atentamente solicito, dentro del término establecido para tal fin, se sirva atender la presente petición frente a la incorporación de las variables climáticas en la fase de planificación y diseño de las Vías de 5G, teniendo en cuenta los siguientes: 
ANTECEDENTES 
1.    En el apéndice técnico 6 de los documentos contractuales publicados por la ANI para el Proyecto Malla Vial del Valle del Cauca, en el numeral “5.3 Programa de Aporte Sostenible – Mitigación del Cambio Climático”, mencionan la aplicación de las últimas políticas Nacionales sobre el tema, y como obligación incluyen la siguiente: 
Se deberá tener en cuenta la incorporación de las variables climáticas en la fase de planificación y diseño con el fin de reducir costos de atención a emergencias y aumentar prevención en acciones de mantenimiento a infraestructura existente, anticipándose a los retos del clima del fututo de manera más costo efectiva e innovadora. 
2.    En el “Plan VÍAS-CC: vías compatibles con el clima” se indica lo siguiente: 
La adaptación efectiva y eficaz implica no sólo hacer uso de los datos históricos sino también de las proyecciones de cambio climático. Tradicionalmente para diseñar las vías se estudian los datos históricos del clima que se integran a las decisiones sobre diseño y materiales a través de las especificaciones de construcción. No obstante el cambio climático y sus efectos no se ven representados a través de los datos históricos. El cambio climático requiere incorporar nuevos datos proyectados a 20, 30 o 50 años en el diseño de las vías nuevas así como en los diseños o soluciones técnicas para las obras de mantenimiento, reconstrucción y rehabilitación de las vías existentes. Continuar diseñando las vías únicamente con los datos históricos reduce la capacidad de la infraestructura de resistir eventos extremos para los que no fueron diseñadas. (subrayado fuera de texto) 
3.    En el Apéndice técnico 3 “ESPECIFICACIONES GENERALES” se presentan los documentos contractuales publicados por la ANI para el Proyecto Malla Vial del Valle del Cauca, donde se detallan las especificaciones y normas técnicas con base en las cuales se elaborarán los estudios de trazado y diseño geométrico para el desarrollo de las actividades objeto del contrato de Concesión. 
En este sentido, se presenta la siguiente petición: 
PETICIÓN. 
PRIMERO: Teniendo en cuenta que las especificaciones y normas técnicas con base en las cuales se elaborarán los estudios de trazado y diseño geométrico para el Proyecto Malla Vial del Valle del Cauca, no contemplan proyecciones futuras, sino que las mismas se realizan teniendo en cuenta el estimativo de la probabilidad de ocurrencia de un evento determinado en un periodo determinado, agradecemos indicar como se incorporará esta variable de cambio climático y sus proyecciones futuras en los diseños a elaborar.  
</t>
  </si>
  <si>
    <t xml:space="preserve">APÉNDICE TÉCNIO 1
Capítulo IX OBLIGACIONES DE LAS CONSULTAS PREVIAS 
ACUERDOS CONCERTADOS CON EL CONSEJO COMUNITARIO DE SAN ISIDRO Y CONSEJO COMUNITARIO DEL GUABAL, UF 3 AVENIDA CIUDAD DE CALI y UF 4 CONSTRUCCIÓN SEGUNDA CALZADA ADOSADA A LA EXISTENTE Y VILLARICA – JAMUNDÍ. 
6. El concesionario o ejecutor del proyecto se compromete a instalar la señalización de la vía, de acuerdo con las directrices que al respecto señale la autoridad competente y en armonía con la Ley Aplicable para este tipo de vías. </t>
  </si>
  <si>
    <t xml:space="preserve">APÉNDICE TÉCNIO 1
Capítulo IX OBLIGACIONES DE LAS CONSULTAS PREVIAS 
ACUERDOS CONCERTADOS CON EL CONSEJO COMUNITARIO DE SAN ISIDRO Y CONSEJO COMUNITARIO DEL GUABAL, UF 3 AVENIDA CIUDAD DE CALI y UF 4 CONSTRUCCIÓN SEGUNDA CALZADA ADOSADA A LA EXISTENTE Y VILLARICA – JAMUNDÍ. 
Medidas implementadas por el Consejo Comunitario de Guabal 
COMPONENTE AMBIENTAL: 
Las presentes medidas acordadas fueron concertadas con los consejos comunitarios San Isidro y Guabal. 
1.	El concesionario o ejecutor del proyecto realizará el manejo de terraplenes (incluyendo control de aguas superficiales y subterráneas). Protección de taludes del terraplén mediante el uso de llantas o instalación de biomantos. Construcción de las obras necesarias para el manejo de escorrentía superficial como cunetas perimetrales, con las características adecuadas que eviten velocidades erosivas. </t>
  </si>
  <si>
    <t xml:space="preserve">APÉNDICE TÉCNIO 1
Capítulo IX OBLIGACIONES DE LAS CONSULTAS PREVIAS 
ACUERDOS CONCERTADOS CON EL CONSEJO COMUNITARIO BOCAS DEL PALO, UF 3 AVENIDA CIUDAD DE CALI 
14. El concesionario o ejecutor del proyecto realizara la construcción de un Puente Peatonal con rampa para discapacitados e iluminación en la intersección con la vía existente de acceso al centro poblado del CC de Bocas del Palo sobre la vía objeto del proyecto en la zona aproximada al PK11+060 (abscisado generado para el proyecto), de acuerdo a lo programado dentro de su plan de obras y en todo caso, deberá estar construido para la entrada de operación y funcionamiento de la vía, esta infraestructura hará parte de proyecto y no del Consejo Comunitario. </t>
  </si>
  <si>
    <t xml:space="preserve">APÉNDICE TÉCNIO 1
Capítulo IX OBLIGACIONES DE LAS CONSULTAS PREVIAS 
ACUERDOS CONCERTADOS CON EL CONSEJO COMUNITARIO BOCAS DEL PALO, UF 3 AVENIDA CIUDAD DE CALI 
Medidas implementadas por el Consejo Comunitario de Bocas del Palo 
1.	COMPONENTE AMBIENTAL: 
25. El concesionario o ejecutor del proyecto realizará el manejo de terraplenes (incluyendo control de aguas superficiales y subterráneas). Protección de taludes del terraplén mediante el uso de llantas o instalación de biomantos. Construcción de las obras necesarias para el manejo de escorrentía superficial como cunetas perimetrales, con las características adecuadas que eviten velocidades erosivas. </t>
  </si>
  <si>
    <t xml:space="preserve">APÉNDICE TÉCNIO 1
Capítulo IX OBLIGACIONES DE LAS CONSULTAS PREVIAS 
ACUERDOS CONCERTADOS CON EL CONSEJO COMUNITARIO LAS DOS AGUAS DE CASCAJAL UF 3 AVENIDA CIUDAD DE CALI 
COMPONENTE AMBIENTAL: 
1.	El concesionario realizará el manejo de terraplenes (incluyendo control de aguas superficiales y subterráneas). Protección de taludes del terraplén mediante el uso de llantas o instalación de biomantos. Construcción de las obras necesarias para el manejo de escorrentía superficial como cunetas perimetrales, con las características adecuadas que eviten velocidades erosivas. </t>
  </si>
  <si>
    <t xml:space="preserve">APÉNDICE TÉCNIO 1
Capítulo IX OBLIGACIONES DE LAS CONSULTAS PREVIAS 
ACUERDOS CONCERTADOS CON EL CONSEJO COMUNITARIO LAS DOS AGUAS DE CASCAJAL UF 3 AVENIDA CIUDAD DE CALI 
COMPONENTE AMBIENTAL: 
7.	El concesionario realizará los estudios necesarios que permitan determinar los niveles de agua subterránea e implementar un programa de monitoreo para establecer el comportamiento de esos niveles durante la ejecución de las obras. Así mismo, prevendrá la afectación del nivel de agua del pozo que abastece el acueducto Veredal Cascajal de manera que no se afecten las condiciones normales de funcionamiento de este. 
8.	El concesionario hará un inventario de los acuíferos (pozos de captación de agua para consumo) que se encuentren en el área de influencia del proyecto. Así mismo realizará el monitoreo y seguimiento permanente de las aguas subterráneas (pozos identificados) con el fin de establecer las condiciones antes, durante y después de la ejecución de las obras y desarrollará un Plan de contingencia para prevenir la contaminación de las aguas subterráneas. </t>
  </si>
  <si>
    <t xml:space="preserve">APÉNDICE TÉCNIO 1
Capítulo IX OBLIGACIONES DE LAS CONSULTAS PREVIAS 
ACUERDOS CONCERTADOS CON EL CONSEJO COMUNITARIO LAS DOS AGUAS DE CASCAJAL UF 3 AVENIDA CIUDAD DE CALI 
COMPONENTE AMBIENTAL: 
19.	El concesionario ubicará señalización informativa y de advertencia sobre la vía y en cercanías al Bosque Don Agucho y la zona del Lago el Oasis acorde a la normativa vigente. </t>
  </si>
  <si>
    <t xml:space="preserve">APENDICE TÉCNICO 8 SOCIAL 
Numeral 4.1
Viñeta 
•	Dar cumplimiento irrestricto a los acuerdos derivados de los procesos de consultas previas, por cuanto hacen parte integral del presente contrato las obligaciones emanadas de dichas consultas, realizadas en la etapa de Estructuración del proyecto, de conformidad con la ley 1682 de 2013, suscritas por el Ministerio del Interior – Dirección de Consulta Previa. Las cuales se detallan en el Apéndice Técnico 1. </t>
  </si>
  <si>
    <t xml:space="preserve">APÉNDICE TÉCNICO 6 GESTIÓN AMBIENTAL 
4.4 
Dentro del plan de gestión integral del cual trata el Apéndice Técnico 2, se deberán prever los mecanismos de cumplimiento de la normatividad ambiental vigente en temas de medio ambiente y comunidad. Así mismo, éste deberá garantizar que todos los profesionales, contratistas y/o subcontratistas del Concesionario cuenten con la experiencia, idoneidad y capacidad para realizar las diversas actividades del Proyecto cumpliendo la normatividad y estándares antes mencionados, así como las buenas prácticas nacionales e internacionales del subsector vial. 
4.4 Cesión total de licencias ambientales 
(a) Dentro de los siguientes quince (15) días hábiles después de suscrita el Acta de Inicio de la Etapa de Preconstrucción El Concesionario deberá adelantar los trámites necesarios para recibir en cesión total las licencias ambientales existentes en los corredores descritos en el Apéndice Técnico 1 
</t>
  </si>
  <si>
    <t xml:space="preserve">APÉNDICE TÉCNICO 6 GESTIÓN AMBIENTAL 
4.4 Cesión total de licencias ambientales 
(a) Dentro de los siguientes quince (15) días hábiles después de suscrita el Acta de Inicio de la Etapa de Preconstrucción El Concesionario deberá adelantar los trámites necesarios para recibir en cesión total las licencias ambientales existentes en los corredores descritos en el Apéndice Técnico 1 
</t>
  </si>
  <si>
    <t xml:space="preserve">Contrato parte especial
Plazos de las Fases de la Etapa Preoperativa
Sección 3.8 (a) </t>
  </si>
  <si>
    <t>Contrato de Concesión - Parte General Numeral 18.3 "Fórmulas de Liquidación del Contrato"</t>
  </si>
  <si>
    <t>Contrato de Concesión - Parte General Capitulo I "Definiciones"</t>
  </si>
  <si>
    <t>respuesta enviada por juan camilo el 24 de agosto</t>
  </si>
  <si>
    <t>Se informa al interesado que en los documentos definitivos en la Parte Especial, la Sección 3.10 referirá en la Reversión Especial a las condiciones de la Etapa de Reversión definidas en la Sección 9.7 de la Parte General. De esta forma se incluyen las condiciones de Plazo Máximo de la Etapa de Reversión dentro de la Reversión Especial.</t>
  </si>
  <si>
    <t>Se informa al interesado que la Tabla 2 del Capítulo IX del Apéndice Técnico 6 contiene todas las licencias ambientales existentes del Corredor del Proyecto, que son objeto de la cesión obligatoria de la que trata la Sección 4.4(a) del mismo apéndice, con las obligaciones pendientes de cumplimiento y las obligaciones por ejecutar. Al subrogarse a las licencias ambientales el Concesionario deberá cumplir y atender todas las obligaciones que imponga la ANLA tales como elaboración y entrega de Autos de Seguimiento, pago y atención de visitas de seguimiento, y demás requerimientos hasta obtener el cierre de los expedientes cedidos.
Complementarimente, a titulo informativo acorde con las condiciones de la Sección 1.7 Cuarto de Información de Referencia del Pliego de Condiciones, están a disposición de los interesados los últimos pronunciamientos de seguimiento disponibles en los expedientes de licenciamiento ambiental, los cuales pueden ser consultados en la carpeta E3 del Cuarto de Información de Referencia.</t>
  </si>
  <si>
    <t>Las áreas analizadas son las ocupaciones que se encuentran en los estudios de trazado y diseño geométrico en los volúmenes de la carpeta A del Cuarto de Información de Referencia, que se encuentran en archivos editables. Asimismo, se incluyen archivos editables de los análisis ambientales en los anexos de la carpeta E2. Es importante precisar que esta información estará disponible a título meramente informativo acorde con las condiciones de la Sección 1.7 Cuarto de Información de Referencia del Pliego de Condiciones; sin embargo las franjas de análisis de factibilidad son sobre áreas de influencia mayores que la ocupación real que tendrá el Proyecto. Se aclara que en las etapas de estructuración no se tramitaron licencias ambientales por lo cual no hay restricciones o franjas definidas para esos efectos.</t>
  </si>
  <si>
    <t xml:space="preserve">Se informa al interesado que las áreas analizadas son las ocupaciones que se encuentran en los estudios de trazado y diseño geométrico en los volúmenes de la carpeta A que se encuentran en archivos editables. Se incluirán archivos editables de los análisis ambientales en los anexos de la carpeta E2, sin embargo las franjas de análisis de factibilidad son buffers de las áreas de intervención estimadas en el marco del proceso de estructuración. 
Se aclara que en la etapa de estructuración no se tramitaron licencias ambientales y todas las consultas se resolvieron en etapa de NDA, por lo cual no hay franjas definidas para esos efectos. 
Asimismo, es importante precisar que esta información estará disponible a título meramente informativo acorde con las condiciones de la Sección 1.7 Cuarto de Información de Referencia del Pliego de Condiciones. </t>
  </si>
  <si>
    <t>Se aclara al interesado que en la etapa de estructuración no se adelantan trámites de permisos ambientales al ser estos específicos de la estrategia constructiva que defina el Concesionario. Este proceso de permisos es obligación del Concesionario y se debe definir en el Plan de Trámites Ambientales según la Sección 4.2 del Apéndice Técnico 6 dentro del plazo de la Fase de Preconstrucción.
Los caudales medios y mínimos de captaciones se estimaron en los anexos de los estudios ambientales (carpeta E2) sin embargo no se llevaron a trámites de permisos.
Los permisos relativos a vertimientos y concesiones de la infraestructura existente se encuentra junto con sus resoluciones en los ANEXOS FORMATO GCSP-F-077-2018 dentro de la carpeta H del Cuarto de Información de Referencia. Finalmente, es importante precisar que esta información estará disponible a título meramente informativo acorde con las condiciones de la Sección 1.7 Cuarto de Información de Referencia del Pliego de Condiciones.</t>
  </si>
  <si>
    <t>Se informa al interesado que dentro del trámite se deberá surtir lo dispuesto en el artículo 2.2.2.3.6.4. Superposición de proyectos del Decreto 1076 de 2015, y si dentro de tal trámite se requieren negociaciones estas se enmarcan en las obligaciones de estudios y gestión que tiene a su cargo y costo el Concesionario. Las medidas de manejo derivadas de este trámite son a cargo del Concesionario excepto las que en ocasión de la obtención de la Licencia correspondan a las Compensaciones Socioambientales detalladas en la Sección 1.33 de la Parte General.
En el caso de superposición de Licencias Ambientales de proyectos de Redes, siempre y cuando dichas Redes puedan verse afectadas por el Proyecto, se deberá seguir lo dispuesto en el Apéndice Técnico 5 y se aclara que es a costo del Concesionario excepto lo definido en la Sección 8.2(d) de la Parte General de la utilización de los recursos de la Subcuenta Redes.</t>
  </si>
  <si>
    <t>Se informa al interesado que la información que se dispone sobre caracterización de cuerpos de agua es la que se incluye en los documentos PAGA y lineamientos de Estudios de Impacto Ambiental de factiblidad publicados en los estudios de la carpeta E2. Es importante precisar que esta información estará disponible a título meramente informativo acorde con las condiciones de la Sección 1.7 Cuarto de Información de Referencia del Pliego de Condiciones.</t>
  </si>
  <si>
    <t xml:space="preserve">Se informa al interesado que la información que se dispone sobre caracterización de cuerpos de agua es la que se incluye en los documentos PAGA y lineamientos de Estudios de Impacto Ambiental de factiblidad publicados en los estudios de la carpeta E2. Es importante precisar que esta información estará disponible a título meramente informativo acorde con las condiciones de la Sección 1.7 Cuarto de Información de Referencia del Pliego de Condiciones.
</t>
  </si>
  <si>
    <t xml:space="preserve">Se informa al interesado que la sección observada se ajustó en los documentos definitivos para dar mayor claridad. Las modificaciones incluyen ajustes en las definiciones y fórmulas de las Secciones 7.1(f)(i) y (ii), y se amplía la regulación sobre la Retención de manera parcial y durante el tiempo en que persista el incumplimiento de la Retribución o de la Compensación Especial en la Sección 7.1(f)(iii). Estos ajustes se podrán evidenciar en la minuta que se publicará con el Pliego de Condiciones Definitivo.
</t>
  </si>
  <si>
    <t>Se informa al interesado que las tiras topográficas, tanto gráficas como alfanuméricas se encuentran en los anexos de la carpeta E1 (Inventario en el Anexo 1 y tira predial en el Anexo 6 de los informes). Se aclara que esta información estará disponible a título meramente informativo acorde con las condiciones de la Sección 1.7 Cuarto de Información de Referencia del Pliego de Condiciones.</t>
  </si>
  <si>
    <t>Se informa al interesado que las tiras topográficas en formato GDB se encuentran en los anexos de la carpeta E1 (Anexo 6 por corredor). Para la intersección Versalles y paso nacional Palmira se encuentran planos en la carpeta G1111 (Volumen X). Se aclara que esta información estará disponible a título meramente informativo acorde con las condiciones de la Sección 1.7 Cuarto de Información de Referencia del Pliego de Condiciones.</t>
  </si>
  <si>
    <t>Se informa al interesado que se cuenta con inventario predial que se encuentra en los anexos de la carpeta E1 (Inventario en el Anexo 1). Para la intersección Versalles y paso nacional Palmira se encuentra la relación de predios en la carpeta G1111 (Volumen X).
Se aclara que esta información estará disponible a título meramente informativo acorde con las condiciones de la Sección 1.7 Cuarto de Información de Referencia del Pliego de Condiciones.</t>
  </si>
  <si>
    <t>Se informa al interesado que los anexos se registran en la carpeta E1412 (Anexos), tal como se puede identificar en el índice del Cuarto de Información de Referencia.
Se aclara que esta información estará disponible a título meramente informativo acorde con las condiciones de la Sección 1.7 Cuarto de Información de Referencia del Pliego de Condiciones.</t>
  </si>
  <si>
    <t>Se informa al interesado que la información se encuentra en las subcarpertas H812-1 a H812-4 y H8121 a H8135 en el Cuarto de Información de Referencia. Se aclara que esta información estará disponible a título meramente informativo acorde con las condiciones de la Sección 1.7 Cuarto de Información de Referencia del Pliego de Condiciones.</t>
  </si>
  <si>
    <t>Se informa al interesado que la mencionada carpeta H721 no se encuentra en el Cuarto de Información de Referencia, sin embargo se aclara que la carpeta H contiene anexos del inventario predial en los siguientes ubicaciones: H405, H5193, H613, H711 y H812. Se aclara que esta información estará disponible a título meramente informativo acorde con las condiciones de la Sección 1.7 Cuarto de Información de Referencia del Pliego de Condiciones.</t>
  </si>
  <si>
    <t>Se informa al interesado que el archivo H373 contiene el PDF de los inventarios prediales del tramos Santander de Quilchao - Palmira,  Ye de Villa Rica - Jamundí y corresponde con el índice del Cuarto de Información de Referencia. Se aclara que esta información estará disponible a título meramente informativo acorde con las condiciones de la Sección 1.7 Cuarto de Información de Referencia del Pliego de Condiciones.</t>
  </si>
  <si>
    <t>Se infora al interesado que el archivo H374 contiene el PDF de los inventarios prediales del tramos Santander de Quilchao - Palmira,  Ye de Villa Rica - Jamundí con actualización de octubre de 2018 y corresponde con el índice del Cuarto de Información de Referencia. Se aclara que esta información estará disponible a título meramente informativo acorde con las condiciones de la Sección 1.7 Cuarto de Información de Referencia del Pliego de Condiciones.</t>
  </si>
  <si>
    <t xml:space="preserve">Se informa al interesado que la información se encuentra en las subcarpertas H4051 a H4090 en el Cuarto de Información de Referencia. Se aclara que esta información estará disponible a título meramente informativo acorde con las condiciones de la Sección 1.7 Cuarto de Información de Referencia del Pliego de Condiciones.
</t>
  </si>
  <si>
    <t>Se informa al interesado que el archivo H5159 contiene el PDF del inventario predial del tramo Palmira - Buga y corresponde con el índice del Cuarto de Información de Referencia. Se aclara que esta información estará disponible a título meramente informativo acorde con las condiciones de la Sección 1.7 Cuarto de Información de Referencia del Pliego de Condiciones.</t>
  </si>
  <si>
    <t>Se informa al interesado que la información se encuentra en las subcarpertas H51931 a H51939 y H51971 a H51985 en el Cuarto de Información de Referencia. Se aclara que esta información estará disponible a título meramente informativo acorde con las condiciones de la Sección 1.7 Cuarto de Información de Referencia del Pliego de Condiciones.</t>
  </si>
  <si>
    <t>Se informa al interesado que el archivo H61(51) contiene el PDF del inventario predial del tramo Cali-Pälmira y variante Norte de Palmira y corresponde con el índice del Cuarto de Información de Referencia. Se aclara que esta información estará disponible a título meramente informativo acorde con las condiciones de la Sección 1.7 Cuarto de Información de Referencia del Pliego de Condiciones.</t>
  </si>
  <si>
    <t xml:space="preserve">Seinforma al interesado que el archivo H61(52) contiene el PDF del inventario predial del tramo Cali-Pälmira y variante Norte de Palmira actualizado en octubre 2018 y corresponde con el índice del Cuarto de Información de Referencia. Se aclara que esta información estará disponible a título meramente informativo acorde con las condiciones de la Sección 1.7 Cuarto de Información de Referencia del Pliego de Condiciones.
</t>
  </si>
  <si>
    <t>Se informa al interesado que la carpeta contiene los archivos H613(1) a H613(3) y las subcarpetas H6131 a H6141 en el Cuarto de Información de Referencia. Se aclara que esta información estará disponible a título meramente informativo acorde con las condiciones de la Sección 1.7 Cuarto de Información de Referencia del Pliego de Condiciones.</t>
  </si>
  <si>
    <t>Se informa al interesado que se modifica la Sección 7.2(b) aclarando que el remanente de los recursos de la Subcuenta Predios será distribuido entre el Concesionario y la ANI siempre y cuando (i) más del ochenta por ciento (80%) de los Predios se hayan adquirido por enajenación voluntaria ya sea durante el proceso de expropiación o antes, y (ii) no se hubieren requerido aportes adicionales de la ANI, de lo contrario el remanente corresponde a la ANI. 
Se aclara adicionalmente que de acuerdo con la Sección 7.2(a) los recursos de la Subcuenta Predios son exclusivos para la adquisición de los Predios y las Compensaciones Socioeconómicas, por lo que los demás gastos asociados o inherentes a la Gestión Predial serán asumidos por el Concesionario, a su cuenta y riesgo.</t>
  </si>
  <si>
    <t>Se informa al interesado que los parámetros geométricos expresados en la Tabla 19 del Apéndice Técnico 1, hacen referencia a construcción de la segunda calzada porque la calzada existente ya cumple con los parámetros exigidos. Esto no restringe que la calzada existente pueda tener adaptaciones al modificar su operación al flujo unidireccional, lo cual podrá ser determinado por el Concesionario en los Estudios de Trazado y Diseño Geométrico y Estudios de Detalle. Asi mismo se informa que se modificará el Apendice Tecnico 1, ajustando las Características Geométricas y Técnicas de Entrega para vías a cielo abierto de la UF4. El documento será publicado con el Pliego de Condiciones Definitivo.</t>
  </si>
  <si>
    <t>respuesta enviada por juan camilo el 28 de agosto</t>
  </si>
  <si>
    <t>Se informa al interesado que las definiciones solicitadas corresponden al Plan de Trámites Ambientales a desarrollar por el Concesionario. 
Considerando las cesiones obligatorias de las licencias ambientales definidas en la Tabla 2 del Apéndice Técnico 6, en la misma tabla se incluyen las actividades a llevar a cabo por el Concesionario derivadas de esas licencias y consideradas como obligatorias, sin que esto restrinja la posibilidad de modificarlas y utilizarlas, como instrumento ambiental en las Intervenciones propuestas acorde con su estrategia de Plan de Trámites Ambientales.
Las revisiones de las licencias pueden hacerse en los expedientes correspondientes, sin embargo se consideran alcances únicamente dentro del Corredor de Proyecto y en tal sentido se desarrollarán las cesiones.</t>
  </si>
  <si>
    <t>Se informa al interesado que su  solicitud no es procedente. La ubicación de los puentes peatonales debe corresponder con los demás elementos que desarrolle el Concesionario en los Estudios Trazado y Diseño Geométrico y en los Estudios de Detalle, y del propio análisis de ubicación para esos puentes (el cual debe ser acordado con las comunidades del entorno). La planeación debida del Proyecto indica que se debe dotar al Proyecto de puentes peatonales, los cuales se fijan en el Apéndice técnico 1, y se incluyen las condiciones para que las actividades sociales puedan ser abordadas por el Concesionario. Se precisa que la cuantificación indicada en el apendice tecnico 1 se realizó  por tipo de longitud de cruce.</t>
  </si>
  <si>
    <t xml:space="preserve">Se informa al interesado que el Contrato contempla, en la Parte General en la Sección 8.1(d), la regulación sobre nuevas consultas previas y los mecanismo para compartir costos con la ANI, y en la Sección 8.1(h) los eventos de Fuerza Mayor Ambiental que incluyen sobreplazos relativos a nuevas consultas previas. Por lo que en la nueva versión publicada con el Pliego de Condiciones Definitivo podrá consultar las precisiones realizadas. </t>
  </si>
  <si>
    <t>Se informa al interesado que en el desarrollo del proceso de consulta previa, el Consejo Comunitario San Isidro manifestó su voluntad de cubrir al Consejo Comunitario del Guabal, así mismo se evidenció la existencia y afectación directa a esta comunidad, lo cual fue validado por Mininterior, conforme se indica en las actas del proceso de consulta que se pueden consultar en el Cuarto de Información de Referencia.</t>
  </si>
  <si>
    <t>Se informa al interesado que la Tabla 2 del Capítulo IX del Apéndice Técnico 6, contiene todas las licencias ambientales existentes del Corredor del Proyecto, que son objeto de la cesión obligatoria de la que trata la Sección 4.4(a) del mismo apéndice, con las obligaciones pendientes de cumplimiento y las obligaciones por ejecutar. Al subrogarse a las licencias ambientales, el Concesionario deberá cumplir y atender todas las obligaciones que imponga la ANLA tales como elaboración y entrega de Autos de Seguimiento, pago y atención de visitas de seguimiento, y demás requerimientos hasta obtener el cierre de los expedientes cedidos.
Complementarimente, a titulo informativo acorde con las condiciones de la Sección 1.7 Cuarto de Información de Referencia del Pliego de Condiciones, están a disposición de los interesados los últimos pronunciamientos de seguimiento disponibles en los expedientes de licenciamiento ambiental, los cuales pueden ser consultados en la carpeta E3 del Cuarto de Información de Referencia.</t>
  </si>
  <si>
    <t xml:space="preserve">Se informa al interesado que en los tramos en los que se señala que se conserva la geometría existente, este es el parámetro que prevalece, y el cumplimiento de las secciones definidas en la Ley 105 de 1993 se aplica en las Intervenciones que modifiquen la sección vial actual. En los documentos del Pliego de Condiciones Definitivo se dará mayor claridad del cumplimiento de los diferentes parámetros. </t>
  </si>
  <si>
    <t>Se aclara al interesado que esta Sección no requiere correcciones por cuanto corresponde con las obligaciones que se deben atender para la Etapa Preoperativa según se definen en los Apéndices Técnicos 2 y 4.  Se aclara que las condiciones de Operación de la Etapa Preoperativa sí tendran ajustes en los documentos del Pliego de Condiciones Definitivo aclarando los indicadores y obligaciones que serán aplicables en forma progresiva para la Unidad Funcional 0, especialmente en lo definido en el Apéndice Técnico 4.</t>
  </si>
  <si>
    <t>Se informa al interesado que las comunidades identificadas por el Ministerio del Interior para los procesos de consulta previa, son los tres consejos comunitarios relacionados en el Capítulo IX del Apéndice Técnico 1. Asimismo se informa que los procesos de consulta previa con dichos consejos comunitarios ya fueron culminados. Para conocimiento de estos antecedentes se pueden consultar las comunicaciones y respuestas del Ministerio del Interior en la Carpeta E, y las actas del proceso de consulta previa en la Carpeta I, a título informativo, en el Cuarto de Información de Referencia. Respecto a los costos de las consultas previas ya protocolizadas y detalladas en el Apéndice Técnico 1, no pertenecen a ninguna subcuenta de riesgo compartido, sin embargo hacen parte del valor del Contrato, fijado durante la estructuración.</t>
  </si>
  <si>
    <t>Se aclara al interesado que el Concesionario deberá hacer las actualizaciones y calibraciones que sean necesarias sobre las estaciones de pesaje y sus equipos, para que las mismas cumplan con las condiciones de Operación y Mantenimiento definidas en el Apéndice Técnico 2.</t>
  </si>
  <si>
    <t xml:space="preserve">Se aclara al interesado que el Concesionario deberá hacer las adecuaciones necesarias a los ITS existentes para cumplir con las Especificaciones y condiciones de los Apéndices Técnicos, Sin embargo se aclara que sólo hasta la suscripción del Acta de Terminación de Unidad Funcional se exigirán todas la condiciones obligatorias de estas especificaciones y en particular las de confiabilidad. </t>
  </si>
  <si>
    <t>Se infora al interesado que las condiciones de rehabilitación serán aclaradas en los documentos del Pliego de Condiciones Definitivo. Al respecto el alcance será de actualización normativa en donde sea aplicable para extender la vida útil de la infraestructura y conservando la geometría existente.
Las condiciones de normas técnicas, incluída la vigencia, se definen en el Apéndice Técnico 3, en particular sobre las partes que atañen la geometría ver especialmente la Secciones 2.1, 2.2, 4.3 y 5.1 del Apéndice Técnico 3.</t>
  </si>
  <si>
    <t>Se informa al interesado que la red observada se identificó en la inspección de campo pero no se encontró en ninguna red reportada por los operadores y propietarios, en consecuencia se incluirá en el listado de interferencias del AT5, por lo que fue valorada en la subcuenta de redes</t>
  </si>
  <si>
    <t>Se aclara al interesado que el alcance del Contrato de Interventoría se encontrará especificamente señalado en el mismo y en él se incluirán las obligaciones pertinentes del Contrato de Concesión, las cuales incluiran la supervision y control integral (técnico, jurídico, financiero, sical, ambiental, etc), lo anterior teniendo en cuenta que de conformidad con el articulo 83 de la Ley 1474 de 2011 la ANI encuentra justificado y acorde a la naturaleza del contrato de concesion, contratar el seguimiento y control integral del proyecto. Por lo anterior no se acepta la observación del interesado</t>
  </si>
  <si>
    <t>respuesta enviada por luz elena el 28 de agosto</t>
  </si>
  <si>
    <t xml:space="preserve">
se precisa al interesado que el procedimiento para la imposición de Multas se iniciará cuando haya transcurrido el Plazo de Cura sin que el Concesionario haya remediado el incumplimiento, por lo anterior sugerimos respetuosamente revisar de manera integral el Capitulo X del Contrato Parte General, especificamente las secciones 10.2 y 10.4</t>
  </si>
  <si>
    <t xml:space="preserve">Se informa al interesado que se entiende por figura asociativa anterior cualquier unión de personas naturales y/o jurídicas, consorcio, unión temporal, documento de asociación o cualquier otra forma de asociación permitida por la ley. Sin embargo para dar mayor claridad la entidad efectuará una precisión en el Pliego de Condiciones en la sección 4.2.2., en cuanto a la acreditación de experiencia, la cual podrá aportarse a través de figuras asociativas anteriores y vehículos de propósito especial (SPV). </t>
  </si>
  <si>
    <t>SEGUROS</t>
  </si>
  <si>
    <t>FInanciera</t>
  </si>
  <si>
    <t xml:space="preserve">SEGUROS  </t>
  </si>
  <si>
    <t>FINANCIERO RIESGOS</t>
  </si>
  <si>
    <t>Financiera y TÉCNICA</t>
  </si>
  <si>
    <t>Se informa al interesado que no se acoge  su observación teniendo en cuenta que dada la naturaleza de la información se requiere que esta se encuentre actualizada a la fecha de cierre del proceso de contratación, sin embargo, la entidad realizará un ajuste en dicha sección el cual se verá reflejado en el Pliego de Condiciones definitivo, en el sentido de indicar que el parametro para contar los cuatro meses en caso de modificarse la Fecha de Cierre de la Licitación Pública será el originalmente establecido en el Pliego de Condiciones Definitivo</t>
  </si>
  <si>
    <t xml:space="preserve">Teniendo en cuenta que los Decretos que adoptan las medidas para atender la emergencia originada por el COVID-19 no establecen como excepción el cumplimiento de los requisitos de legalización y apostille, no existe fundamento legal que permita inaplicar lo dispuesto en las normas legales vigentes. Por lo expuesto, no procede su observación. 
</t>
  </si>
  <si>
    <t xml:space="preserve">El artículo 10 de la Constitución Política establece que el castellano es el idioma oficial de Colombia, por lo cual el numeral 6.2. del Pliego de Condiciones dispone que toda la información y los documentos exigidos y presentados como parte de la Oferta deberán estar en este idioma. De allí que en los casos en que el Oferente deba aportar información o documentos que se encuentren en un idioma diferente (sin importar el lugar de su otorgamiento), los mismos deberán presentarse acompañados de una traducción oficial al idioma castellano. 
La exigencia de la traducción oficial de documentos se fundamenta en el inciso primero del artículo 251 del Código General del Proceso al señalar que: “Para que los documentos extendidos en idioma distinto del castellano puedan apreciarse como prueba se requiere que obren en el proceso con su correspondiente traducción efectuada por el Ministerio de Relaciones Exteriores, por un intérprete oficial o por traductor designado por el juez.”. Esta disposición resulta aplicable por la remisión normativa dispuesta en el artículo 77 de la Ley 80 de 1993, en el cual se establece que las normas que rigen los procedimientos y actuaciones en la función administrativa serán aplicables en las actuaciones contractuales y a falta de éstas, regirán las disposiciones del Código de Procedimiento Civil, hoy Código General del Proceso. 
Al respecto el Consejo de Estado Sala de lo Contencioso Administrativo Sección Tercera Subsección A mediante Sentencia número 59432 del 19 de septiembre de 2019, Consejera Ponente MARTA NUBIA VELÁSQUEZ RICO, como conclusión del mismo análisis sostuvo que:  
“(…) Con todo, para que estos sean apreciados por las autoridades públicas nacionales debe aportarse traducción efectuada en cualquiera de las siguientes formas:
1) Por el Ministerio de Relaciones Exteriores.
2) Por un intérprete oficial.
3) Por un traductor designado por el juez” 
Adicionalmente, la Circular Única Externa de la Agencia Nacional de Contratación Pública – Colombia Compra Eficiente, establece en el numeral 10.4 Documentos en idioma extranjero. “Para que los documentos en un idioma distinto al castellano puedan ser apreciados en el Proceso de Contratación deben ser presentados en su lengua original junto con la traducción oficial al castellano”. 
Finalmente, la exigencia de que la traducción sea presentada por un traductor o interprete oficial que cuente con licencia o haya aprobado el examen para desempeñar este oficio en Colombia, se fundamenta en lo dispuesto por el artículo 4 del Decreto 382 de 1951 y el artículo 33 de la Ley 962 de 2005 al tratarse de un oficio reglado por el ordenamiento colombiano. </t>
  </si>
  <si>
    <t>Se informa al interesado que, con el fin de que sea tomado como criterio de desempate, se preferirá a la Oferta presentada por quien acredite al menos el 25% de participación en la Estructura Plural y acredite al menos el 25% de la Experiencia en Inversión. No obstante lo anterior, se aclara al interesado que esta condición es única y exclusivamente aplicable para el criterio de Desempate, para lo cual deberá aportarse el Anexo 17B. 
En lo que respecta al a criterio de asignación de puntaje, se aclara al interesado que se tendrá en cuenta la planta de personal del integrante de la  Estructura Plural que acredite como mínimo el 40% de la Experiencia en Inversión. 
Teniendo en cuenta que el Lider es quién acredita la Experiencia en Inversión, deberá ser quien acredite el requisito exigido de conformidad con el pliego de condiciones.</t>
  </si>
  <si>
    <t xml:space="preserve">Se informa al interesado que no se acepta su observación. La ANI considera que la definición sobre Concesión prevista en el Pliego es suficiente y completa de cara a las necesidades del Proyecto.  La entidad no considera necesario restringir la definición de Proyectos de Infraestructura en el sentido de incluir además la elaboración de estudios y diseños definitivos de acuerdo con el alcance que ambas definiciones tienen en el documento observado. </t>
  </si>
  <si>
    <t xml:space="preserve">Se informa al interesado que no se acepta su observación. La ANI considera que el plazo previsto es suficiente para que todos los interesados extranjeros puedan acreditar su capacidad jurídica.  </t>
  </si>
  <si>
    <t xml:space="preserve">Se informa al interesado que el Acuerdo de Permanencia deberá estar suscrito por el Oferente o todos los integrantes del Oferente en caso de Estructura Plural. </t>
  </si>
  <si>
    <t xml:space="preserve">Se informa al interesado que su entendimiento es correcto. En el evento en que la Estructura Plural tenga más de un Lider, estos deberán acreditar la Experiencia en Inversión en los términos establecidos por el Pliego de Condiciones. </t>
  </si>
  <si>
    <t xml:space="preserve">Se informa al interesado que la fecha de respuesta para todas las observaciones al Proyecto de Pliego de Condiciones será la indicada el cronograma del proceso. De acuerdo con el Aviso Modificatorio No. 6, esta fecha está prevista para el 03 de Septiembre de 2020, sin perjuicio de que la Entidad realice publicaciones parciales.  </t>
  </si>
  <si>
    <t xml:space="preserve">Se informa al interesado que no se acepta su observación. Las reglas de participación para los Fondos de Capital Privado como respaldo de un Integrante del oferente se acreditará a través de un Compromiso Irrevocable de Inversión. Así mismo, se aclara al interesado que la Sección 4.6.8. incluye de forma clara los aspectos que deberán acreditar dichos Fondos en caso que participen en el proceso. </t>
  </si>
  <si>
    <t xml:space="preserve">El artículo 13 de la Ley 80 de 1993 establece que “Los contratos que celebren las entidades a que se refiere el artículo 2o. del presente estatuto se regirán por las disposiciones comerciales y civiles pertinentes, salvo en las materias particularmente reguladas en esta ley”.   En concordancia con lo expuesto, al presente proceso de selección le es aplicable lo dispuesto en el Artículo 480 del Código de Comercio que señala: 
“Los documentos otorgados en el exterior se autenticarán por los funcionarios competentes para ello en el respectivo país, y la firma de tales funcionarios lo será a su vez por el cónsul Colombiano o, a falta de éste, por el de una nación amiga, sin perjuicio de lo establecido en convenios internacionales sobre el régimen de los poderes.
Al autenticar los documentos a que se refiere este artículo los cónsules harán constar que existe la sociedad y ejerce su objeto conforme a las leyes del respectivo país”.
Conforme a lo señalado en esta norma, todos los documentos otorgados en el extranjero deben contar con el trámite allí dispuesto, en concordancia con el artículo 5 del Decreto Ley 019 de 2012 que establece: “(…) las autoridades administrativas y los particulares que cumplen funciones administrativas no deben exigir más documentos y copias que los estrictamente necesarios, ni autenticaciones ni notas de presentación personal sino cuando la ley lo ordene en forma expresa, o tratándose de poderes especiales (…)” (Negrilla y subrayado fuera de texto)
Frente a lo expuesto, la Sentencia del Consejo de Estado del 25 de septiembre de 2013, radicado No. 19933 con ponencia del Dr. Mauricio Fajardo Gómez al analizar la aplicación del artículo 480 del Código de Comercio señaló: 
“En ese orden de ideas debe tenerse en cuenta, por una parte, que el artículo 480 del Código de Comercio, cuya aplicación en materia de contratación estatal se abre paso por la vía de lo normado en el inciso primero del artículo 13 de la Ley 80 de 1993, con toda claridad preceptúa, a propósito del régimen jurídico aplicable a las sociedades extranjeras, que para que los documentos otorgados en el extranjero cuenten con eficacia probatoria en Colombia, deben ser aportados, ante la instancia que corresponda, previa satisfacción de las exigencias previstas en la disposición aludida (…)
Nótese que la disposición transcrita exige a quien pretenda obtener que un documento de cualquier índole –público o privado– tenga efectos probatorios en territorio colombiano, observar unos presupuestos que no constituyen meros formalismos, sino que se trata del procedimiento que el Legislador ha consagrado para que una pieza documental que no ha sido producida u otorgada en Colombia, pueda ser valorada en este país con un mínimo de garantías para la seguridad jurídica y para los derechos e intereses de los intervinientes en el tráfico jurídico; se trata, por lo demás, de una norma que impacta el régimen de valoración de los medios de prueba, que mal podría ser desconocida en las actuaciones administrativas de naturaleza contractual, pues con ello los funcionarios intervinientes podrían ver comprometida su responsabilidad individual, a voces de lo dispuesto por el artículo 6 constitucional”. (Subraya Fuera de Texto)
Ahora bien, estas disposiciones de orden procedimental son plenamentes aplicables a las actuaciones administrativas contractuales, en virtud de lo consagrado en el inciso primero del artículo 77 de la Ley 80 de 1993 así: “En cuanto sean compatibles con la finalidad y los principios de esta ley, las normas que rigen los procedimientos y actuaciones en la función administrativa serán aplicables en las actuaciones contractuales. A falta de éstas, regirán las disposiciones del Código de Procedimiento Civil”
Con base en lo anterior, se puede afirmar que al no establecer el Estatuto de Contratación Pública ni el Código de Procedimiento Administrativo y de lo Contencioso Administrativo nada respecto al otorgamiento de documentos en el exterior, es necesario aplicar las reglas previstas en el estatuto de procedimiento civil y en el estatuto mercantil máxime cuando el artículo 13 de la ley 80 de 1993 dispone que son fuentes principales a la contratación pública el derecho civil y comercial.
Por lo expuesto, no procede la observación y se mantiene la exigencia establecida en el pliego de condiciones. 
</t>
  </si>
  <si>
    <t xml:space="preserve">Se informa al interesado que la Entidad tendrá en cuenta la situación originada por el COVID-19 y las órdenes decretadas por el Gobierno en este sentido y, si llegare a considerarlo necesario, tomará las medidas correspondientes para garantizar el acceso de todos los interesados y facilitar la presentación de Ofertas. </t>
  </si>
  <si>
    <t>Se informa al interesado que la Entidad tendrá en cuenta la situación originada por el COVID-19 y las órdenes decretadas por el Gobierno en este sentido y, si llegare a considerarlo necesario, tomará las medidas correspondientes para garantizar el acceso de todos los interesados a las audiencias del Proceso de Selección.</t>
  </si>
  <si>
    <t>Se informa al interesado que se acepta su observación y se realizarán los ajustes correspondientes en los documentos definitivos</t>
  </si>
  <si>
    <t>Se informa   al interesado que en el evento en que se configure alguno de los supuestos señalados en el artículo 62 de la Ley 1563 de 2012 para que exista Arbitraje Internacional, el Contrato prevé que las controversias que surjan entre las Partes con ocasión del contrato (a excepción de las que corresponden a la competencia exclusiva del Amigable Componedor) serán resueltas por un Tribunal de Arbitramento Internacional. En este caso, no aplicará lo previsto por la Sección 15.2 de Arbitraje Nacional, salvo por lo previsto expresamente en la Sección 15.3.</t>
  </si>
  <si>
    <t>Se informa al interesado que no se acepta su observación, toda vez que la restricción incluida en la Sección 15.1(ix) busca la imparcialidad e independencia del Amigable Componedor que resolverá las controversias entre las Partes.</t>
  </si>
  <si>
    <t>Se informa   al interesado que no se acepta su observación. Las controversias sujetas a arbitraje serán todas aquellas existentes entre las Partes con ocasión del contrato a excepción de las controversias que sean de conocimiento del Panel de Amigables Componedores.</t>
  </si>
  <si>
    <t>Se informa al ineresado que se incluirá la información de aforos en el Cuarto de Información de Referencia, especialmente en la Carpeta 0AI2-11. Es importante precisar que esta información estará disponible a título meramente informativo acorde con las condiciones de la Sección 1.7 Cuarto de Información de Referencia del Pliego de Condiciones.</t>
  </si>
  <si>
    <t>Se aclara al interesado que en efecto el punto de la curva "Don Otto" tiene dependencia en la disponibilidad de predios, por lo cual se regula este caso en la Entrega de la Infraestructura de la Sección 3.6(f) de la Parte Especial.
Respecto a los tramos de Factor de Calidad las Intervenciones contempladas serán de rehabilitación con ajuste de bermas en el caso de Villarrica - Caloto, y Mejoramiento de la calzada existente con construcción de bermas para La Herradura - Matapal, pero se aclara que para los dos tramos de factor de calidad las intervenciones se tienen previstas dentro del derecho de via existente. Igualmente se aclara que al ser vías secundarías y terciarias las intervenciones propuestas no se orientan hacia incrementos de velocidad. Al respecto se harán los ajustes en el Apéndice Técnico 1 que será publicado con los documentos del Pliego de Condiciones Definitivo.</t>
  </si>
  <si>
    <t>Se informa al interesado que el pasado 21 de agosto de 2020 se actualizó la información contenida en el Cuarto de Datos de acuerdo con los indices relacionados para la misma. Igualmente se comunica que la información del "Cuarto de Información de Referencia" es a título meramente informativo según lo dispuesto en la Sección 1.7 del Pliego de Condiciones. 
Por último, se precisa que toda la información podrá descargarse del link definido para el Cuarto de Datos .</t>
  </si>
  <si>
    <t xml:space="preserve">Se informa al interesado que se incluirán ajustes en las exigencias de las obras de Factor de Calidad, con el propósito que las mismas se desarrollen preferentemente sobre los corredores viales existentes, los cuales podrá consultarlos en los documentos del Pliego de Condiciones Definitivo. </t>
  </si>
  <si>
    <t>Se aclara al interesado que la definición detallada de las Intervenciones depende de los Estudios de Trazado y Diseño Geométrico, y Estudios de Detalle que realizará el Concesionario cumpliendo las Especificaciones Técnicas. 
Dentro del Apéndice técnico 1 se define qué se entiende para cada Intervención. De otra parte, en la medida que el riesgo de estudios y diseños es del Concesionario, se consideran suficientes los parámetros definidos en los Apéndices Técnicos para las obras de Factor de Calidad. Se informa que se harán ajustes en las descripciones de los alcances en el Apéndice Técnico 1 para las obras del Factor de Calidad, el cual sera publicado con los documentos del Pliego de Condiciones Definitivo. 
De otra parte, se informa que se complementará la información en el Cuarto de Información de Referencia según el índice.
Finalmente, La investigación del estado de las vías corresponde a la debida diligencia del Oferente para la presentación de la Oferta.</t>
  </si>
  <si>
    <t xml:space="preserve">Se informa al interesado que se tuvo en cuenta la información contenida en el anexo de su solicitud respetando los acuerdos logrados en las mesas de trabajo sostenidas entre la ANI y la CCI en relación con el procedimiento de verificación de entrega de las unidades funcionales, la gestión y adquisición predial y la retribución del Concesionario. Estos ajustes estarán incorporados en la versión final del Contrato Parte General que será publicado con los documentos del Pliego de Condiciones Definitivo. </t>
  </si>
  <si>
    <t>Se informa al interesado que solamente se cuenta con la información disponible al respecto que esta publicada en el Cuarto de Información de Referencia, la cual corresponde a la localización del tramo. Finalmente, se precisa que el Cuarto de Información de Referencia tiene el carácter descrito en la Sección 1.7 del Pliego de Condiciones.</t>
  </si>
  <si>
    <t>Se informa al interesado que dentro del presupuesto del proyecto se definieron partidas de reforzamiento para algunos de los puentes existentes según las condiciones que se muestran en los anexos de FICHAS DE CAMPO o en los anexos de FICHAS SIPUCOL. Sin embargo la información de presupuestos no se dispondrá en el Cuarto de Información de Referencia al hacer parte de la información con reserva legal del modelo financiero, acorde con el artículo 11 de la Ley 1508 de 2012.</t>
  </si>
  <si>
    <t>Se informa al interesado que en el desarrollo del proceso de consulta previa, el Consejo Comunitario San Isidro manifestó su voluntad de cubrir al Consejo Comunitario del Guabal, así mismo se evidenció la existencia y afectación directa a esta comunidad, lo cual fue validado por Mininterior, conforme se indica en las actas del proceso de consulta que se pueden consultar en el Cuarto de Información de Referencia.
Asimismo, se aclara que durante el proceso de consulta previa se informó a la comunidad que esa consulta no guardaba relación con el seguimiento de los acuerdos de las consultas que se hicieron en 2010 con ocasión de la Construcción y Funcionamiento del Complejo Penitenciario  de Alta y Mediana Seguridad de Jamundí.</t>
  </si>
  <si>
    <t xml:space="preserve">Se informa al interesado que se acepta su observación y se realizarán los ajustes correspondientes, que se podran ver en los documentos del Pliego de Condiciones Definitivo. </t>
  </si>
  <si>
    <t xml:space="preserve">Se informa al interesado que no se acepta la observación. La verificación de las Intervenciones no implica la aceptación definitiva de las mismas. En el evento en que se advierta que las Intervenciones no cumplen con cualquiera de las reglas contenidas en el Contrato, el Concesionario deberá tomar las medidas correctivas correspondientes. </t>
  </si>
  <si>
    <t>Se informa al interesado lo siguiente:
(i) La que aplique de acuerdo con las disposiciones contenidas en el artículo 2.2.2.3.11.1 "Régimen de Transición" contenido en el Decreto 1076 de 2015.
(ii). Se informa al interesado que los plazos y condiciones de la Fuerza Mayor Ambiental se modificaron en la Sección 8.1(h) de la Parte General, por lo que podrá ser consultada en los dcumentos del Pliego de Condiciones Definitivo. 
(iii). En el evento planteado por el interesado, cuando existan múltiples solicitudes se tendrá en cuenta la fecha de la última radicación de información adicional. Se aclara en los documentos definitivos que se toma el tiempo para la activación de la Fuerza Mayor Ambiental desde que el Concesionario haya cumplido con todos los requerimientos fijados por la Autoridad Ambiental Competente.</t>
  </si>
  <si>
    <t>Se informa al interesado que los plazos y condiciones de la Fuerza Mayor Ambiental se modificaron en la Sección 8.1(h) de la Parte General. En tal sentido se dividen los tipos de Fuerza Mayor Ambiental, una para la Licencia Ambiental y otra para la expedición o modificación de permisos, concesiones y autorizaciones ambientales, y en ambos casos la Fuerza Mayor Ambiental aplica si transcurriere más del cincuenta por ciento (50%) adicional del tiempo máximo establecido por la Ley Aplicable</t>
  </si>
  <si>
    <t>Se aclara al interesado que es correcto el entendimiento respecto a la Sección 3.6(f) que define tramos cuya entrega es excepcional y puede ser posterior a la Orden de Inicio. Esta precisión se tendrá en cuenta, y se ajustará la Parte Especial en la Sección 1.127 de la tabla de referencias. Dicho ajuste se podrá revisar en el Pliego de Condiciones Definitivo.</t>
  </si>
  <si>
    <t xml:space="preserve">Se informa al interesado que en el marco de la estructuración el Ministerio del Interior certificó la presencia de comunidades etnicas en el area de influencia del proyecto, lo cual derivó en la 3 consultas previas realizadas. Igualmente se aclara que dicha información se encuentra en la Carpeta E del Cuarto de Información de Referencia. </t>
  </si>
  <si>
    <t>Se informa al interesado que una vez recibido el tramo, el Concesionario debera realizar las Intervenciones de Puesta a Punto, definidas en el Apéndice Técnico 1, para que pueda cumplir los requisitos de Operación y Mantenimiento.
Se aclara que en la Sección 3.6(f) de la Parte Especial se definen las condiciones particulares para la Entrega de la Infraestructura del tramo Cali-Candelaria. Bajo estos preceptos se define que el tramo se entregue tanto con la calzada existente como la nueva calzada, una vez construida, siempre y cuando la construcción a cargo de la Gobernación del Valle del Cauca se complete dentro de los plazos previstos en la Sección 3.6(f) de la Parte Especial. 
Respecto a las puntos (i) a (iii) de acuerdo con la Sección 4.3(a) de la Parte General la Entrega de la Infraestructura es una obligación de la ANI, para ello la ANI surtirá las entregas de la Gobernación del Valle verificando que las condiciones de recibo son acordes con los convenios, para tal efecto se establecen los plazos particulares de la Sección 3.6(f) de la Parte Especial, y como lo señala la misma sección en caso de no encontrarse los tramos construidos en los plazos señalados se procederá a la exclusión del tramo, tanto en la calzada existente como en la segunda. Los contratos de construcción del tramo Cali-Candelaria son públicos, por lo tanto el Concesionario puede acceder a la información contractual solicitada. 
Con relación al punto (ii) los contratos de la Gobernación del Valle, no se han terminado, por lo que le corresponderá al futuro Concesionario en su debida diligencia solicitar el Acta de Liquidicación de obra. En tal sentido se aclara que dichos contratos de obra al estar en desarrollo no cuentan aún con acta liquidación.
Respecto al punto (iv) en concordancia con las condiciones de Entrega de la Infraestructura no proceden salvedades sobre el estado de la infraestructura al momento de la entrega. 
Respecto a los puntos (v) y (vi) las condiciones de Operación y Mantenimiento y los indicadores, se estima que el Contrato ya contempla la condición solicitada. Los plazos de la Sección 3.6(f) de la Parte Especial permiten que se fijen límites para que la infraestructura pueda surtir la Entrega de la Infraestructura y aún sobrevivan plazos de la Etapa Preoperativa para que el Concesionario pueda hacer las Intervenciones de Puesta a Punto necesarias para llevar los tramos al cumplimiento de los indicadores. Durante la Etapa Preoperativa regirán las condiciones de indicadores específicos que son menores a los de la Etapa de Operación y Mantenimiento.</t>
  </si>
  <si>
    <t xml:space="preserve">Se informa al interesado que ese es un aspecto a definir en los Estudios de Detalle por el Concesionario. Los alcances del Apéndice Técnico 1 fijan los parámetros que según los estudios adelantados por las entidades locales se consideran necesarios para la infraestructura que se pretende suplir, y es importante resaltar que dichos estudios no consideran la demolición del puente que eleva la Avenida Tercera. Se aclara que la Figura 2 se presenta a título informativo por lo que no está provista de elementos constructivos. A título meramente informativo en los estudios ubicados en la carpeta G del Cuarto de Información de Referencia la intersección futura utilizará el puente que eleva a la Avenida Tercera. Finalmente, se realizarán ajustes en el Apendice Tecnco 1, versión que se publicará con los documentos del Pliego de Condiciones Definitivo. </t>
  </si>
  <si>
    <t>Se informa al interesado que los tramos del Factor de Calidad no fueron objeto de consultas al Ministerio del Interior, y la futura gestión de los tramites estará a cargo del concesionario.</t>
  </si>
  <si>
    <t xml:space="preserve">Se informa al interesado que acorde con la Sección 3.10 de la Parte Especial en los tramos de Reversión Especial, que incluyen los de Factor de Calidad, se aplica el procedimiento de verificación previsto en la Sección 4.17 de Parte General. En cuanto a los indicadores se considera pertinente la aclaración de los que aplican a estos tramos en forma similar a los definidos en la Sección 4.17(a)(iii) de Tabla de Referencias a la Parte General, de la Parte Especial. Con la publicación de los documentos del Pliego de Condiciones Definitivo se podrán consultar los ajustes realizados. </t>
  </si>
  <si>
    <t>Se informa al interesado que respecto a los tramos de Factor de Calidad las Intervenciones contempladas serán de rehabilitación con ajuste de bermas en el caso de Villarrica - Caloto, y Mejoramiento de la calzada existente con construcción de bermas para La Herradura - Matapal, pero se aclara que para los dos tramos de factor de calidad las intervenciones se tienen previstas dentro del derecho de via existente. Igualmente se aclara que al ser vías secundarías y terciarias las intervenciones propuestas no se orientan hacia incrementos de velocidad. Al respecto se harán los ajustes en el Apéndice Técnico 1 que será publicado con los documentos del Pliego de Condiciones Definitivo.</t>
  </si>
  <si>
    <t>Se aclara al interesado que la ANI dispondrá de los recursos para contar con el personal experto requerido y cumplir las funciones asignadas a la ANI en las Secciones 3.2.1 y 3.2.2 del Apéndice Técnico 5, entendiéndose el carácter a título informativo del inventario preliminar de la identificación de Redes del Capítulo III del mismo Apéndice.</t>
  </si>
  <si>
    <t>Se aclara al interesado que en el caso expuesto, una vez superados los procedimientos que demuestran la imposibilidad de la enajenación voluntaria según las Secciones 5.4 y 5.10 del Apéndice Técnico 7 Predial, será posible adquirir dicho predio a través del mecanismo de expropiación judicial o por vía administrativa. En tal caso se siguen las condiciones de los Capítulos VI y VII del Apéndice Técnico 7, según la Ley Aplicable y de conformidad con los literales h) y j) del artículo 58 de la ley 388 de 1997. Finalmente la ANI efectuará la transferencia de la titulaidad a la Autoridad Ambiental que corresponda para el cumplimiento de la obligación ambiental.</t>
  </si>
  <si>
    <t>Se aclara al interesado que el recuado solamente se realizará sobre las estaciones de peaje. De otra parte, para efectos del cálculo de la Retribución de cada Unidad Funcional, se aplica una participación sobre el total del Recaudo de las estaciones de peaje existentes, dicha regulación se define en la Sección 4.1 de la Parte Especial.</t>
  </si>
  <si>
    <t>respuesta enviada por luz elena el 30 de agosto</t>
  </si>
  <si>
    <t xml:space="preserve">Se aclara al interesado que la observación no es procedente a este proceso licitatorio, toda vez que este Proyecto y su Contrato Parte General, hacen referencia a un contrato de Iniciativa Pública, y el planteamiento de la observación aplica únicamente en una Iniciativa Privada. </t>
  </si>
  <si>
    <t>respuesta enviada por juan camilo el 30 de agosto</t>
  </si>
  <si>
    <t>Se aclara al interesado que la definición de Corredor del Proyecto está incluida en la Parte General. En cuanto a los perímetros, los tramos con alcance de Construcción y en los tramos con ampliación en el alcance de Mejoramiento según el Apéndice Técnico 1 tendrán las fajas establecidas en la Ley 1228 de 2008. Los tramos de infraestructura existente con alcances de Puesta a Punto y Rehabilitación tendrán el ancho del derecho de vía existente que será sujeto del procedimiento de Entrega de la Infraestructura. Para ampliar la información sobre la vías de la infraestructura Existente, se podrá consultar la Franja de Utilidad Pública en la resolución respectiva que se incluirá en el Cuarto de Información de Referencia tan pronto sea expedida, y para las franjas adquiridas por la Concesión 005 de 1999 se puede consultar el formato GCSP-F-114 Inventario predial y sus anexos en la carpeta H del Cuarto de Información de Referencia.</t>
  </si>
  <si>
    <t xml:space="preserve">Se aclara al interesado que el cronograma del que trata la Sección 4.2(p) se considera una herramienta de seguimiento y control temprana para el desarrollo general de las actividades de Redes y por tal motivo se presenta en forma anterior al Plan de Redes. No es correcta la apreciación frente a la necesidad de contar con la no objeción de los Estudios de Trazado y Diseño Geométrico para definir las actitivades de Redes por cuanto la investigación previa de Redes es un insumo mismo en la definición del trazado con el propósito de evitar las interferencias. La misma Sección estipula que el cronograma debe ser actualizado con las modificaciones en el Plan de Redes.
</t>
  </si>
  <si>
    <t>Se aclara al interesado que en la Sección 4.10(i) se establece que la cobertura del mayor valor generado por el plazo adicional respecto de los costos de Interventoría y Coordinación es en un monto proporcional al plazo adicional estimado solicitado, y si el monto del fondeo efectuado a la Subcuenta Interventoría y Coordinación fuere superior al plazo efectivamente utilizado para terminar la Unidad Funcional, el monto en exceso consignado será trasferido a la Subcuenta de la Cuenta Proyecto.</t>
  </si>
  <si>
    <t>Se informa al interesado que su solicitud no se acepta, sin embargo se aclara al interesado que la Sección 6.3 de la Parte General se modificará para admitir que el trazado exceda y/o se extienda más allá del área de la Franja de Utilidad Pública del Proyecto, y dicha superación de la Franja de Utilidad Pública se extienda longitudinalmente hasta una distancia máximo definido en la Parte Especial, de forma que se conserve la asignación de los riesgos del Proyecto según el Capítulo XIII de la Parte General. En caso de superar esa distancia máxima será obligación del Concesionario asumir los efectos favorables y/o desfavorables de dichas modificaciones, en cuanto al valor base de la modificación y a la totalidad de los riesgos. El documento podrá consultarse con la publicación de los documentos del Pliego de Condiciones Definitivo.</t>
  </si>
  <si>
    <t>Se informa al interesado que no se incluyen datos específicos sobre el estado de emergencia económica, social y ecológica en el Cuarto de Información de Referencia. Sin embargo, se aclara que para favorecer la gestión frente al estado de emergencia los calendarios del Proceso de Selección fueron aplazados y se incluyeron disposiciones de compensaciones por la Restricción de Movilidad en estado de excepción o estado de emergencia en la Sección 3.3 de la Parte General.</t>
  </si>
  <si>
    <t>Se informa al interesado que se incluye en la carpeta J del Cuarto de Información de Referencia la relación de actividades de la vigilancia del derecho de vía adelantadas duante 2019 y hasta junio de 2020. Esta información estará disponible a título meramente informativo acorde con las condiciones de la Sección 1.7 Cuarto de Información de Referencia del Pliego de Condiciones.</t>
  </si>
  <si>
    <t>Se aclara al interesado que:
a) Los estudios de tráfico de estructuración contemplaron que el corredor Cali - Candelaria operará en doble calzada.
b) Los datos de tráfico incluyen los ejes cañeros. Para mayor detalles la carpeta 0AI2-11 incluye los datos aforados de camiones cañeros y dentro de la información secundaria se encuentran los registros de eje cañero (EC) en los volúmenes del anexo 0AI282 y H21.
Esta información estará disponible a título meramente informativo acorde con las condiciones de la Sección 1.7 Cuarto de Información de Referencia del Pliego de Condiciones.</t>
  </si>
  <si>
    <t>Se informa al interesado que las actas del proceso de consulta previa con cada una de las comunidades se encuentran publicadas en la carpeta I del Cuarto de Información de Referencia. Esta información estará disponible a título meramente informativo acorde con las condiciones de la Sección 1.7 Cuarto de Información de Referencia del Pliego de Condiciones.</t>
  </si>
  <si>
    <t>Se informa al interesado que el presupuesto de estructuración contempla las obras de estabilización de taludes existentes, las obras temporales de contención durante las obras y medidas de estabilización de terraplenes. Las consideraciones frente a las obras incluidas en el CAPEX se puede consultar en los volúmenes de geología y geotecnia de la carpeta CI. De otra parte, con respecto a las intersecciones de Versalles y Sameco podrá consultar las carpetas G1 y G2 respectivamente en el Cuarto de Información de Referencia. Esta información estará disponible a título meramente informativo acorde con las condiciones de la Sección 1.7 Cuarto de Información de Referencia del Pliego de Condiciones. 
Para la estimación del OPEX se contemplaron los equipos disponibles para la atención de derrumbes y los presupuestos de mantenimientos rutinarios y periódicos de las obras de estabilización.</t>
  </si>
  <si>
    <t>Se informa al interesado que no se identifican interferencias de Redes en las vías del Factor de Calidad, sin embargo se aclara que el inventario preliminar de las Redes que se lista a título informativo en el Apéndice Técnico 5, no incluye las obras del Factor de Calidad. Se aclara que la asignación de riesgos de Redes para estas obras sigue lo dispuesto en la Sección 3.11 Riesgos Específicos del Proyecto por Factor de Calidad de la Parte Especial, según la cual será responsabilidad y riesgo total del Concesionario el valor de intervención de Redes de la obras del Factor de Calidad.</t>
  </si>
  <si>
    <t>Se aclara al interesado que se aplican únicamente los Indicadores en los cuales se definen condiciones o valores de aceptación para la Etapa Preoperativa. Para mayor claridad en la medición de los Indicadores se incluirá en el Apéndice Técnico 4 la lista explícita de los aplicados a la Etapa Preoperativa. Dicha modificación se podrá observar en los documentos del Pliego de Condiciones Definitivo.</t>
  </si>
  <si>
    <t>Se aclara al interesado que en la versión final del Apéndice Tecnico 4, que se publicará con los documentos del Pliego de Condiciones Definitivo, se podrá consultar los valores de aceptación progresivos para la Etapa Preoperativa a partir del Acta de Inicio, y una vez obtenida el Acta de Terminación de Unidad Funcional serán aplicables los indicadores plenos de Operación y Mantenimiento incluso en la Unidad Funcional 0.</t>
  </si>
  <si>
    <t>Se informa al interesado que en el Cuarto de Información de Referencia se incluyó información en la carpeta J que incluye las intervenciones de pavimentos, mantenimientos e inventarios viales recientes realizadas en 2019 y los primeros meses de 2020, y en la carpeta H21 datos actualizados de tránsito de los peajes del Proyecto. Se aclara que esta información estará disponible a título meramente informativo acorde con las condiciones de la Sección 1.7 Cuarto de Información de Referencia del Pliego de Condiciones.</t>
  </si>
  <si>
    <t>Se informa al interesado que las carpetas enumeradas en la observación se completaron en el Cuarto de Información de Referencia. Se informa que el diseño geométrico del tramo Cali - Candelaria de la Gobernación del Valle no se encuentra anexo al informe MV-C04-DG-IF-001-R0 y en se ubica en la carpeta G4 del Cuarto de Información de Referencia. Se aclara que esta información estará disponible a título meramente informativo acorde con las condiciones de la Sección 1.7 Cuarto de Información de Referencia del Pliego de Condiciones.</t>
  </si>
  <si>
    <t xml:space="preserve">Se informa al interesado que se acepta su observación y se hará el ajuste correspondiente en los documentos del Pliego de Condiciones Definitivo. </t>
  </si>
  <si>
    <t>Se informa al interesado que la información de fuentes de materiales y zonas de disposición de sobrantes identificadas en el proceso de estructuración se encuentra en los volúmenes de geología y geotecnia en la carpeta CI del Cuarto de Información de Referencia. Se aclara que esta información estará disponible a título meramente informativo acorde con las condiciones de la Sección 1.7 Cuarto de Información de Referencia del Pliego de Condiciones.</t>
  </si>
  <si>
    <t>Se aclara al interesado que en función de garantizar la operación de las vías se debe garantizar la continuidad de condiciones de transitabilidad en los puntos de empalme con otros proyectos. En particular en el límite de Santander de Quilichao se incluye la Puesta a Punto de los retornos y Intersección Norte Variante Santander de Quilichao (ver Tabla 12 del Apéndice Técnico 1) pero no se requiere la construcción de nuevas infraestructuras de conexión.</t>
  </si>
  <si>
    <t>Se informa al interesado que la información de carpetas faltantes fue dispuesta en el Cuarto de Información de Referencia, sin embargo se aclara que la información de presupuestos de la estructuración, por hacer parte del modelo financiero estatal, según el Artículo 11 de la Ley 1508 de 2012 es información con reserva legal y por tal motivo es omitida del Cuarto de Información de Referencia. Por ultimo, se precisa que esta información estará disponible a título meramente informativo acorde con las condiciones de la Sección 1.7 Cuarto de Información de Referencia del Pliego de Condiciones.</t>
  </si>
  <si>
    <t>Se informa al interesado que la información de las obras de la Variante el Bolo puede consultarse en las carpetas G3 y K en el Cuarto de Información de Referencia. Se precisa que esta información estará disponible a título meramente informativo acorde con las condiciones de la Sección 1.7 Cuarto de Información de Referencia del Pliego de Condiciones.</t>
  </si>
  <si>
    <t>Se informa al interesado que el alcance del tramo Cali (Sameco) - Glorieta Cencar de la Unidad Funcional 5, es el definido en el Apéndice Técnico 1 en las tablas 5 y 23, es decir Puesta a Punto conservando la geometría existente. Se aclara que el Cuarto de Información de Rerefencia se dispone a título meramente informativo, por lo tanto la definición de alcances correspone a los Apéndices Técnicos.</t>
  </si>
  <si>
    <t>Se informa al interesado que los parámetros de sobreanchos que resulten del análisis de trayectorias, son el resultado de los Estudios de Trazado y Diseño Geométrico que desarrollará el Concesionario, por tal motivo este criterio obedece a la aplicación del Manual de Diseño Geométrico y no se considera como parámetro específico a definir en el Apéndice Técnico 1.</t>
  </si>
  <si>
    <t>Se aclara al interesado que todas las Intersecciones definidas con Intervención de Construcción y que se listan en las tablas del Capítulo IV del Apéndice Técnico 1 deben solucionar todos los movimientos, incluida la Intersección  Av. Bicentenario - Vía Ye de Villa Rica-Jamundí definida en la Table 16. Respecto al Cuarto de Información de Referencia se informa que la Intersección Av. Bicentenario - Vía Ye de Villa Rica-Jamundí de la UF3 se actualizó en la información publicada en el volumen de diseño geométrico de la carpeta A2. Se precisa que esta información estará disponible a título meramente informativo acorde con las condiciones de la Sección 1.7 Cuarto de Información de Referencia del Pliego de Condiciones.</t>
  </si>
  <si>
    <t>Se aclara al interesado que las intersecciones de la Tabla 16 del Apéndice Técnico 1 se listan como requisito de mínimo cumplimiento en los Estudios de Trazado y Diseño Geométrico, y no se deben interpretar como excepciones o limitaciones a las Especificaciones Técnicas del Apéndice Técnico 3, por lo tanto las vías locales y predios existentes deben solucionarse mediante accesos y cruces, tal como lo exige el volumen de ESTUDIO DE URBANISMO Y PAISAJISMO del Manual de Consultoría e Interventoría para estudios y diseños y gerencia de proyectos en INVIAS, en lo referente al contenido y alcance de los Estudios de Trazado y Diseño Geométrico y los Estudios de Detalle - Fase III.</t>
  </si>
  <si>
    <t>Se informa al interesado que la ubicación del comentario corresponde a vías locales, las cuales deben solcionarse ya sea en acceso o cruce según lo exige el volumen de ESTUDIO DE URBANISMO Y PAISAJISMO del Manual de Consultoría e Interventoría para estudios y diseños y gerencia de proyectos en INVIAS, en lo referente al contenido y alcance de los Estudios de Trazado y Diseño Geométrico y los Estudios de Detalle - Fase III. Así mismo se aclara que las intersecciones que, como mínimo, debe intervenir el Concesionario para la mencionada UF3 se recogen en el numeral 4.4 del Apéndice Técnico 1.</t>
  </si>
  <si>
    <t>Se informa al interesado que se corrige la tabla 15 estableciendo una obligación en materia de velocidad para las zonas rurales y urbanas, si bien debe considerarse que en zonas residenciales la velocidad de operación estará limitada por las disposiciones normativas de tráfico calmado, y adicionalmente que la franja de trazado de la zona suburbana de Cali será definida por la reserva contenida en el POT. Los ajustes se podrán observar en los documentos del Pliego de Condiciones Definitivo.
El Concesionario podrá adoptar los diseños contenidos en el Cuarto de Información de Referencia sin perjuicio de cumplir lo dispuesto en el contrato y sus apéndices respecto a las características de entrega de cada una de las Unidades Funcionales que conforman el proyecto.</t>
  </si>
  <si>
    <t>Se aclara al interesado que la excepción a la velocidad de diseño, se refiere al % de la longitud final, resultante de los Estudios de Detalle y Estudios de Trazado y Diseño Geométrico a desarrollar por el Concesionario, del tramo Av. Bicentenario. La velocidad de diseño a cumplir por ese tramo de excepción será determinada, sin perjuicio de lo dispuesto en el contrato y sus anexos, por los Estudios de Detalle y Estudios de Trazado y Diseño Geométrico a desarrollar por el Concesionario.</t>
  </si>
  <si>
    <t>Se informa al interesado que se corrige la tabla 19 estableciendo las caracteristicas minimas la en los tramos de nueva construcción. Los ajustes se podrán observar en los documentos del Pliego de Condiciones Definitivo.
El Concesionario podrá adoptar los diseños contenidos en el Cuarto de Información de Referencia  sin perjuicio de cumplir lo dispuesto en el contrato y sus apéndices respecto a las características de entrega de cada una de las Unidades Funcionales que conforman el proyecto.</t>
  </si>
  <si>
    <t>Se informa al interesado que se incluye en la carpeta A32 del Cuarto de Información de Referencia, una solución alternativa de intersección que permite los retornos requeridos. Se precisa que esta información estará disponible a título meramente informativo acorde con las condiciones de la Sección 1.7 Cuarto de Información de Referencia del Pliego de Condiciones. 
El Concesionario podrá adoptar los diseños contenidos en el Cuarto de Información de Referencia sin perjuicio de cumplir lo dispuesto en el contrato y sus apéndices respecto a las características de entrega de cada una de las Unidades Funcionales que conforman el proyecto.</t>
  </si>
  <si>
    <t>Se informa al interesado que se modificará la tabla 23 del Apéndice Técnico 1, para dar claridad sobre la intervención en el tramo mencionado. Los ajustes se podrán observar en los documentos del Pliego de Condiciones Definitivo.
El Concesionario podrá adoptar los diseños contenidos en el Cuarto de Información de Referencia  sin perjuicio de cumplir lo dispuesto en el contrato y sus apéndices respecto a las características de entrega de cada una de las Unidades Funcionales que conforman el proyecto.</t>
  </si>
  <si>
    <t>Se informa al interesado que se modificará el Apéndice Técnico 1, para dar claridad sobre las velocidades de diseño y/o operación. Los ajustes se podrán observar en los documentos del Pliego de Condiciones Definitivo.
El Concesionario podrá adoptar los diseños contenidos en el Cuarto de Información de Referencia  sin perjuicio de cumplir lo dispuesto en el contrato y sus apéndices respecto a las características de entrega de cada una de las Unidades Funcionales que conforman el proyecto.</t>
  </si>
  <si>
    <t>Se informa al interesado que los alcances se aclararán en el Apéndice Técnico 1. El mejoramiento se establece por la condición de anchos de calzada, sin embargo se establecen excepciones y las condiciones de velocidad que permitan la Intervención en la franja de vía existente. Los ajustes se podrán observar en los documentos del Pliego de Condiciones Definitivo.
El Concesionario podrá adoptar los diseños contenidos en el Cuarto de Información de Referencia  sin perjuicio de cumplir lo dispuesto en el contrato y sus apéndices respecto a las características de entrega de cada una de las Unidades Funcionales que conforman el proyecto.</t>
  </si>
  <si>
    <t>Se informa al interesado que la infraestructura existente se lista en el Capítulo II del Apéndice Técnico 1. En la infraestructura actual las bases de operación existen en las áreas administrativas de los peajes y en el CCO, los cuales se encuentran descritos en la carpeta H del Cuarto de Información de Referencia. Se precisa que esta información estará disponible a título meramente informativo acorde con las condiciones de la Sección 1.7 Cuarto de Información de Referencia del Pliego de Condiciones. 
Por otro lado, la ubicación y características de las bases de operación debe ser definida por el Concesionario, tomando como requisitos las definiciones de la Sección 3.3.3.1.1. del Apéndice Técnico 2 y que se cumplan los indicadores del Apéndice Técnico 4 en especial los de tiempos de atención de incidentes y accidentes. La programación de las obras para implantar o adecuar las bases de operación dependerá de la organización del Concesionario para el cumplimiento de los indicadores teniendo en consideración que los indicadores tienen valores de aceptación diferenciados desde la obtención del Acta de Terminación de la Unidad Funcional.</t>
  </si>
  <si>
    <t>Se informa al interesado que no es correcta su apreciación. Si bien en los tramos de Puesta a Punto y Rehabilitación se conserva la geometría vial existente, debe tenerse en cuenta que en los tramos en los que haya nueva construcción o ampliaciones, deben solucionarse accesos y cruces, tal como lo exige el volumen de ESTUDIO DE URBANISMO Y PAISAJISMO del Manual de Consultoría e Interventoría para estudios y diseños y gerencia de proyectos en INVIAS, en lo referente al contenido y alcance de los Estudios de Trazado y Diseño Geométrico y los Estudios de Detalle - Fase III.</t>
  </si>
  <si>
    <t>Se informa al interesado que se reallizarán cambios en el Apéndice Técnico 1, con el fin de exclarecer las intervenciones y descripciones de las ciclorrutas. Los ajustes se podrán observar en los documentos del Pliego de Condiciones Definitivo.
El Concesionario podrá adoptar los diseños contenidos en el Cuarto de Información de Referencia  sin perjuicio de cumplir lo dispuesto en el contrato y sus apéndices respecto a las características de entrega de cada una de las Unidades Funcionales que conforman el proyecto.</t>
  </si>
  <si>
    <t>Se aclara al interesado que la obligación respecto a la iluminación no tiene excepciones relativas a su operación, por lo tanto la operación y mantenimiento estará a cargo del Concesionario. El diseño de la iluminación puede hacerse en el separador central o en los costados, siempre y cuando cumpla con lo dispuesto en los Apéndices Técnicos, especialmente el Apéndice 3.</t>
  </si>
  <si>
    <t>Se informa al interesado que con relación a las pólizas de estabilidad de la infraestructura existente, el Concesionario debe asumir las condiciones de las Secciones 3.6(c) y (d) de la Parte Especial, lo cual no le exime del cumplimiento de las obligaciones sin perjuicio de los tramos de vías que cuenten con garantías de calidad y estabilidad de obras.
Por otra parte, las fechas de entrega deberan ser confirmadas por la Gobernación del Valle. Preliminarmente están definidas para final del año 2020.</t>
  </si>
  <si>
    <t>Se informa al interesado que los tramos mencionados de 1. Variante San Marcos 2. Variante Yotoco y 3. Enlace de acceso a Vijes, tienen alcance de Puesta a Punto. En la versión final del Apéndice Tecnico 1, que será publicada con los documentod del Pliego de Condiciones Definitivo, se dará mayor claridad al respecto.</t>
  </si>
  <si>
    <t>Se informa al interesado que se reallizarán cambios en el Apéndice Técnico 1, con el fin de exclarecer las caracteristicas y obligaciones de estos dos tramos. Los ajustes se podrán observar en los documentos del Pliego de Condiciones Definitivo.
El Concesionario podrá adoptar los diseños contenidos en el Cuarto de Información de Referencia  sin perjuicio de cumplir lo dispuesto en el contrato y sus apéndices respecto a las características de entrega de cada una de las Unidades Funcionales que conforman el proyecto.</t>
  </si>
  <si>
    <t>Se aclara al interesado que la referencia es a la Sección 3.10 Reversión Especial. Se corrige en los documentos del Pliego de Condiciones Definitivo.</t>
  </si>
  <si>
    <t>Se aclara al interesado que la segunda calzada puede ser adosada a la existente para aprovechar la franja del derecho de vía existente, al no existir restricciones en esta interpretación no se considera necesario modificar el alcance.</t>
  </si>
  <si>
    <t>Se informa al interesado que la Sección 3.3.10.1.Centro de Control Operacional (CCO) del Apendice Técnico 2,  describe los requisitos del CCO y a su vez aclara el momemto en el que el Concesionario podrá emplear medios e infraestructura alternativa para cumplir con los requerimientos solicitados.</t>
  </si>
  <si>
    <t>Se informa al interesado que para la Etapa Preoperativa no se definen características mínimas de la infraestructura de operación, sin embargo esta debe ser suficiente para cumplir con los indicadores. Se informa que se incluyen aclaraciones en el Apéndice Técnico 4 sobre los plazos y valores de aceptación de los indicadores, igualmente, los requisitos plenos de Operación y Mantenimiento serán exigibles a partir del Acta de Terminación de la Unidad Funcional. Los ajustes se podrán observar en los documentos del Pliego de Condiciones Definitivo.</t>
  </si>
  <si>
    <t>Se aclara al interesado que sí se mantienen las obligaciones de Operación durante la Etapa Preoperativa para las vías del Factor de Calidad, de esta forma se debe garantizar mantener la transitabilidad y requisitos mínimos de seguridad vial.</t>
  </si>
  <si>
    <t>Se informa al interesado que se acepta su observación y se hará el ajuste correspondiente en los documentos del pLiego de Condiciones Definitivo.</t>
  </si>
  <si>
    <t>Se informa al interesado que la Tabla 2 del Capítulo IX del Apéndice Técnico 6 contiene todas las licencias ambientales existentes del Corredor del Proyecto con todas las obligaciones pendientes de cumplimiento y las obligaciones por ejecutar al momento de publicación del proyecto de pliego de condiciones, y que son objeto de la cesión obligatoria de la que trata la Sección 4.4(a) del mismo apéndice. El estado de las licencias puede ser consultado en los expedientes relacionados en la Tabla 2Se informa al interesado que la Tabla 2 del Capítulo IX del Apéndice Técnico 6 contiene todas las licencias ambientales existentes del Corredor del Proyecto con todas las obligaciones pendientes de cumplimiento y las obligaciones por ejecutar al momento de publicación del proyecto de pliego de condiciones, y que son objeto de la cesión obligatoria de la que trata la Sección 4.4(a) del mismo apéndice. El estado de las licencias puede ser consultado en los expedientes relacionados en la Tabla 2.</t>
  </si>
  <si>
    <t xml:space="preserve">Se informa al interesado que las obligaciones pendientes de cumplimiento corresponden a aquellas obligaciones que fueron incumplidas por el concesionario anterior y continúan pendientes de cumplimiento. Por su parte, las obligaciones ambientales por ejecutar, corresponden a obligaciones que aún no son exigibles, pero son necesarias para la ejecución del Proyecto.  El estado de las licencias puede ser consultado en los expedientes relacionados en la Tabla 2. Ademas de lo anterior, el Concesionario deberá tramitar y obtener las Licencias y Permisos Ambientales que resulten necesarios para poder ejecutar los tramos de nueva construcción establecidos por el proyecto.
Se aclara que en la Tabla 2 del Apéndice Técnico 6, solo se relacionan las obras y actividades que están pendientes de ejecución. Sin embargo, el Concesionario al aceptar en cesión total las licencias ambientales, debe atender por su cuenta y riesgo todos los requerimientos de gestión ambiental asociados a los mismos que realice la ANLA, tales como, la  remisión de entrega de información (ICA´s – GDB´s asociadas), actualización de planes de gestión del riesgo, atención de visitas se seguimiento, pagos por concepto de seguimiento, además de las obligaciones necesarias  y asociadas a la atención de los acuerdos de consulta previa de las gestiones asociadas a la Autoridad Nacional de Consulta Previa, sin limitarse a estos; hasta obtener el cierre del expediente de Licenciamiento Ambiental.Se informa al interesado que las obligaciones pendientes de cumplimiento corresponden a aquellas obligaciones que fueron incumplidas por el concesionario actual y continúan pendientes de cumplimiento. Por su parte, las obligaciones ambientales por ejecutar, corresponden a obligaciones que aún no son exigibles, pero son necesarias para la ejecución del Proyecto.  </t>
  </si>
  <si>
    <t>Se informa al interesado que la forma de cuantificar la utilización de las mezclas asfálticas con grano de caucho reciclado, será aclarada en los documentos del Pliego de Condiciones Definitivo.</t>
  </si>
  <si>
    <t>Se informa al interesado que la variante El Bolo se encuentra en un tramo con construcción parcial y actualmente no se encuentra en operación, por lo cual las condiciones y los plazos para concluir la construcción definidos en el Pliego son favorables. Igualmente se aclara que dicho tramo por sí solo no cumple con las condiciones mínimas de una Unidad Funcional, por lo tanto no debe segregarse. Dado lo anterior, no se considera procedente su solicitud.</t>
  </si>
  <si>
    <t>Se informa al interesado que la información solicitada no se encuentra disponible en el Cuarto de Información de Referencia, la misma podrá ser consultada con las autoridades correspondientes o con las empresas prestadoras de servicios de comunicaciones. La definición de la red de comunicaciones corresponde a los Estudios de Detalle a desarrollar por el Concesionario, y se aclara que en las Especificaciones Técnicas no hay restricciones al uso de radio o telefonía celular.</t>
  </si>
  <si>
    <t>Se informa al interesado que las definiciones son las descritas en el CAPITULO IX del Apendice Tecnico 1. Para complementar esta información, se incluirán en el Cuarto de Información de Referencia (carpeta I) los acuerdos protocolizados.
La definición de estas Obras se hizo con los diseños del Cuarto de Información de Referencia, y se refiere a cumplir con la construcción de obras de drenaje, protecciones de terraplenes y otras obras adecuadas y acordes con la evaluación de impactos desarrollada durante la consulta previa. Según estos antecedentes, los Estudios de Detalle elaborados por el Concesionario podrán adaptar las soluciones propuestas de drenaje, protecciones, entre otras, que respondan a un adecuado manejo de los impactos, e incluir estas disposiciones dentro del plan de trabajo para la ejecución de los acuerdos y compromisos adquiridos con las comunidades étnicas en los procesos de consulta previa protocolizados.</t>
  </si>
  <si>
    <t>Se informa al interesado que dichos cumplimientos hacen referencia a cumplir con las especificaciones de anchos de carril y bermas definidos en la Ley 105 de 1993. Por otro lado, la conservación de la geometría existente hace referencia a que se conserve el trazado actual.</t>
  </si>
  <si>
    <t>Se informa al interesado que los alcances definidos en estos tramos provienen de concertaciones con cada municipio que se reflejan en convenios interinstitucionales firmados con la ANI, por lo tanto el objeto general de las intervenciones no se modificaría. Sin embargo, al encontrarse en zonas urbanas o de expansión urbana en la que se deben considerar normativas locales y en especial las normas de ordenamiento territorial, es necesario incluir la aprobación de las autoridades locales, entre ellas las entidades competentes de planeación, la autoridad ambiental municipal,  las entidades encargadas de autorizar las intervenciones en espacio público, las empresas propietarias de redes o prestadoras de servicios públicos, las autoridades de tránsito o las competentes para el plan de manejo de tránsito, entre otras.</t>
  </si>
  <si>
    <t>Se aclara al interesado que la Sección 5.5.4 del Pliego de Condiciones hace referencia a la Tabla 5 del Apéndice Técnico 1 para el cálculo de porcentajes mínimos, en tal sentido será ajustado en los documentos definitivos. Asimismo, se informa al interesado que se ajustará la forma de medir los porcentajes y las longitudes de apliicación para dar mayor claridad. Dichos ajustes se podran observar en los documentos del Pliego de Condiciones Definitivo.</t>
  </si>
  <si>
    <t>Se informa al interesado que la definición de estas Obras se hizo con los diseños del Cuarto de Información de Referencia, y se refiere a cumplir con la construcción de obras de drenaje, protecciones de terraplenes y otras obras adecuadas y acordes con la evaluación de impactos desarrollada durante la consulta previa. Según estos antecedentes, los Estudios de Detalle elaborados por el Concesionario podrán adaptar las soluciones propuestas de drenaje, protecciones, entre otras, que respondan a un adecuado manejo de los impactos, e incluir estas disposiciones dentro del plan de trabajo para la ejecución de los acuerdos y compromisos adquiridos con las comunidades étnicas en los procesos de consulta previa protocolizados. Se precisa que cualquier modificación sustancial en los diseños estará sujeta a la posible reapertura de las consultas, lo cual estará a su cuenta y riesgo.</t>
  </si>
  <si>
    <t>Se aclara al interesado que las áreas de servicio pueden ser de nueva construcción o de mejora y adaptación de la existentes, según determine el Concesionario en los Estudios de Detalle. 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t>
  </si>
  <si>
    <t>Se informa al interesado que se complementó el Cuarto de Información de Referencia con la información faltante, de acuerdo al Indice. Asimismo se informa al interesado que en la carpeta B del Cuarto de Información de Referencia se encuentra toda la información relativa a la Hidráulica, Hidrología y Socavación. Adicionalmente, se cuenta con la información existente del acta de reversión de la anterior concesión (carpeta H). Dicha información contiene el inventario de Obras de drenaje existente, así como su estado. Esta información estará disponible a título meramente informativo acorde con las condiciones de la Sección 1.7 Cuarto de Información de Referencia del Pliego de Condiciones.</t>
  </si>
  <si>
    <t>Se informa al interesado que se complementó el Cuarto de Información de Referencia con la información faltante, de acuerdo al Indice. Asimismo se informa al interesado que en la carpeta B del Cuarto de Información de Referencia se encuentra toda la información relativa a la Hidráulica, Hidrología y Socavación. Dentro de los informes se encuentran, para cada corredor, los resultados de las modelaciones HECRAS de las Obras Mayores y las conclusiones derivadas de las mismas. Las modelaciones se encuentran en los anexos de dichos informes. Esta información estará disponible a título meramente informativo acorde con las condiciones de la Sección 1.7 Cuarto de Información de Referencia del Pliego de Condiciones.Se revisará el Cuarto de Información de Referencia para complementar los estudios disponibles y la información de reversión de la concesión anterior. Esta información estará disponible a título meramente informativo acorde con las condiciones de la Sección 1.7 Cuarto de Información de Referencia del Pliego de Condiciones.
Se informa al interesado que en la carpeta B del Cuarto de Información de Referencia se encuentra toda la información relativa a la Hidráulica, Hidrología y Socavación. Dentro de los informes se encuentran, para cada corredor, los resultados de las modelaciones HECRAS de las Obras Mayores y las conclusiones derivadas de las mismas. Las modelaciones se encuentran en los anexos de dichos informes.</t>
  </si>
  <si>
    <t>Se aclara al interesado que las condiciones de efluentes generados por el Proyecto deberán definirse a la luz de los planes de manejo ambiental y los monitoreos de calidad del agua acorde con la normativa y las Especificaciones Técnicas.
Por otra parte, se aclara que el Cuarto de Información de Referencia está disponible en las condiciones definidas en la Sección 1.7 del Pliego de Condiciones, es decir a título meramente informativo por lo tanto no incluye obligaciones para el adjudicatario.</t>
  </si>
  <si>
    <t>Se informa al interesado que se complementó el Cuarto de Información de Referencia con la información faltante, de acuerdo al Indice. Asimismo se informa al interesado que en la carpeta B del Cuarto de Información de Referencia se encuentra toda la información relativa a la Hidráulica, Hidrología y Socavación. Adicionalmente, se cuenta con la información existente del acta de reversión de la anterior concesión (carpeta H). Dicha información contiene el inventario de Obras de drenaje Existente, así como su estado.  Esta información estará disponible a título meramente informativo acorde con las condiciones de la Sección 1.7 Cuarto de Información de Referencia del Pliego de Condiciones.</t>
  </si>
  <si>
    <t>Se informa al interesado que las definiciones del tipo de intervenciones corresponden al Concesionario en los Estudios de Detalle, en tal sentido no hay condiciones específicas sobre saneos o apoyos de rellenos, y estas serán definidas por el Concesionario cumpliendo las Especificaciones Técnicas.
Asimismo se informa al interesado que tal y como se establece en la Sección 1.7 del Pliego de Condiciones, la información contenida en el Cuarto de Información de Referencia está "a título meramente informativo, entendiéndose por tanto que: (a) no es información entregada por la ANI para efectos de la presentación de las Ofertas, (b) no generan obligación o responsabilidad alguna a cargo de la ANI y (c) no hacen parte del Pliego de Condiciones ni del Contrato."</t>
  </si>
  <si>
    <t>Se aclara al interesado que los requisitos de seguridad vial, CCO y Policía de Carreteras definen partes particulares para la Etapa Preoperativa, y otras obligaciones de Operación y Mantenimiento están sujetas al Acta de Terminación de la Unidad Funcional, por lo que se ajustarán otras obligaciones relativas a la Operación y Mantenimiento en la Etapa Preoperativa en el Apendice Tecnico 2, que se podran observar en los documentos del Pliego de Condiciones Definitivo. En cuanto al ejemplo citado no es correcta la interpretación, se aclara que la operación de los carriles de cobro semiautomático es obligatoria desde la suscripción del Acta de Terminación de Unidad Funcional según la Sección 3.3.4.3 del Apéndice Técnico 2.</t>
  </si>
  <si>
    <t>Se informa al interesado que la operación de los peajes se encuentra actualmente a cargo de INVIAS dentro del contrato de APP 1059-2016. La información se publicó en la carpeta J 3. Esta información estará disponible a título meramente informativo acorde con las condiciones de la Sección 1.7 Cuarto de Información de Referencia del Pliego de Condiciones.</t>
  </si>
  <si>
    <t>Se informa al interesado que en la sección 3.3.4.5 del Apendice Tecnico 2 se establece que "Todos los equipos que se utilicen en las Estaciones de Peaje deberán contar con la capacidad y la tecnología suficientes para almacenar y enviar la información directamente y en tiempo real a la(s) central(es) del / los Centro(s) de Control de Operación y a la ANI; en caso de que se interrumpa el envío de la información, el Concesionario deberá asegurar su almacenamiento y su posterior envío a la ANI lo más pronto posible, pero en cualquier caso no después de tres (3) Días". Asimismo, debe tenerse en cuenta la Sección 3.3.10.2. Sistemas de Comunicación que exige, entre otros datos, "La información que el Concesionario deberá suministrar a la ANI y a la Policía de Carreteras en tiempo real mediante un WEB SERVICES a través de Internet será, como mínimo, la siguiente:
Vehículos por categoría y por sentido en cada estación de peaje, esta información se reportará mínimo una vez por hora (mínimo 24 reportes al Día) y adicionalmente un consolidado diario.
Recaudo por categoría de vehículo por peaje y por sentido (únicamente a la ANI), esta información se reportará mínimo una vez por hora (24 reportes al Día) y un consolidado diario."</t>
  </si>
  <si>
    <t>Se informa al interesado que los Web Services deberán crearse, considerando según la misma Sección que los estándares deberán acordarse con la ANI y obedecerán a los estándares del mercado para cada uno de los tipos de datos que se estén usando.</t>
  </si>
  <si>
    <t>Se informa al interesado que se define en la Sección 3.3.10.1 "El nivel de disponibilidad de los equipos del Centro de Control de Operaciones será del noventa y nueve por ciento (99%) del tiempo anual. El Concesionario deberá realizar las actividades de Operación necesarias para que el funcionamiento de los sistemas de comunicación cumpla con lo estipulado en esta Sección." ..."La disponibilidad mensual de los equipos de telecomunicaciones deberá ser mayor al noventa y nueve por ciento (99%) del tiempo." También se debe tener en cuenta la disponibilidad del SICC definida en el Apéndice Técnico 4.</t>
  </si>
  <si>
    <t>Se informa al interesado que no hay restricciones al respecto, sin embargo debe tenerse en cuenta que los datos subidos a Internet a través de WEB SERVICES deberán seguir los estándares del mercado para cada uno de los tipos de datos que se estén usando (los cuales se deberán acordar con la ANI previa a su instalación).No hay restricciones al respecto, sin embargo debe tenerse en cuenta que los datos subidos a Internet a través de WEB SERVICES deberán seguir los estándares del mercado para cada uno de los tipos de datos que se estén usando (los cuales se deberán acordar con la ANI previa a su instalación).</t>
  </si>
  <si>
    <t>Se informa al interesado que las actualizaciones de los as-built deberan realizarse cada vez que una actuación de mantenimiento los modifique. Se aclara que no hay condiciones específicas acerca de utilizar un sistema BIM, sin embargo debe tenerse en cuenta que en cumplimiento de las especificaciones y manuales del Apéndice Técnico 3, sí hay elementos de diseño que deben modelarse en 3D.</t>
  </si>
  <si>
    <t>Se informa al interesado que se refiere a equipos que utilizará el Concesionario, para lo cual el Apéndice tecnico 2 en la sección 3.3.5.1 establece que:  "El Concesionario deberá asegurar que los equipos y elementos para el control y seguimiento del tránsito que él instale y que sean adicionales a los de a la Policía de Carreteras sean compatibles con estos últimos,..."  por lo que serán instalados.</t>
  </si>
  <si>
    <t>Se informa al interesado que los  tendidos eléctricos para la alimentación a las columnas de alumbrado deberán sujetarse a las normas que para tal efecto se definen en el Apéndice Técnico 3, en especial la aplicación del reglamento RETIE.</t>
  </si>
  <si>
    <t>Se incluirá, en el Cuarto de Información de Referencia (carpeta H), la información disponible en el acta de reversión de la concesión anterior. Esta información estará disponible a título meramente informativo acorde con las condiciones de la Sección 1.7 Cuarto de Información de Referencia del Pliego de Condiciones. 
De otra parte, de acuerdo con la sección 6.3.4 Iluminación, del Apéndice Técnico 2 , se menciona que "El Concesionario se obliga a asegurar la adecuada iluminación de todas y cada una de las Estaciones de Pesaje, Estaciones de Peaje, Centros de Control de Operación, intersecciones a nivel y a desnivel, paraderos (...)"</t>
  </si>
  <si>
    <t>Se informa al interesado que la ubicación de las defensas y su especificación dependen de los Estudios de Trazado y Diseño Geométrico y los Estudios de Detalle que desarrolle el Concesionario, a ese respecto corresponde al Concesionario la aplicación de las Especificaciones Tecnicas del Apendice Tecnico 3 y la guia tecnica mencionada.</t>
  </si>
  <si>
    <t>Se aclara al interesado que se aplican únicamente los Indicadores en los cuales se definen condiciones o valores de aceptación para la Etapa Preoperativa. Para mayor claridad en la medición de los Indicadores se incluirá en el Apéndice Técnico 4 la lista explícita de los aplicados a la Etapa Preoperativa. Dicha modificación se podrá observar en los documentos del Pliego de Condiciones Definitivo.Se aclara que los requisitos de Operación y Mantenimiento son los definidos en el Apéndice Técnico 2, si bien para la medición de indicaddores se aplican únicamente los que tienen condiciones o valores de aceptación para la Etapa Preoperativa. Para mayor claridad en la medición de los Indicadores se incluirá en el Apéndice Técnico 4 la lista explícita de los aplicados a la Etapa Preoperativa.</t>
  </si>
  <si>
    <t xml:space="preserve">Se confirma al interesado que el Indicador O3-I sólo aplica a las vías que cuenten con carriles de cobro automático, que de acuerdo con la sección 3.3.4.3. Tecnología de Cobro y Control del Tráfico, del Apéndice técnico 2, se establece que: "el Concesionario deberá instalar al menos un carril para cobro automático en todas las Estaciones de Peaje de la(s) vía(s) de manera que se pueda hacer un recorrido completo utilizando este sistema de pago". </t>
  </si>
  <si>
    <t xml:space="preserve">Se informa al interesado que con la publicación del Pliego de Condiciones Definitivo se dará mayor precisión, en el Apendice tecnico 4, de los indicadores que aplicarán durante la Etapa Preoperativa. </t>
  </si>
  <si>
    <t>Se aclara al interesado que la regulación establecida en la sección 6.3, no afecta la capacidad que tendrá el concesionario para realizar las optimizaciones de diseño, y  tendrá la libertad para optimizar sus Estudios y Diseños dentro de la franja de utilidad establecida. Se recuerda al  interesado que el Contrato de Concesión establece que los Estudios de Factibilidad de Trazado y Diseño Geométrico son de referencia. 
La condición planteada en el numeral 6.3 hace referencia a la franja declarada de utilidad pública obtenida en la estructuración del proyecto, y la variación que pueda presentarse en los Estudios de Trazado y Diseño Geométrico y los Estudios de Detalle que realice el concesionario respecto a la misma. 
Respecto a las condiciones asociadas a la franja de utilidad pública definidas en la sección contractual correspondiente, se aclara al interesado lo siguiente:
 -  La intención de esta regulación es la de velar porque una modificación de este tipo no desborde de una manera desmedida los riesgos que asume la entidad (en especial lo referente a la adquisición predial, riesgos socioambientales, o de redes). 
 - En ningún aparte del contrato se plantea que sea obligatorio implementar los Trazados elaborados por la Entidad. La condición planteada en el numeral 6.3 hace referencia a la franja de utilidad pública y la variación que pueda presentarse en los Estudios de Trazado y Diseño Geométrico y los Estudios de Detalle que realice el concesionario respecto a la misma. 
 - Aunque tal y como se aclara en los numerales anteriores, la redacción observada se comporta como un límite más nunca como una restricción absoluta, la Entidad realizará algunos ajustes a esta regulación de manera tal que dicho límite sea más flexible.</t>
  </si>
  <si>
    <t>Se aclara al interesado que la aplicación de las normas de ordenamiento territorial se encuentra dentro de los riesgos al Concesionario, acorde con la Sección 13.2 (a) (vii)  en los efectos favorables y/o desfavorables derivados de los Estudios de Detalle y Estudios de Trazado y Diseño Geométrico o cualquier otro componente de diseño.</t>
  </si>
  <si>
    <t>Se informa al interesado que esta especificación se refiere a cumplir los anchos de carril y berma definidos en la Ley 105 de 1993, por otro lado, la geometría existente se refiere a conservar el trazado actual en cuanto a alineación de los ejes.
En cuanto a los tramos urbanos, suburbanos o de expansión urbana, estos tramos deben cumplir con las secciones viales de los POT y debe tenerse en cuenta que parte de estos tramos tienen intervenciones de construcción y mejoramiento definidas en el Apéndice Técnico 1, por lo cual ya se contemplan ampliaciones y así fue cuantificado en las estimaciones de CAPEX y OPEX de la estructuración.</t>
  </si>
  <si>
    <t xml:space="preserve">Se informa al interesado que se acepta su observación, y se realizará el ajuste correspondiente en el Apéndice Técnico 1 en donde se considere procedente diferenciar las condiciones geométricas de los lazos de las intersecciones,  por lo que podrá consultar el ajuste con la Publicación de los documentos del Pliego de Condiciones Definitivo. </t>
  </si>
  <si>
    <t>Se informa al interesado que no se acepta la solicitud. Se ratifica el plazo considerado para la Unidad Funcional 4, considerando que incluye una segunda calzada con 9,66 km como longitud de referencia, para lo cual el Concesionario definirá la estrategia y número de frentes de obra necesarios en el Plan de Obras.</t>
  </si>
  <si>
    <t>Se aclara al interesado que los alcances de las intervenciones de rehabilitación deben verse en conjunto con las demás definiciones del Apéndice Técnico 1 y las Especificaciones Técnicas del Apéndice Técnico 3. En las definiciones por cada tramo se define cuales son los parámetros geométricos a seguir, y es común a las intervenciones de rehabilitación que se mantiene la geometría de las vías existentes sin modificar. En la versión que se publicará con los documentos del Pliego de Condiciones Definitivo, se realizó un ajuste a la definición de Rehablitación.
Las condiciones de rehabilitación y puesta a punto aplican para vías, puentes y pasos urbanos según el detalle de cada tramo definido en el Apéndice Técnico 1.
Los estudios de referencia y las estimaciones de CAPEX de estructuración incluyen las normas técnicas actualizadas aplicadas a las definiciones de características geométricas y técnicas que se definen en el Capítulo IV del Apéndice Técnico 1.</t>
  </si>
  <si>
    <t xml:space="preserve">Se aclara al interesado que no hay condiciones definidas en los Apéndices Técnicos sobre frecuencias anuales de mantenimientos periódicos. La frecuenccia y tipo de los mantenimientos extraordinarios se regirán por lo dispuesto en el Apéndice Técnico Sección 2.6.2. Tipos de Actuaciones de Mantenimiento y serán determinados por el Concesionario según sus Estudios de Detalle y Manual de Operación y Mantenimiento y el cumplimiento de los valores de Aceptación consignados en el Apéndice Técnico 4 Indicadores. </t>
  </si>
  <si>
    <t>Se informa al interesado que de acuerdo con las observaciones presentadas por los Interesados y con el fin de otorgar plazo prudencial para la revisión de los Documentos del Proceso de Contratación, se modificó el cronograma a través de los Avisos Modificatorios publicados en el SECOP.</t>
  </si>
  <si>
    <t>Se aclara al interesado que las mismas son obras ya incluidas en el alcance del proyecto descrito en el Apendice Tecnico 1.</t>
  </si>
  <si>
    <t xml:space="preserve">Se informa al interesado que se incluirá la distancia de medición del valor puntual para el indicador E4 en el Apendice Tecnico 4, por lo que podrá consultar el ajuste con la Publicación de los documentos del Pliego de Condiciones Definitivo. </t>
  </si>
  <si>
    <t xml:space="preserve">Se informa al interesado que se incluirá en el Apendice Tecnico 4, en la definición del indicador E4 Coeficiente de Fricción Transversal, el valor de aceptación con Mu-Meter, así como la actualización normativa aplicable a los equipos de medición, por lo que podrá consultar el ajuste con la Publicación de los documentos del Pliego de Condiciones Definitivo. </t>
  </si>
  <si>
    <t xml:space="preserve">Se informa al interesado que se incluirá en el Apendice Tecnico 4,  los valores específicos para los equipos de medición, por lo que podrá consultar el ajuste con la Publicación de los documentos del Pliego de Condiciones Definitivo. </t>
  </si>
  <si>
    <t xml:space="preserve">Se informa al interesado que se considera procedente su solicitud, por lo cual se realizará el ajuste en el Apendice Tecnico 4,  por lo que podrá consultar el ajuste con la Publicación de los documentos del Pliego de Condiciones Definitivo. </t>
  </si>
  <si>
    <t>* La Entidad considera que las condiciones precedentes actualmente estipuladas en el Contrato para la firma del Acta de Inicio de la Faae de Construcción son suficientes para la adecuada ejecución del proyecto.
 *  La entidas considera que los mecanismos de solución de controversias previstos en el contrato son adecuados, por esta razón no se acepta la observación del interesado
*  La observación no es procedente, toda vez que el Contrato establece un plazo máximo para el pago del valor de liquidación (si lo hubiere) el cual se considera un tiempo razonable.
 *  No se considera procedente la observación, puesto que la DTF es una tasa que actualmente se encuentra vigente.
  * La Entidad considera que el procedimiento establecido representa la mejor alternativa para la medición de costos y gastos.
* En primer lugar se considera que el Interventor está en completa capacidad de cumplir con sus obligaciones y su vínculo contractual con el concedente no debería tener ningún tipo de implicación respecto a las mismas. En segundo lugar, respecto a la observación de intereses, la misma no es clara.</t>
  </si>
  <si>
    <t xml:space="preserve">Se informa al interesado que no se acepta su observación. Efectivamente los riesgos de obtención de rentabilidad del negocio, obtención del VPIP y financiación del proyecto están asignados al Concesionario de acuerdo con las secciones 13.2 (xviii) y (xxv) de la Parte General del contrato. Sin embargo, la entidad informa que se incluirá el mecanismo de Soporte de Ingresos con el fin de facilitar la financiación del proyecto y se incluye también la compensación por Restricción de Movilidad que minimizan los efectos de la coyuntura actual, modificación que se podrá evidenciar en la minuta que se publicará con Pliegos Definitivos.   </t>
  </si>
  <si>
    <t>Se aclara  al interesado que de acuerdo con lo establecido por la Sección 6.3(b), en el evento en que el Concesionario presente modificaciones a los Estudios de Trazado y Diseño Geométrico que excedan y/o se extiendan más allá de la longitud que se defina en parte especial respecto de la Franja Declarada de Utilidad Publica, l, el concesionario asumirá los efectos favorables y/o desfavorables de dichas modificaciones, no sólo en cuanto al valor base de la modificación sino a la totalidad de los riesgos. 
Con el fin de verificar los riesgos asignados al Concesionario, se tendrán en cuenta los riesgos previamente asignados a éste en la Sección 13 del Contrato y los riesgos y/o porción de riesgos asignados a la ANI en las Secciones 13.3 (a), 13.3 (b), 13.3(c) y 13.3 (e). 
De acuerdo con lo anterior, en el evento en que las modificaciones del Concesionario excedan y/o se extiendan más allá de la distancia de finida en Parete Especial respecto de la Franja declarada de utilidad pública, el Concesionario pasará a asumir los siguientes riesgos que antes estaban asignados a la ANI: 
1. Parcialmente, los efectos favorables y/o desfavorables derivados de las variaciones en el valor estimado de Predios (incluyendo expropiación) y Compensaciones Socioeconómicas  de lo que corresponda al porcentaje en que la ANI asume dicho riesgo, estrictamente de conformidad con lo previsto en la Sección 7.2(d) del Contrato Parte General.
2.  Parcialmente, los efectos favorables y/o desfavorables derivados de las variaciones en el Valor Estimado de las Compensaciones Socioambientales, en los términos de la Sección 8.1(c), en lo que corresponda al porcentaje en que la ANI asume dicho riesgo. 
3. Los costos asociados a la realización de Obras Menores no previstas en este Contrato, solicitadas por la ANI o requeridas por las autoridades ambientales, posteriores a la expedición de la Licencia Ambiental o parcialmente el producto de los costos que se generen derivados de los acuerdos de la(s) nueva(s) consulta(s) previa(s) protocolizadas durante la ejecución del proyecto, de acuerdo con lo establecido en la Sección 8.1(d) del Contrato Parte General. 
4. Parcialmente, los efectos favorables y/o desfavorables derivados de las variaciones en el valor estimado para el traslado y/o intervención de Redes, en lo que corresponda al porcentaje en que la ANI asume dicho riesgo.
Se informa en todo caso al interesado que la sección será objeto de modificación para dar mayor claridad, lestos ajustes se verán reflejados en los documentos que se publiquen con el Pliego de Condiciones definitivo, en el sentido que la no aplicación del sistema de bandas será respecto del sector o tramo especifico en el que se sobrepasa la franja limite declarada por la entidad .</t>
  </si>
  <si>
    <t>Se aclara al interesado que   la Entidad realizó ajustes en la minuta los cuales podrán evidenciarse con la publicación de Pliegos de Condiciones definitivo quedando que se traladarán un 15% a la subcuenta Excedentes ANI y 85% para el Concesionario.</t>
  </si>
  <si>
    <t>La entidad acoge la observación y se incluirá el mecanismo de Soporte de Ingresos con el fin de facilitar la financiación del proyecto</t>
  </si>
  <si>
    <t xml:space="preserve"> 
Se informa al interesado que será responsabilidad de los Oferentes visitar e inspeccionar los sitios en los cuales se desarrollará el Proyecto, realizando todas las evaluaciones y estimaciones que sean necesarias para presentar su Oferta. Esta obligación hace parte de la debida diligencia que deberá adelantar en el Proceso de Selección. Los lugares del Proyecto son transitables por el público adoptando las medidas de bioseguridad requeridas por el Gobierno Nacional y exigidos por las entidades a cargo de la infraestructura. En todo caso, teniendo en cuenta que la mayor parte de la infraestructura actualmente se encuentran a cargo del INVIAS, se gestionará la solicitud al INVIAS para que autorice el desplazamiento al corredor del proyecto para realizar actividades de campo y permita la visita a las instalaciones de operación existentes en el corredor, cuyo procedimiento será informado acorde con las instrucciones de INVIAS. En consecuencia la Entidad modificó el cronograma para que se surtan estos procedimientos para la visita</t>
  </si>
  <si>
    <t>respuesta enviada por juan camilo el 31 de agosto</t>
  </si>
  <si>
    <t xml:space="preserve"> 
Se informa al interesado que será responsabilidad de los Oferentes visitar e inspeccionar los sitios en los cuales se desarrollará el Proyecto, realizando todas las evaluaciones y estimaciones que sean necesarias para presentar su Oferta. Esta obligación hace parte de la debida diligencia que deberá adelantar en el Proceso de Selección. Los lugares del Proyecto son transitables por el público adoptando las medidas de bioseguridad requeridas por el Gobierno Nacional y exigidos por las entidades a cargo de la infraestructura. En todo caso, teniendo en cuenta que la mayor parte de la infraestructura actualmente se encuentran a cargo del INVIAS, se gestionará la solicitud al INVIAS para que autorice el desplazamiento al corredor del proyecto para realizar actividades de campo y permita la visita a las instalaciones de operación existentes en el corredor, cuyo procedimiento será informado acorde con las instrucciones de INVIAS. En consecuencia la Entidad modificó el cronograma para que se surtan estos procedimientos para la visita.</t>
  </si>
  <si>
    <t>De acuerdo a la solicitud del interesado, es importante anotar que en el cuarto de datos se tiene información del Acta de Reversión de la anterior Concesión Malla Vial del Valle del Cauca, por lo que el oferente podrá calcular el deterioro de los equipos y de la infraestructura. Adicionalmente, en la carpeta J se publicó nueva información desde el momento en el que revirtió dicha infraestructura al INVIAS hasta este año. De otra parte, los Oferentes en la Debida Diligencia deberán conocer el actual estado de la Infraestructura. Finalmente, la Entidad amplió el plazo de la licitación, con el fin de que los diferentes interesados en el proyecto puedan gestionar los permisos y protocolos para realizar las actividades de campo que consideren pertinentes.</t>
  </si>
  <si>
    <t>Se informa al interesado que los eventos de Fuerza Mayor Predial establecidos en la minuta, fueron objeto de ajuste, dichos ajustes se podrán evidenciar en la minuta que se publicará con el Pliego de condiciones definitivo
Los procesos relacionados con la identificación, inventario, manejo, protección y/o traslado de las Redes obedecen al Capítulo III de la Ley 1682 de 2013, esta ley incluye el procedimiento con plazos definidos para que las empresas de servicios públicos entreguen la información, incluidos la tipología y caracterización de la red o activo, inventario de elementos que conforman la red o activo, entre otros, y los plazos para la entrega de diseños de la intervención en la red y la definición de acuerdos y costos. En caso de que los procesos descritos presenten sobre plazos, el Contrato ya incluye que la Fuerza Mayor por Redes se declare cuando transcurridos 180 Días desde la presentación de la solicitud a la que se refiere el artículo 48 de la ley 1682 de 2013, sin que se haya logrado iniciar las obras de traslado y/o intervención de las Redes.
El Contrato incluye nuevas disposiciones frente a las consultas previas. En los estudios de estructuración se adelantaron y protocolizaron consultas previas y de esta forma los acuerdos protocolizados ya son conocidos lo que permite presupuestarlos e incluirlos dentro del alcance del Proyecto, generando un cambio importante frente al riesgo de consultas previas. De esta forma la regulación del nuevo contrato se enfoca en las nuevas consultas previas, para esto se definen dos situaciones en la Fuerza Mayor Ambiental, si las consultas surgen con anterioridad a la licencia ambiental o si surgen con posterioridad y se recogen en la Sección 8.1 de la Parte General
En cuanto a los costos de los acuerdos protocolizados, según la Sección 8.1(d) cuando se produzcan nuevas consultas previas que no se deriven de modificaciones del trazado, serán compartidos entre el Concesionario y la ANI en proporciones iguales estableciendose un límite máximo que compartiría el Concesionario lo cual se podrá evidenciar en la minuta que se publicará con el Pliego de Condiciones definitivo</t>
  </si>
  <si>
    <t xml:space="preserve">Se informa al interesado que no se acepta su observación,  el numeral 1.8 del Proyecto de Pliego de Condiciones establecen que corresponderá al Interesado la responsabilidad exclusiva de asumir los costos derivados de la presentación de la Oferta de acuerdo con la asignación de costos y riesgos del Contrato y sus Apéndices y si algún Interesado considera que no ha podido obtener toda la información relevante o si considera que sus propias estimaciones le hacen imposible la asunción de esas obligaciones y riesgos, deberá abstenerse de presentar Oferta.
Adicionalmente, en el numeral 1.7 del Proyecto de Pliego de Condiciones se establece que la Oferta debe estar basada en la elaboración de sus propios estudios técnicos y en sus propias estimaciones. Es importante resaltar que la presentación de la Oferta implica la aceptación de que esas obligaciones y riesgos serán enteramente asumidos en caso de que el Oferente resulte Adjudicatario del Contrato de Concesión, como contraprestación por el pago previsto en el Contrato y con base en su Oferta Económica.
Ahora bien, los estudios realizados por la entidad y sus estructuradores, tienen como objeto la estructuración técnica, jurídica y financiera del proyecto con el fin de encontrar una alternativa de referencia para ejecutar las intervenciones requeridas según las especificaciones de cada uno de los tramos viales que componen el corredor, lo que no implica que la alternativa estructurada sea la única viable. Esta circunstancia es precisamente la que justifica el hecho que, aun teniendo a disposición los Interesados los estudios y diseños en etapa de factibilidad que soportan la alternativa propuesta por la ANI y avalada, corregida o modificada por el estructurador, aquellos tienen la facultad discrecional de apartarse de los resultados de dichos estudios y diseños y proponer la que consideren una mejor alternativa, por lo que la información es de referencia y no complementaria del pliego ni vinculante.  </t>
  </si>
  <si>
    <t>Se informa al interesado que no se acepta su observación. La ANI y la Interventoría deberán pronunciarse expresamente frente a la verificación para que la misma se entienda aprobada, dada la importancia de este aspecto. No se aceptará el silencio positivo en la sección propuesta.</t>
  </si>
  <si>
    <t xml:space="preserve"> 
Se informa al interesado que no se acepta su observación. En caso de que el Concesionario adquiera mayor área a la requerida para el proyecto se causará una Multa por un valor equivalente al área adquirida en exceso, toda vez que eso excede el área requerida para el Proyecto. En todo caso, si el Concesionario considera necesario adquirir Predios en exceso para el desarrollo del mismo, la titularidad de las mismas se mantendrá en cabeza de la ANI.</t>
  </si>
  <si>
    <t>La entidad informa al interesado que en la carpeta 0AI2 se encuentran los anexos del estudio de tráfico realizado. Igualmente se informa que se complementará el Cuarto de Información de Referencia con la información en abierto para que el Oferente pueda utilizarla en su propuesta. Se aclara que esta información estará disponible a título meramente informativo acorde con las condiciones de la Sección 1.7 Cuarto de Información de Referencia del Pliego de Condiciones. 
De otra parte, la información de recaudo desde octubre del 2018 - fecha en la que se revirtió la Infraestructura, a la actualidad ya se encuentra en el Cuarto de Datos. Adicionalmente, la entidad extendió los plazos para que los interesados puedan realizar las consultas y obtener la información que consideren necesaria para la presentación de la oferta.</t>
  </si>
  <si>
    <t>Se informa al interesado que será responsabilidad de los Oferentes visitar e inspeccionar los sitios en los cuales se desarrollará el Proyecto, realizando todas las evaluaciones y estimaciones que sean necesarias para presentar su Oferta. Esta obligación hace parte de la debida diligencia que deberá adelantar en el Proceso de Selección. Para los lugares del Proyecto que son transitables por el público deberá adoptar las medidas de bioseguridad requeridas por el Gobierno Nacional y exigidos por las entidades a cargo de la infraestructura. De otra parte, se le informa que la Entidad modificó el cronograma para que se surtan estos procedimientos para la visita.</t>
  </si>
  <si>
    <t>Se informa al interesado que se definieron partidas de reforzamiento o reconstrucción para los puentes existentes, sin embargo la información de presupuestos no se dispondrá en el Cuarto de Información de Referencia dado que hacen parte del modelo financiero, el cual tiene reserva legal. Teniendo en cuenta lo anterior, le corresponderá al oferente, así como al Concesionario, evaluar el estado de los puentes y las posibles intervenciones, tanto en la propuesta como los Estudios de detalle, con el fin de velar por el cumplimiento de los Apéndices Tecnicos.</t>
  </si>
  <si>
    <t>Se informa al interesado que su solicitud procede, por lo que se ajustará el Apéndice Técnico 1, y será publicado con los documentos del Pliego de Condiciones Definitivo.</t>
  </si>
  <si>
    <t xml:space="preserve">Se le informa al interesado que se publicó la información de tráfico solicitada en la carpeta H21 del Cuarto de Datos. Se aclara que esta información estará disponible a título meramente informativo acorde con las condiciones de la Sección 1.7 Cuarto de Información de Referencia del Pliego de Condiciones. </t>
  </si>
  <si>
    <t xml:space="preserve">Se le informa al interesado que se publicó la información intervenciones realizadas en la infraestructura que actualmente opera el INVIAS en la carpeta J del Cuarto de Datos. Se aclara que esta información estará disponible a título meramente informativo acorde con las condiciones de la Sección 1.7 Cuarto de Información de Referencia del Pliego de Condiciones. </t>
  </si>
  <si>
    <t xml:space="preserve">De acuerdo a la solicitud del interesado, es importante anotar que en el cuarto de datos se tiene información del Acta de Reversión de la anterior Concesión Malla Vial del Valle del Cauca, por lo que el oferente podrá calcular el deterioro de los equipos y de la infraestructura. Adicionalmente, en la carpeta J se publicó nueva información desde el momento en el que revirtió dicha infraestructura al INVIAS hasta este año. De otra parte, los Oferentes en la Debida Diligencia deberán conocer el actual estado de la Infraestructura. Finalmente, la Entidad amplió el plazo de la licitación, con el fin de que los diferentes interesados en el proyecto puedan gestionar los permisos y protocolos para realizar las actividades de campo que consideren pertinentes. </t>
  </si>
  <si>
    <t>Se informa al interesado que solo se tienen dicha información en el tramo Villa Rica - Caloto, la cual se encuentra en la carpeta G5-7 del Cuarto de Información de Referencia. Se aclara que esta información estará disponible a título meramente informativo acorde con las condiciones de la Sección 1.7 Cuarto de Información de Referencia del Pliego de Condiciones. Por lo que en el caso en el que se oferten estás obras le corresponderá al Concesionario en sus Estudios de Trazado y Diseño Geometrico, así como en los Estudios de Detalle cumplir con los Apéndices y las condiciones de entrega, las cuales involucran dichos ensayos en el Pavimento.</t>
  </si>
  <si>
    <t>se informa al interesado que las estimaciones de modificaciones sobre infraestructura de operación se hicieron a partir de las partidas estimadas en los volúmenes de la carpeta F del Cuarto de Información de Referencia. Para referencia, el estado e inventario de peajes, pesajes, áreas de servicio y CCO se puede consultar en los formatos GCSP-F-070 a GCSP-F-78, GCSP-F-081 a GCSP-F-112, GCSP-F-121 a GCSP-F-127 en la carpeta H por cada tramo contienen la información de inventarios de peajes y pesajes. Las carpetas H1023, H1113, H1213, H1313, H1414 y H12131 contienen la información en planos. Se aclara que esta información estará disponible a título meramente informativo acorde con las condiciones de la Sección 1.7 Cuarto de Información de Referencia del Pliego de Condiciones.</t>
  </si>
  <si>
    <t>Se informa al interesado que existe un CCO ubicado en la Unidad Funcional 2 en el tramo Cali - Palmira en la Intersección CIAT Km14+720 (E 1079934,4196; N 881067,4399). Los planos del CCO se pueden consultar en la carpeta H12131 del Cuarto de Información de Referencia. Por ultimo, de acuerdo con el Apéndice técnico, podrá:  "habilitar, reformar (si aplica), mantener y operar como mínimo un (1) Centro de Control de Operación –CCO- en los términos del Apéndice Técnico 2"</t>
  </si>
  <si>
    <t>De acuerdo con lo señalado por la Sección 5.2 (b), el Contratista de Construcción podrá acreditar experiencia obtenida bajo figuras asociativas con terceros incluyendo patrimonios autónomos, siempre que la participación del Contratista en dicha figura asociativa haya sido de al menos 20% durante toda la vigencia del contrato que se acredita, caso en el cual la experiencia adquirida se podrá acreditar por el ciento por ciento 100%.</t>
  </si>
  <si>
    <t>Se informa al interesado que se acepta su observación. Se realizarán las modificaciones correspondientes y se podrán observar en la Parte Especial que se publicará con el Pliego de Condiciones Definitivo.</t>
  </si>
  <si>
    <t xml:space="preserve">Se informa al interesado que no se acepta su observación. En caso de que el Concesionario adquiera mayor área a la requerida para el proyecto se causará una Multa por un valor equivalente al área adquirida en exceso, toda vez que eso excede el área requerida para el Proyecto. El hecho de no regular esta situación ha generado incentivos inadecuados en el Concesionario en el pasado haciendo un uso inadecuado de los Predios. En esta medida, la ANI considera que la Multa es razonable y necesaria. </t>
  </si>
  <si>
    <t xml:space="preserve">Se informa al interesado que se tendrá en cuenta su observación y se harán los ajustes pertinentes, con el fin de dar claridad al alcance perseguido con tal declaración. </t>
  </si>
  <si>
    <t xml:space="preserve">Se informa al interesado que se tendrá en cuenta su observación y se harán los ajustes pertinentes en el Anexo Pacto de Transparencia, con el fin de dar claridad al alcance perseguido con tal declaración. </t>
  </si>
  <si>
    <t>Se informa al interesado que se mantienen las obligaciones del Concesionario de control en las estaciones de peaje incluida la instalación, operación y mantenimiento de los medios técnicos y tecnológicos de  dispositivos SAST que cumplan con los requisitos de la Resolución 0718 del 22 de marzo de 2018, de forma que estos puedan ser utilizados por las autoridades de tránsito para el control de infractores en las estaciones de peaje. Se aclara en los documentos definitivos que acorde con la Ley 1843 de 2017, la competencia para expedir órdenes de comparendos es exclusivamente de las autoridades de tránsito, en este caso la Policía de Carreteras y no del Concesionario.</t>
  </si>
  <si>
    <t>respuesta enviada por juan camilo el 1 de septiembre</t>
  </si>
  <si>
    <t>Se informa al interesado que según la Sección 4.13 de la Parte General los costos de las servidumbres, arrendamientos o adquisición de predios, construcción, mejoramiento y conservación de las vías de acceso a las fuentes de materiales y/o depósitos de sobrantes, estarán a cuenta y riesgo del Concesionario. Si para constituir la servidumbre se requiere la imposición administrativa, una vez agotada la negociación de parte del Concesionario con el titular del derecho real de dominio o el poseedor inscrito, este procedimiento se rige por lo dispuesto en el Decreto 1079 de 2015 tal como lo desarrolla la Sección 8.5 del Apéndice Técnico 7. Dado que es a cuenta del Concesionario, la misma Sección 8.5 faculta al Concesionario a solicitar la vía de imposición administrativa a la ANI. Se aclara que la ANI adquiere el derecho real de dominio para la ejecución de los proyectos de infraestructura, y en casos excepcionales se imponen servidumbres como derechos reales accesorios, en los cuales debe verificarse el requerimiento y la modalidad de imposición de acuerdo con la norma.
Respecto al costo de la servidumbre, en las condiciones dede la Sección 4.13 de la Parte General, al tratarse de costos a cuenta y riesgo del Concesionario no hacen parte de la Subcuenta Predios.</t>
  </si>
  <si>
    <t>Se informa al interesado que a partir de la relación de expedientes definidos en el Capítulo IX del Apéndice Técnico 6, el Oferente podrá efectuar las consultas pertinentes de tales expedientes en la ANLA. Para esto se incluye en el Cuarto de Información de Referencia las resoluciones de las licencias ambientales y los actos administrativos de seguimiento en la carpeta E3. Se precisa que esta información estará disponible a título meramente informativo acorde con las condiciones de la Sección 1.7 Cuarto de Información de Referencia del Pliego de Condiciones.</t>
  </si>
  <si>
    <t xml:space="preserve">Se informa al interesado que en los estudios y diseños de Fase II para la estructuración del proyecto, no son necesarios los ensayos de consolidación, por tal motivo no se realizaron ese tipo de ensayos. Así mismo se aclara que la información contenida en el cuarto de referencia estará disponible a título meramente informativo acorde con las condiciones de la Sección 1.7 Cuarto de Información de Referencia del Pliego de Condiciones. 
Dado lo anterior, se aclara que será responsabilidad del interesado y del futuro concesionario realizar los ensayos necesarios para presentar su propuesta y desarrollar los Estudios de Detalle, respectivamente. </t>
  </si>
  <si>
    <t xml:space="preserve">Se informa al interesado que se incluyó en la carpeta J del Cuarto de Datos información de mantenimientos realizados entre 2019 a la actualidad. Se precisa que esta información estará disponible a título meramente informativo acorde con las condiciones de la Sección 1.7 Cuarto de Información de Referencia del Pliego de Condiciones.
Asimismo, se informa que será responsabilidad de los Oferentes visitar e inspeccionar los sitios en los cuales se desarrollará el Proyecto, realizando todas las evaluaciones y estimaciones que sean necesarias para presentar su Oferta. Esta obligación hace parte de la debida diligencia que deberá adelantar en el Proceso de Selección. 
Dado lo anterior, y teniendo en cuenta que los lugares del Proyecto son transitables por el público adoptando las medidas de bioseguridad requeridas por el Gobierno Nacional y exigidos por las entidades a cargo de la infraestructura, la Entidad modificó el cronograma para que puedan realizar las consulta y reciban la información. </t>
  </si>
  <si>
    <t>Se informa al interesado que para la Unidad Funcional 3 y la segunda calzada de la Unidad Funcional 4 no se realizaron mediciones por tratarse de tramos de nueva construcción. Las mediciones de fricción del tramo existente de la Unidad Funcional 4 se clasificaron inicialmente en el corredor 01 de la carpeta CII1 (ver anexos Villa Rica - Jamundí de esa carpeta). Por otro lado la Unidad Funcional 5 según los estudios de estructuración al tener necesidades de cambios de carpeta asfáltica no se incluyó en las mediciones de fricción. 
Se informa adicionalmente que se incluyó la carpeta CII6 con informacion histórica de índices de estado de la Concesión 005 de 2009.
Finalmente, se aclara que esta información estará disponible a título meramente informativo acorde con las condiciones de la Sección 1.7 Cuarto de Información de Referencia del Pliego de Condiciones.</t>
  </si>
  <si>
    <t>Se informa al interesado que la Resolución de Declaratoria de Utilidad Pública e Interés Social será publicada en el Cuarto de Datos con la publicación de los Pliegos de Condiciones Definitivos del proceso.</t>
  </si>
  <si>
    <t>Se informa al interesado que de acuerdo con los estudios adelantados por la Gobernación del Cauca, se requieren intervenciones en cuatro puentes existentes para ampliación de la sección vial, los cuales según los Estudios de Detalle a cargo del Concesionario podrán ser ampliaciones o puentes nuevos. La información de dichas estructuras existentes se incluye en las fichas anexas en la carpeta "G5-8" y en especial debe evaluarse el ancho mínimo de carril para efectuar las intervenciones necesarias. Se aclara que esta información estará disponible a título meramente informativo acorde con las condiciones de la Sección 1.7 Cuarto de Información de Referencia del Pliego de Condiciones.</t>
  </si>
  <si>
    <t>Se aclara al interesado que se interpreta el comentario sobre la Sección 4.17 (a)(v) del procedimiento de Verificación. En tal caso no se considera procedente ampliar los plazos por cuanto previamente, y en un máximo de 60 Días antes según la Sección 4.17 (a)(i), el Concesionario debió enviar la Memoria Técnica, planos As-Built y puesta de disposición de las Intervenciones para el inicio del procedimiento de Verificación por lo que cuenta con información para determinar su acuerdo o desacuerdo sobre las correcciones y/o ajustes solicitados.</t>
  </si>
  <si>
    <t>Se informa al interesado que a efectos del entendimiento de los acuerdos protocolizados, debe tenerse en cuenta que las consultas previas y su protocolización se llevaron a cabo en 2019, por lo que las partes pactaron los acuerdos con cifras actualizadas al momento de firmar las actas de protocolización. Esto corresponde con la condición definida en el Capítulo IX del Apéndice Técnico 1 "Las cifras incluidas en la transcripción constantes de la fecha del acuerdo deberán ser actualizadas conforme al Índice de Precios al Consumidor - IPC desde la fecha del acuerdo ".
Dicho lo anterior, los valores de los acuerdos protocolizados se encuentran en pesos de las fechas de firma, que corresponden a las siguientes:
- Dos Aguas de Cascajal: 11 de agosto de 2019
- San Isidro, Guabal y Bocas del Palo: 13 de junio de 2019
Igualmente, las actas firmadas se pueden consultar en el Cuarto de Información de Referencia en la Carpeta I.</t>
  </si>
  <si>
    <t>La información de pavimentos del corredor Cali - Candelaria se incluye en el corredor 4 de la Unidad Funcional 2 de la carpeta CII22 el Cuarto de Información de Referencia. Se aclara que esta información estará disponible a título meramente informativo acorde con las condiciones de la Sección 1.7 Cuarto de Información de Referencia del Pliego de Condiciones.</t>
  </si>
  <si>
    <t>Se aclarará la coordenada de la intersección en el Apéndcie Técnico 1, cambio que podra consultar con la publicación de los documentos del Pliego de Condiciones Definitivo. Sin embargo se aclara que al ser existente, corresponde a la ubicación actual de la Intersección Mulaló.</t>
  </si>
  <si>
    <t>Se aclara al interesado que el mencionado estudio no identifica interferencias de redes húmedas en la UF3 con base en la información obtenida de las empresas de servicios públicos, no obstante el Concesionario deberá realizar la veriticación de existencia de redes y su interferencia para la presentación de la Oferta,  la realización los Estudios de Trazado y Diseño Geométrico, así como su plan de manejo en el Plan de Redes.</t>
  </si>
  <si>
    <t>Se informa al interesado que la obtención de las Licencias y Permisos para las Intervenciones de la infraestructura proyectada del Proyecto en todas las Unidades Funcionales, hacen parte de las obligaciones del Capítulo 8 de la Parte General relativo a la Gestión Social y Ambiental que desarrollará el nuevo Concesionario, por tal motivo no hay licencias otorgadas sobre la inraestructura proyectada. Respecto a las licencias existentes, la información del estado de cumplimiento de las obligaciones de dichas licencias ambientales se puede consultar en los actos administrativos de seguimiento que se encuentran en la carpeta E3 del Cuarto de Información de Referencia, así como los respectivos expedientes que reposan en la ANLA.</t>
  </si>
  <si>
    <t>Se informa al interesado que la definición del alcance de rehabilitación será ajustada en el Apendice Tecnico 1, y será publicada con los documentos del Pliego de Condiciones Definitivo. Al tratarse de obras tendientes a la mejora funcional o estructural del pavimento, que da lugar a una extensión de su vida de servicio, como a la provisión de una superficie de rodamiento más cómoda y segura, y a reducciones en los costos de operación vehicular y sin modificaciones al diseño geométrico, las condiciones iniciales de construcción no son una condición para los pavimentos en rehabilitación. 
Respecto a los puentes, dicha condición inicial debe ser determinada por el Concesionario en los Estudios de Detalle a partir de la aplicación de los estudios de rehabilitación y los requisitos de inspección y pruebas de las Sección 6.3.8. Estructuras y puentes del Apéndice Técnico 2.</t>
  </si>
  <si>
    <t>Se informa al interesado que a la fecha actual el último acto disponible para el expediente LAM1015 es el acta 26 de 2020 que se encuentra publicada en la carpeta E3 del Cuarto de Información de Referencia. En la misma carpeta se encuentran los seguimientos de años anteriores.
Asimismo, se aclara que la citada Acta de seguimiento es un acto administrativo emitido por la Autoridad Ambiental competente en cuyo numeral 1 “Apertura de la reunión de control y seguimiento ambiental” del apartado III “Desarrollo Orden del Día” se lee que reunión de seguimiento esta reglada y se realiza en cumplimiento de lo señalado en el artículo 2.2.2.3.9.1 del Decreto Único Reglamentario del Sector Ambiente y Desarrollo Sostenible 1076 de 2015 y hace parte de las actividades de control y seguimiento ambiental para el proyecto perteneciente al expediente LAM1015 y su desarrollo tiene lugar acudiendo a lo establecido en el artículo 35 de la ley 1437 de 2011.
“Artículo 2.2.2.3.9.1. Control y seguimiento. Los proyectos, obras o actividades sujetos a licencia ambiental o plan de manejo ambiental, serán objeto de control y seguimiento por parte de las autoridades ambientales”.
Artículo 35. Trámite de la actuación y audiencias. Los procedimientos administrativos se adelantarán por escrito, verbalmente, o por medios electrónicos de conformidad con lo dispuesto en este Código o la ley.
Cuando las autoridades procedan de oficio, los procedimientos administrativos únicamente podrán iniciarse mediante escrito, y por medio electrónico sólo cuando lo autoricen este Código o la ley, debiendo informar de la iniciación de la actuación al interesado para el ejercicio del derecho de defensa.
Las autoridades podrán decretar la práctica de audiencias en el curso de las actuaciones con el objeto de promover la participación ciudadana, asegurar el derecho de contradicción, o contribuir a la pronta adopción de decisiones. De toda audiencia se dejará constancia de lo acontecido en ella.”
En el citado apartado la ANLA también señala que en el acta también se relacionan las obligaciones cumplidas y concluidas para el periodo de seguimiento por lo que la diligencia correspondió al seguimiento del cumplimiento al Plan de Manejo Ambiental, de la Licencia Ambiental  y sus posteriores modificaciones, así como a los requerimientos realizados con posterioridad por la ANLA mediante los autos de control y seguimiento ambiental, teniendo en cuenta la información documental contenida en el expediente LAM3423. 
Dicha información podrá encontrarse en el Cuarto de Información de Referencia, a título informativo según las condiciones de la Sección 1.7 del Pliego de Condiciones.</t>
  </si>
  <si>
    <t>Se informa al interesado que en el tramo Av. Bicentenario - Jamundí que incluye la zona de la observación, se definieron los requisitos mínimos de alcance conservando la geometría existente, por lo cual no se incluyeron en ese tramo nuevas intersecciones obligatorias. Se aclara que de todas formas se mantiene como mínimo obligatorio la intersección con la Avenida Bicentenario que se define en la UF3 en el punto de unión con la la UF4 corredor Jamundí - Villa Rica. No obstante, el Concesionario deberá analizar si se necesitan adaptaciones o mejoras en los accesos y cruces como consecuencia de los Estudios de Detalle para el cumplimiento del SGSV del Apéndice Técnico 3 y los indicadores del Apéndice Técnico 4.</t>
  </si>
  <si>
    <t>Se informa al interesado que se incluyeron en la carpeta CI del Cuarto de Datos las estimaciones de factores de compensación con base en las unidades sociales afectadas identificadas en los corredores. Esta información estará disponible a título meramente informativo acorde con las condiciones de la Sección 1.7 Cuarto de Información de Referencia del Pliego de Condiciones.</t>
  </si>
  <si>
    <t>Se informa al interesado que las obligaciones sobre las obras definidas en la Sección 6.2(v)(2) del Apéndice Técnico 1, con plazo de tres meses, serán objeto de aclaración en los documentos del Pliego de Condiciones Definitivo, y están orientadas al mantenimiento de la infraestructura existente, ya que las obligaciones de Rehabilitación son para cumplir en la Fase de Construcción y con esto los plazos fijados en la secicón 5.2 Programación de Obras, de la Parte Especial. 
Sin embargo, se mantendrán obligaciones de garantizar las condiciones de Operación y Mantenimiento mínimas durante la Etapa Preoperativa en condiciones progresivas desde el Acta de Inicio. Se aclara que las obras iniciales son de alcances reducidos que facilitan la adopción de los instrumentos de seguimiento ambiental y permisos.</t>
  </si>
  <si>
    <t>Se informa al interesado que la información de auscultación e investigación de pavimentos en el tramo Villa Rica - Caloto se encuentra en la carpeta G5-7, y la de suelos en la carpeta G5-5 del Cuarto de Información de Referencia. Se aclara que esta información estará disponible a título meramente informativo acorde con las condiciones de la Sección 1.7 Cuarto de Información de Referencia del Pliego de Condiciones.  
De otra parte, para el tramo La Herradura - Matapalo se tiene definida la ubicación para que el Concesionario verifique su estado, si bien se trata de una vía terciaria sin pavimentar por lo que no es posible contar con evaluación funcional del pavimento existente. Se aclara que estos análisis hacen parte de la información que debe adelantar el Concesionario para la presentación de la Oferta y para los Estudios de Detalle.</t>
  </si>
  <si>
    <t>Aunque la Entidad entiende la situación actual y en respuesta a la misma se han ampliado los plazos, se informa al interesado que será responsabilidad de los Oferentes visitar e inspeccionar los sitios en los cuales se desarrollará el Proyecto, realizando todas las evaluaciones y estimaciones que sean necesarias para presentar su Oferta. Esta obligación hace parte de la debida diligencia que deberá adelantar en el Proceso de Selección. En todo caso se precisa que los lugares en que deben realizarse las visitas son transitables por el público adoptando las medidas de bioseguridad requeridas por el Gobierno Nacional.</t>
  </si>
  <si>
    <t>Se informa al interesado que la consulta previa con el Consejo Comunitario Dos Aguas de Cascajal fue completada, y tal como consta en las actas del proceso llevado a cabo por el Ministerio del Interior, se surtió la protocolización de la etapa de consulta previa. Surtido el proceso con la autoridad competente, el Ministerio del Interior, este expresó la "no aceptación" sobre las medidas de compensación propuestas, en tal sentido no se estima necesario incluir más regulaciones al respecto.</t>
  </si>
  <si>
    <t>Se aclara al interesado que la resolución de peajes que se expedirá específica para el Proyecto, tiene las mismas categorías y tarifas vigentes en todos los peajes existentes, y la información consignada es similar a la Circular 001 del 15 de enero de 2020 de INVIAS, que es de público acceso. Dentro de esta resolución se encuentra el detalle de tarifas y categorías de todas las estaciones de peaje del Proyecto.</t>
  </si>
  <si>
    <t>Se informa al interesado que las condiciones de acceso a las categorías especiales se conservan iguales a las vigentes, para tal efecto se toma la Resolución 4364 de 1998 y 215 de 2006 de Mintransporte para los peajes CIAT y Estambul, la Resolución 3001 de 2002 de Mintransporte para el peaje de Villa Rica, y la Resolución 150 de 2000 de la Gobernación del Valle para los peajes de Rozo y CENCAR.
Estas condiciones, en los mismos términos vigentes, serán detalladas en la resolución que se expedirá específica para el Proyecto.</t>
  </si>
  <si>
    <t>Se aclara al interesado que la resolución de peajes que se expedirá específica para el Proyecto tiene las mismas categorías y tarifas vigentes de Ejes Adicionales, Ejes Grúa, Ejes Remolque y Ejes Cañeros en todos los peajes existentes, y es de público acceso en la Circular 001 del 15 de enero 2020 de INVIAS.</t>
  </si>
  <si>
    <t>Se informa al interesado que la definición del evento geológico de la Sección 13.2(a)(xi) de la Parte General se ajustó, y será publicada con los documentos del Pliego de Condiciones Definitivo, quedando como el conjunto de amenazas o peligros para la infraestructura, recursos y las actividades humanas, provocados por la ejecución de las Intervenciones en desarrollo del Proyecto, que afecten la dinámica de diversos procesos geológicos naturales. En este sentido se considera suficiente la definición incluida al estar relacionada con las Intervenciones, y no procede limitarla a la Franja de Utilidad PúblicaSe aclara al interesado que no se considera procedente la solicitud, toda vez que la asignación del riesgo que está definida en la sección 13.2 (a) (xi) del contrato, establece que el mismo obedece a procesos geológicos de origen interno, tal y como los mismos se plantean en dicha sección. En la medida en que la franja de utilidad pública e interés social tiene el propósito de ser un instrumento de gestión predial acorde con las condiciones definidas en la Ley Aplicable, no se trata esta franja de un límite de asignación del riesgo geológico.</t>
  </si>
  <si>
    <t>Se aclara al interesado que toda la información respecto al estudio de tráfico se encuentra disponible en el Cuarto de Información de referencia en la carpeta A0. Esta información estará disponible a título meramente informativo acorde con las condiciones de la Sección 1.7 Cuarto de Información de Referencia del Pliego de Condiciones.
Adicionalmente, se aclara que dicho estudio no tiene en cuenta el impacto del COVID-19, no obstante, se informa que el Contrato se ajusto incluyendo disposiciones al respecto en los eventos por Restricción de Movilidad descritos en la Sección 3.3, y será publicado con los documentos del Pliego de Condiciones Definitivo.</t>
  </si>
  <si>
    <t>Se informa al interesado que su solicitud no se considera aceptable. En primer lugar frente a los alcances del Apéndice Técnico 1, las obligaciones de garantizar la estabilidad geotécnica y geológica de todos los taludes y cortes durante la construcción, operación y mantenimiento es una parte explícita de la Sección 6.3, por lo cual no se aleja la asignación de riesgos de las Intervenciones definidas en el alcance del Contrato.
Adicionalmente, se aclara al interesado que la definición del evento geológico de la Sección 13.2(a)(xi) de la Parte General se ajustó, y será publicada con los documentos del Pliego de Condiciones Definitivo.</t>
  </si>
  <si>
    <t>Se aclara al interesado que la definición del riesgo se enmarca en los eventos relacionados por las Intervenciones, por lo cual existen condiciones para que el Concesionario lo gestione tanto en los Estudios de Trazado y Diseño Geométrico y Estudios de Detalle como en el desarrollo mismo de las Intervenciones. Se aclara al interesado que la definición del evento geológico de la Sección 13.2(a)(xi) de la Parte General se ajustó, y será publicada con los documentos del Pliego de Condiciones Definitivo.
Respecto al comportamiento geológico del Corredor del Proyecto la infraestructura existente construida con anterioridad y en dentro de la Concesión 005 de 1999, tal como se presenta actualmente no presenta fenómenos geológicos complejos que indiquen la necesidad de modificar la asignación de riesgos.</t>
  </si>
  <si>
    <t xml:space="preserve">Se informa al interesado que no se acepta su observacion,los rendimientos de esta subcuenta son trasladados de manera mensual a la Subcuenta de Excedentes ANI, como mecanismo de liquidez para compensar aquellos riesgos a cargo de la ANI, que se puedan materializar dentro del contrato. </t>
  </si>
  <si>
    <t>Se aclara al interesado que la página web debe ofrecer información y forma de comunicación con la ANI, Policía de Carreteras y el Concesionario. La ANI designará información y protocolos de acceso a esa información durante la ejecución del contrato para ser divulgada por la Página Web del Proyecto.</t>
  </si>
  <si>
    <t>Se aclara al interesado que las características del sistema deberán cumplir el conjunto de las Especificaciones Técnicas del sistema de gestión, el Centro de Control Operacional, y el SICC principalmente. En tal sentido es correcto el entendimiento que se debe proveer un sistema de información georreferenciado (SIG) para los activos, con trazabilidad de documentación asociada, tanto gráfica como otra documentación que podrá ser preparada externamente o en línea, el registro de las operaciones relizadas, consultas sobre los elementos del inventario, búsquedas específicas en el inventario, entre otros. 
Al respecto se deben considerar las condiciones de las Secciones 4.1 y 3.3.10 del Apéndice Técnico 2, y la Sección 5 sobre el SICC del Apéndice Técnico 4.</t>
  </si>
  <si>
    <t xml:space="preserve">Se informa al interesado que se acepta su observación, y se incluyen las aclaraciones en la Sección 3.3.8 del Apéndice Técnico 2. No obstante la configuración de pesajes dinámicos móviles y estáticos deben mantener las condiciones estipuladas de cubrir un volumen mensual mínimo representativo del volumen de vehículos pesados. </t>
  </si>
  <si>
    <t xml:space="preserve">Se informa al interesado que los Valores de Aceptación del indicador E16 se ajustaran en el Apendice Tecnico 4, para que correspondan con el Método de Medida que obtiene la media de todas las medidas de cada kilómetro. El documento se publicará con el Pliego de Condiciones Definitivo. </t>
  </si>
  <si>
    <t>Se aclara al interesado que de acuerdo con el Apéndice Técnico 1 el alcance de intervenciones en los puentes existentes se deriva de los requisitos de las Intervenciones de Rehabilitación, Puesta a Punto o Mejoramiento que se establecen para cada tramo y que determinan si se conservan las dimensiones o deben ampliarse o modificarse. Debe además tenerse en cuenta la Sección 6.4. Directrices Generales de Mantenimiento del Apéndice Técnico 2, que requiere el Programa de Operación y Mantenimiento con base en el sistema SIPUCOL (Resolución 1528 de 2017), a partir del cual se determina si los puentes requieren obras nuevas o reconstrucción, y la realización de pruebas de carga según las normas AASHTO. En los casos en los que se requieran nuevas intervenciones o reconstrucción de puentes en los tramos de Rehabilitación los análisis estructurales serán según el código CCP-14 al ser esta la norma aplicable. En consecuencia no se identifican contradicciones entre estas disposiciones y el Apéndice Técnico 3.</t>
  </si>
  <si>
    <t>Se aclara al interesado que en los documentos del Pliego de Condiciones Definitivo se consignarán los métodos de medida para la evaluación de la fricción, incluyendo la norma técnica aplicable y los valores de aceptación por cada método, así como los cambios referentes a la formula de paso.</t>
  </si>
  <si>
    <t>Se informa al interesado que su entendimiento es correcto, la secuencia descrita en el Contrato Parte Especial, Tabla de Referencias, Sección 3.14(h)(iv)(2) aplica en el orden allí especificado. La entidad acepta parcialmente su observación, y ajusta la redacción en la Tabla de Referencias 3.14(h)(iv)(2) precisando en el numeral que el fondeo aplicará una vez realizado el fondeo del numeral anterior.</t>
  </si>
  <si>
    <t>Se informa al interesado que su entendimiento es correcto, la secuencia descrita en el Contrato Parte Especial, Tabla de Referencias, Sección 3.14(h)(iv)(4) aplica en el orden allí especificado. La entidad acepta parcialmente su observación, y ajusta la redacción en la Tabla de Referencias 3.14(h)(iv)(4) señalando que esto aplicará una vez sean realizados los fondeos descritos en los numerales 1,2 y 3 anteriores.</t>
  </si>
  <si>
    <t>Respecto a sus solicitudes, se informa al interesado lo siguiente:
2.1 Tiempo Máximo de Corrección: La definición del Tiempo Máximo de Corrección fue ajustada a “Corresponde al tiempo máximo durante el cual el Concesionario debe llevar la medición al Valor de Aceptación establecido para cualquier Indicador, sin que se afecte el Índice de Cumplimiento.” 
2.2 Indicadores de la Etapa Preoperativa: se incluirán aclaraciones en los documentos definitivos con el fin de esclarecer las obligaciones. Como elementos esenciales se tiene que el pleno de obligaciones de Operación y Mantenimiento son exigibles a partir del Acta de Terminación de Unidad Funcional, sin embargo, con gran parte de la infraestructura existente ya construida se posibilita su operación y mantenimiento desde la Entrega de la Infraestructura con la UF0, la cual inicia con requisitos e indicadores particulares para la Etapa Preoperativa. 
2.3 Indicador E4: Se realizarán aclaraciones sobre los métodos de medida, las normas técnicas aplicables a cada método de medida  y los Valores de Aceptación del indicador E4 Coeficiente de Fricción Transversal (CRT).
2.4 Indicador E2: Es importante anotar que el indicador de hundimientos E7 mide lo sugerido por el interesado, por cuanto los hundimientos se miden con mayor frecuencia (mensual vs ahuellamiento semestral) y se enfoca en los valores puntuales del mismo fenómeno. Ahora bien, en el Tiempo Máximo de Corrección los hundimientos tienen dos semanas, que es más corto que los ahuellamientos, junto con una frecuencia más alta de medición se lograría que los hundimientos de severidad media se detecten y se atiendan antes que los ahuellamientos.
2.5 Indicador E6: Se incluirá la recomendación para las definiciones del indicador E6 en los documentos definitivos según el tamaño de llantas de motocicletas. 
2.6 Indicador E7: Se aclarará el Valor de Aceptación del indicador E7 en los documentos definitivos, en todo caso al tratarse del área afectada el límite del 0.1% es el un valor máximo tolerable.
Respecto al Tiempo Máximo de Corrección debe considerarse que la frecuencia del indicador es mensual y la medición ocurre desde severidad media, entonces a menos que haya un incumplimiento con consecuencias en la Deducción, la detección de los hundimientos de media severidad pretende evitar que progresen a alta severidad en la medición del mes siguiente. 
Dado que no se mide en la uf 0 no hay de dividir su valor de aceptación (es porque aparece una vez 0.1 y la segunda vez igual o menor a 0,1) 
2.7 Indicador E19: El Método de Medida del indicador E19 tiene un error de transcripción que se corregirá en los documentos definitivos con la clasificación de grietas a partir de 3 mm.
El Apéndice menciona que
“De acuerdo con el Manual para la inspección visual de pavimentos Rígidos-INVIAS las grietas son aberturas de ancho menor a 0,03 m”.
“Se contabilizarán solo las grietas (aberturas superiores a 3 mm)”
Cuál sería el cambio? (en el publicado dice 0,03 m)
 2.8 Indicadores E1 y E4: En los dos casos las mediciones de los indicadores E1 y E4 se realizan con frecuencias semestrales, sin que esto limite al Concesionario para que pueda hacer mediciones de control más frecuentes, que permitirán llevar un registro trazable de deterioros para tomar las acciones preventivas que eviten que los valores puntuales excedan los límites admisibles en condiciones normales. Debe tenerse en cuenta que exceder los Tiempos Máximos de Corrección conlleva a una Deducción en la Retribución por lo que no hay incentivos para el incumplimiento ni para reincidir, y los límites de los valores de aceptación de los indicadores E1 y E4 se consideran de baja severidad para evitar una progresión de daños que deteriore el servicio y la seguridad vial prestada a los usuarios, y sea en el estado de baja severidad que se tomen medidas correctivas. En el caso que exista recurrencia en incumplir los valores de aceptación, lo que indicaría que habría mayor avance en los daños, se aplicarían las Multas de recurrencia de la Sección 6.1(j) de la Parte Especial.
2.9 Indicador E12: En este caso la norma del artículo 700 de INVIAS refiere a la norma técnica NTC 4744, según la cual los valores del numeral 5.3 Control de retrorreflectividad en el tiempo, son 160-140 mcd/m2/lx para líneas blancas y 140-120 mcd/m2/lx para líneas amarillas, respectivamente para retrorreflectómetro de 15 y 30 metros, por lo cual los Valores de Aceptación del Apéndice Técnico 4 corresponden con la norma técnica vigente.
2.10 Indicador E12:  En la sección 4.4 Equipos de Medición: Características y Calibración, del Apéndice Técnico se define que: “Para las mediciones de IRI, ahuellamiento, deflexiones, fricción, textura y señalización horizontal y vertical se deben emplear equipos de alto rendimiento, sobre los cuales se garantice su correcto estado de calibración durante la medición”.  Teniendo en cuenta lo anterior es claro que no se debe medir con equipos fijos dado los problemas por usted listados. 
2.11 Indicador E4: En línea con las respuestas a los puntos anteriores, la definición de este indicador tendrá actualización normativa, lo cual incluirá la inclusión de la norma ASTM E670-09 como el método aplicable para el equipo Mu-Meter.
Todos los ajustes al Apendice Tecnico 4, se podran observar en la publicación de los documentos del Pliego de Condiciones Definitivo.</t>
  </si>
  <si>
    <t>Se informa al interesado que las condiciones de entrega de los bienes e insumos será definida según el convenio que se describe en el Apéndice Técnico 4 3.3.9.1. Protocolo de Coordinación con la Policía de Carreteras. Se adoptará la figura que le permita al Concesionario cumplir con sus obligaciones de cobertura de seguros, mantenimiento, costos de combustible, supervisión de la distribución de los equipos, entre otros, y las de Reversión que se definen en la Sección 5 del Apéndice Técnico 2 ya sea que esa suceda en la terminación de la Etapa de Operación y Mantenimiento o cuando el Contrato se termine anticipadamente.</t>
  </si>
  <si>
    <t xml:space="preserve">Se informa al interesado que no se acepta su observación. El proceso de Consulta previa debe contar con acuerdos definitivos y protocolizados por parte del Ministerio del Interior para el inicio de la Fase de Construcción del Contrato, según el procedimiento definido en la Ley Aplicable es el Ministerio del Interior quien define el surtimiento del proceso consultivo y para ello la mediación de la protocolización que consigne la situaciones relativas a los acuerdos totales o parciales y si es el caso la aplicación del test de proporcionalidad. Se aclara que esta condición tal como lo define la misma Sección 4.4(i) es para los casos cuyo inicio de las Intervenciones de las Unidades Funcionales deben acometerse al inicio de la Fase de Construcción y para el resto de la Unidades Funcionales depende de los cronogramas del Plan de Obras. </t>
  </si>
  <si>
    <t>|</t>
  </si>
  <si>
    <t>Sea lo primero anotar que la toma de posesión regulada en el numeral 3.12 tiene una motivación y dinámica diferente a la Reversión regulada en el capitulo IX numeral 9.7 del contrato parte general, y no exime al concesionario de mantener las garantías vigentes en todo momento, mientras se tengan obligaciones exigibles a su cargo.
En caso de ser necesario acudir a la Toma de Posesión, hasta tanto esta no se haga efectiva y se surta el proceso previsto para ello, es el concesionario el responsable de mantener las garantías y seguros del caso y no hay forma de prestablecer el tiempo que será necesario, sin ser posible de ninguna manera limitar a un determinado número de días la vigencia de la garatia, sin saber cuáles serán las particularidades del caso. Por lo anterior no se acepta la observación.</t>
  </si>
  <si>
    <t>La póliza de obras civiles ANI en su sección IV Amparos adicionales para las secciones: I  AMPARO DE OBRAS CIVILES Y OTROS BIENES EXISTENTES ASEGURADOS , II  AMPARO DE CONSTRUCCIÓN, REPARACIÓN, REHABILITACIÓN Y/O MEJORAMIENTO. y III  AMPARO DE EQUIPO Y MAQUINARIA DE CONSTRUCCIÓN  incluye el amparo de  huelga, motín, asonada, conmoción civil y/o popular, actos malintencionados de terceros, actos terroristas y terrorismo. por lo tanto no hay lugar a aceptar la observación.</t>
  </si>
  <si>
    <t xml:space="preserve">No existe reglamentación de la Superintendencia Financiera sobre cómo o cuánto debe distribuirse del riesgo en Coaseguros, reaseguros facultativos o automáticos, más a allá de lo reglado por el artículo 2.31.1.3.1 en el Decreto 2555 de 2010,  sobre no asumir mas del 10% del patrimonio técnico del asegurador en un mismo riesgo, correspondiente al trimestre inmediatamente anterior a aquel en el cual se efectúe la operación. Para la ANI es fundamental conocer de la solidez financiera del instrumento de cobertura y dado que es factible combinar coaseguros, reaseguros facultativos y reaseguros automáticos, se desea tener conocimiento de cómo se hace esa mezcla y que sea estable en la vigencia, de forma que no sea alterada en detrimento de la calidad del respaldo financiero, lo cual se recoge en el anexo 21 citado en la observación. No se acepta la observación </t>
  </si>
  <si>
    <t>El restablecimiento de la garantía de cumplimiento resulta luego de la firmeza del acto administrativo que declara el sinestro y obligación de pago, no es un evento súbito que no permita tomar las medidas y hacer las diligencias en forma oportuna, por lo tanto, no hay lugar a hacer distinciones entre un caso u otro, ni siquiera en los eventos en que se compromete mas del 10% del valor, donde con mayor necesidad, urgen contar con la cobertura integra, luego de reducida por el siniestro. No se acepta la observación.</t>
  </si>
  <si>
    <t>Se le precisa al interesado que los criterios para determinar la forma de aplicar la excepción al principio de indivisibilidad de las garantías no se aplican sobre las fases de cada etapa, sino sobre las etapas y se ha tenido la precaución de que en ningún caso una etapa tenga una duración superior a cinco años. En este proyecto se distinguen dos etapas: pre operativa por cinco años y operativa por 25 años más.  La primera contempla dos fases pre construcción y construcción mientras que la segunda etapa, por superar 5 años se divide en 5 quinquenios.  Así las cosas, lo establecido en la sección 12.6 (a) (ii) a la letra señala: "(ii) La prórroga o renovación de este amparo para las fases subsiguientes estará cubierta por el mismo amparo de cumplimiento, que además cubrirá la renovación y prórroga de los demás que componen la Garantía Única, así como la constitución y prórroga de las demás garantías exigidas en este Contrato." así las cosas, dado que ninguna etapa  supera 5 años, lo que claramente señala la cláusula es que las dos fases se amparan en una misma garantía, y no se esta solicitando que el garante de una etapa se comprometa mas allá de la etapa que se ha comprometido a garantizar. En consecuencia no se acepta la observación</t>
  </si>
  <si>
    <t xml:space="preserve">Se le aclara al interesado que ni los contratistas ni los subcontratistas se incluyen en la cobertura en calidad de asegurados, lo que no quiere decir que cualquiera de sus actos carezca de cobertura. Todo lo contrario, todo acto de estos, incluido el dolo estará amparado como quiera que al no tener la calidad de asegurados, no tiene aplicación la restricción de que trata el artículo 1055 del Código de Comercio. sin perjuicio de lo anterior, los contratistas y subcontratistas diferentes al concesionario o contratista principal que si detenta la calidad de asegurado, podrán suscribir seguros para amarar su propio interés asegurable, sin invalidar la cobertura de responsabilidad civil. </t>
  </si>
  <si>
    <t>Los únicos sublímites que se aceptan están claramente anotados en la sección 12.7, sin que sea aceptable dejar un criterio subjetivo como el que sugiere la observación, máxime cuando no hay condiciones de mercado estándar y hay diversas ofertas en el mercado asegurador colombiano, dando lugar a una variedad dispar de ofertas por sublímites. esta condición no es nueva en las pólizas de los proyectos de la ANI y no se han tenido dificultades en la adecuada suscripción. Por lo anterior no se acepta la observación</t>
  </si>
  <si>
    <t>Se recomienda al observador estudiar el Apéndice Financiero (AF POLIZA DE OBRAS CIVILES)  que detalla el clausulado completo del seguro de obras civiles, que es una póliza especial y diseñada a la medida de los proyectos de ANI, en la que se detallan las únicas exclusiones que son validas. en la sección V. no hay fundamento cierto en la observación y por ello no se acepta.</t>
  </si>
  <si>
    <t xml:space="preserve">No existe reglamentación de la Superintendencia Financiera sobre cómo o cuánto debe distribuirse del riesgo en Coaseguros, reaseguros facultativos o automáticos, más a allá de lo reglado por el artículo 2.31.1.3.1 en el Decreto 255 de 2010,  sobre no asumir mas del 10% del patrimonio técnico del asegurador en un mismo riesgo, correspondiente al trimestre inmediatamente anterior a aquel en el cual se efectúe la operación. Para la ANI es fundamental conocer de la solidez financiera del instrumento de cobertura y dado que es factible combinar coaseguros, reaseguros facultativos y reaseguros automáticos, se desea tener conocimiento de cómo se hace esa mezcla y que sea estable en la vigencia, de forma que no sea alterada en detrimento de la calidad del respaldo financiero, lo cual se recoge en el anexo 21 citado en la observación. Por lo anterior, no se acepta la observación. </t>
  </si>
  <si>
    <t xml:space="preserve">Se aclara al interesado que la infraestructura que desarrolla y opera el concesionario corresponde con los denominados bienes de uso público universal o bienes públicos del territorio y su uso pertenece a todos los habitantes del territorio. El titular del derecho de dominio es la Nación y, en general, las entidades estatales correspondientes ejercen facultades especiales de administración, protección, control. Se encuentran determinados por la Constitución o por la ley (art. 63 Superior). Están sujetos a un régimen jurídico por virtud del cual gozan de privilegios tales como la inalienabilidad, inembargabilidad e imprescriptibilidad, que los colocan por fuera del comercio. por esta razón no es legal que la indemnización sea subrogada a cosa hipotecada o dada en prenda para radicar en ella derechos de un acreedor del concesionario, que no tiene titularidad del bien como lo exige el artículo 1101 del Código de Comercio, con ocasión de eventuales indemnizaciones derivadas del daño amparado por el seguro, que en todo caso debe destinarse a su reconstrucción y recuperación y jamás al pago de las deudas del concesionario con sus prestamistas. </t>
  </si>
  <si>
    <t xml:space="preserve">Se precisa al interesado que adicional a las obras civiles, el concesionario también puede recibir, instalar u operar otros bienes tales como equipos, maquinas y otros que no hacen parte de la infraestructura física, pero si son considerados bienes de la concesión y como tales hacen parte de los bienes objeto de cobertura que no se reduce a las obras civiles. </t>
  </si>
  <si>
    <t>Se le confirma al interesador que la póliza de obras civiles es de obligatoria suscripción en los términos del contrato y no es permitido cumplir con esta obligación aportando pólizas suscritas por otros. En cuanto a las coberturas de Lucro cesante para la sección I y ALOP para la sección II y la sección III Maquinaria y equipos, se confirma que estas son opcionales.</t>
  </si>
  <si>
    <t>Se le confirma al interesado que la póliza de obras civiles es de obligatoria suscripción en los términos del contrato y no es permitido cumplir con esta obligación aportando pólizas suscritas por otros. En cuanto a las coberturas de Lucro cesante para la sección I y ALOP para la sección II y la sección III Maquinaria y equipos, se confirma que estas son opcionales.</t>
  </si>
  <si>
    <t xml:space="preserve">Se aclara al interesado que las pólizas ANI pueden ser objeto de aclaraciones mediante endosos, pero estos no pueden lleva a la reducción del alcance de las coberturas, por dispsicion expresa en el contrarto parte general, numeral 12.3  Reglas Generales Aplicables a las Garantías, linterla m)
</t>
  </si>
  <si>
    <t xml:space="preserve">Se acalara al interesado que la infraestructura que desarrolla y opera el concesionario corresponde con los denominados bienes de uso público universal o bienes públicos del territorio y su uso pertenece a todos los habitantes del territorio. El titular del derecho de dominio es la Nación y, en general, las entidades estatales correspondientes ejercen facultades especiales de administración, protección, control. Se encuentran determinados por la Constitución o por la ley (art. 63 Superior).4° Están sujetos a un régimen jurídico por virtud del cual gozan de privilegios tales como la inalienabilidad, inembargabilidad e imprescriptibilidad, que los colocan por fuera del comercio. por esta razón no es legal que la indemnización sea subrogada a cosa hipotecada o dada en prenda para radicar en ella derechos de un acreedor del concesionario, que no tiene titularidad del bien como lo exige el artículo 1101 del Código de Comercio, con ocasión de eventuales indemnizaciones derivadas del daño amparado por el seguro, que en todo caso debe destinarse a su reconstrucción y recuperación y jamás al pago de las deudas del concesionario con sus prestamistas. </t>
  </si>
  <si>
    <t xml:space="preserve">No se acepta la obervación del inetresado, se aclara que el decreto 1082 de 2015, artículo 2.2.1.2.3.1.14. Suficiencia de la garantía de estabilidad y calidad de la obra, ordena que debe ésta debe estar vigente por un término no inferior a cinco (5) años contados a partir de la fecha en la cual la Entidad Estatal recibe a satisfacción la obra, y asi se ha estipulado en la sección 7.3 (a). plazo que se exige por tratarse de infraestructura de alta complejidad y construcción pesada, y por ello no se ha considerado por la administración plazos inferiores. De otra parte, en la sección 7.3. (b) aplicable a la etapa de reversión, se ha establecido 2 años, puesto que en esa etapa no hay obras complejas, sino que se trata de las obras de mantenimiento, y para estas se ha estipulado 2 años de vigencia, según criterios del área técnica de la ANI. </t>
  </si>
  <si>
    <t>No se acepta la observacion del ineteresado, el restablecimiento de la garantía de cumplimiento resulta luego de la firmeza del acto administrativo que declara el sinestro y obligación de pago, no es un evento súbito que no permita tomar las medidas y hacer las diligencias en forma oportuna, por lo tanto, no hay lugar a hacer distinciones entre un caso u otro, ni siquiera en los eventos en que se compromete mas del 10% del valor.</t>
  </si>
  <si>
    <t>Se recomienda al observador estudiar el apéndice financiero (AF POLIZA DE OBRAS CIVILES) que detalla el clausulado completo del seguro de obras civiles, que es una póliza especial y diseñada a la medida de los proyectos de ANI, en la que se detallan las únicas exclusiones que son validas. en la sección V. no hay fundamento cierto en la observación y por ello no se acepta.</t>
  </si>
  <si>
    <t>No se acepta la observacion, se aclara la inetresado que los únicos sublímites que se aceptan están claramente anotados en la sección 12.7, sin que sea aceptable dejar un criterio subjetivo como el que sugiere la observación, máxime cuando no hay condiciones de mercado estándar y hay diversas ofertas en el mercado asegurador colombiano, dando lugar a una variedad dispar de ofertas por sublímites. esta condición no es nueva en las pólizas de los proyectos de la ANI y no se han tenido dificultades en la adecuada suscripción.</t>
  </si>
  <si>
    <t>Se le recuerda al observador que el encabezado de la sección endosos a la letra indica: "De acuerdo al tipo de obra de construcción, para la SECCIÓN II se podrán incluir uno o varios de los endosos descritos a continuación, según sea requerido por LA ASEGURADORA y/o EL ASEGURADO (se incluyen los más comunes, pero podrían requerirse otros diferentes):" así las cosas la observación no tiene aplicación</t>
  </si>
  <si>
    <t xml:space="preserve">No existe reglamentación de la Superintendencia Financiera sobre cómo o cuánto debe distribuirse del riesgo en Coaseguros, reaseguros facultativos o automáticos, más a allá de lo reglado por el artículo 2.31.1.3.1 en el Decreto 255 de 2010,  sobre no asumir mas del 10% del patrimonio técnico del asegurador en un mismo riesgo, correspondiente al trimestre inmediatamente anterior a aquel en el cual se efectúe la operación. Para la ANI es fundamental conocer de la solidez financiera del instrumento de cobertura y dado que es factible combinar coaseguros, reaseguros facultativos y reaseguros automáticos, se desea tener conocimiento de cómo se hace esa mezcla y que sea estable en la vigencia, de forma que no sea alterada en detrimento de la calidad del respaldo financiero, lo cual se recoge en el anexo 21 citado en la observación. Por lo anterior, no se acepta la observación </t>
  </si>
  <si>
    <t xml:space="preserve">Se le precisa al observador que los criterios para determinar la forma de aplicar la excepción al principio de indivisibilidad de las garantías no se aplican sobre las fases de cada etapa, sino sobre las etapas y se ha tenido la precaución de que en ningún caso una etapa corra por un lapso mayor a cinco años. En este proyecto se distinguen dos etapas: pre operativa por cinco años y operativa por 25 años más.  La primera contempla dos fases pre construcción y construcción mientras que la segunda etapa, por superar 5 años se divide en 5 quinquenios.  Así las cosas, lo establecido en la sección 12.6 (a) (ii) a la letra señala: "(ii) La prórroga o renovación de este amparo para las fases subsiguientes estará cubierta por el mismo amparo de cumplimiento, que además cubrirá la renovación y prórroga de los demás que componen la Garantía Única, así como la constitución y prórroga de las demás garantías exigidas en este Contrato." así las cosas, dado que ninguna etapa  supera 5 años, lo que claramente señala la cláusula es que las dos fases se amparan en una misma garantía, y no se esta solicitando que el garante de una etapa se comprometa mas allá de la etapa que se ha comprometido a garantizar. no se acepta la observación </t>
  </si>
  <si>
    <t>No se acepta la observación. Se le precisa al observador que los criterios para determinar la forma de aplicar la excepción al principio de indivisibilidad de las garantías no se aplican sobre las fases de cada etapa, sino sobre las etapas y se ha tenido la precaución de que en ningún caso una etapa corra por un lapso mayor a cinco años. En este proyecto se distinguen dos etapas: pre operativa por cinco años y operativa por 25 años más.  La primera contempla dos fases pre construcción y construcción mientras que la segunda etapa, por superar 5 años se divide en 5 quinquenios.  Así las cosas, lo establecido en la sección 12.6 (a) (ii) a la letra señala: "(ii) La prórroga o renovación de este amparo para las fases subsiguientes estará cubierta por el mismo amparo de cumplimiento, que además cubrirá la renovación y prórroga de los demás que componen la Garantía Única, así como la constitución y prórroga de las demás garantías exigidas en este Contrato." así las cosas, dado que ninguna etapa  supera 5 años, lo que claramente señala la cláusula es que las dos fases se amparan en una misma garantía, y no se esta solicitando que el garante de una etapa se comprometa mas allá de la etapa que se ha comprometido a garantizar.</t>
  </si>
  <si>
    <t>Se precisa al inetersado que las garantías son exigibles hasta la liquidación del contrato según lo reglado por el articulo Artículo 2.2.1.2.3.1.12. Suficiencia de la garantía de cumplimiento. La garantía de cumplimiento del contrato debe tener una vigencia mínima hasta la liquidación del contrato. Y dado que el plazo de 180 días para liquidación contempla una excepción aplicable cuando el contrato se termine en forma anticipada, señalada en el mismo numeral 1.143 y puede llegar  a ser de 540 días. así las cosas es evidente que hay un limite máximo establecido y no es posible establecer otra limitación diferente para el seguro, por lo que no se acepta su observación</t>
  </si>
  <si>
    <t>No se acepta su observación, la póliza de obras civiles ANI en su sección IV Amparos adicionales para las secciones: I  AMPARO DE OBRAS CIVILES Y OTROS BIENES EXISTENTES ASEGURADOS , II  AMPARO DE CONSTRUCCIÓN, REPARACIÓN, REHABILITACIÓN Y/O MEJORAMIENTO. y III  AMPARO DE EQUIPO Y MAQUINARIA DE CONSTRUCCIÓN  incliuye el amparo de  huelga, motín, asonada, conmoción civil y/o popular, actos malintencionados de terceros, actos terroristas y terrorismo.Se informa al interesado que no se acepta su observación.</t>
  </si>
  <si>
    <t xml:space="preserve">Se aclara al interesado que todas las obligaciones del contratista hacen parte del alcance de la cobertura y no está previsto modificar las condiciones generales de la póliza ANI para hacerlas mas restrictivas, es del caso anotar que todos los proyectos de la ANI han sido desarrollados con esta cobertura sin presentarse ningún inconveniente en la suscripción, no hacer mas densa la suscripción de las pólizas. </t>
  </si>
  <si>
    <t xml:space="preserve">Se le precisa al interesado que los criterios para determinar la forma de aplicar la excepción al principio de indivisibilidad de las garantías no se aplican sobre las fases de cada etapa, sino sobre las etapas y se ha tenido la precaución de que en ningún caso una etapa corra por un lapso mayor a cinco años. En este proyecto se distinguen dos etapas: pre operativa por cinco años y operativa por 25 años más.  La primera contempla dos fases pre construcción y construcción mientras que la segunda etapa, por superar 5 años se divide en 5 quinquenios.  Así las cosas, lo establecido en la sección 12.6 (a) (ii) a la letra señala: "(ii) La prórroga o renovación de este amparo para las fases subsiguientes estará cubierta por el mismo amparo de cumplimiento, que además cubrirá la renovación y prórroga de los demás que componen la Garantía Única, así como la constitución y prórroga de las demás garantías exigidas en este Contrato." así las cosas, dado que ninguna etapa  supera 5 años, lo que claramente señala la cláusula es que las dos fases se amparan en una misma garantía, y no se esta solicitando que el garante de una etapa se comprometa mas allá de la etapa que se ha comprometido a garantizar, por lo anterior no se acepta la observación Se informa al interesado que no se acepta su observación. De acuerdo con lo establecido por el artículo 2.2.1.2.3.1.3 del Decreto 1082 de 2015, la aseguradora podrá decidir no continuar garantizando la etapa contractual subsiguiente con la debida notificación. No obstante lo anterior, este aviso no afecta la garantía de la etapa contractual en ejecución. 
De acuerdo con lo establecido por la Sección 12.6. (a)(iii) de la Parte General del Contrato, los riesgos cubiertos serán los correspondientes al incumplimiento de las obligaciones que nacen y que son exigibles en cada una de las Etapas y Fases del Contrato, independientemente de si el cumplimiento de dichas obligaciones que nacieron y fueron exigibles en la Etapa asegurada se extiende a una etapa subsiguiente. La regulación prevista no contraría lo dispuesto por la ley. </t>
  </si>
  <si>
    <t>Se le precisa al interesado, que las obligaciones relativas a la constitucion del SPV,  corresponde a una obligación que es exigible antes de la presentacion de la póliza de cumplimiento, y un requsito necesario para inicar la ejecución, por lo tanto es un riesgo cierto y que debe ser cubierto por la poliza de seriedad de la oferta, como quiera que el Decreto 1082 de 2015,  establece en su "Artículo 2.2.1.2.3.1.1. Riesgos que deben cubrir las garantías en la contratación. El cumplimiento de las obligaciones surgidas en favor de las Entidades Estatales con ocasión de: (i) la presentación de las ofertas...", por lo tanto debe quedar cubierta dicha obligación. En conclusión no se acepta la observación.</t>
  </si>
  <si>
    <t xml:space="preserve">se precisa al interesado que la póliza de obras civiles (AF POLIZA DE OBRAS CIVILES) es un producto especialmente diseñado por la ANI cuyas condiciones generales que identifican tomador asegurado y beneficiarios con toda claridad, así como los criterios para determinar sumas asegurables, lo que pude verificar en el apéndice financiero que se denomina Póliza de Obras Civiles,  el cual se encuentra  debidamente inscrito en la Superfinanciera y es de uso y aplicación en todos los proyectos que se estructuran por iniciativas privadas o pública en la ANI. No se acepta dividir esta póliza en dos seguros independientes para amparar obras en construcción separadamente de las obras civiles terminadas. 
En cuanto a los valores asegurados el contrato, parte especial determina las sumas asegurables y faculta para acudir a un PML si así lo desea el concesionario, lo que será de su entera responsabilidad en caso de insuficiencias o errores de estimación. se reitera que las condiciones de las pólizas aceptables son únicamente las del condicionado ANI y el concesionario podrá adicionar coberturas o mejorarlas pero nunca desmejorarlas, so pena de entenderse por no escritas. </t>
  </si>
  <si>
    <t>Se aclara la inetresado que las únicas pólizas previstas a ser exigidos por la ANI son las detalladas en el pliego, contrato parte general y especial. Lo que no impide al concesionario para suscribir otro  tipo de pólizas que a bien considere.</t>
  </si>
  <si>
    <t>Se precisa al ineteresado que el contrato parte especial y parte general indica que la maquinaria y automotores deben contar con un seguro de responsabilidad civil, las otras coberturas para el casco y la maquinaria no son exigidas por la ANI y el concesionario es libre de decidir como desea cubrir ese riesgos, lo que pude hacer con fondos o pólizas, según sus estudios de riesgo .</t>
  </si>
  <si>
    <t>Se le confirma al obervador que las polizas a suscribir minimo deben atender las condiciones ANI.</t>
  </si>
  <si>
    <t xml:space="preserve">Se precisa que la expresión LEG 3,(London Engineering Group)  corresponde a la categoría de exclusiones menos severas aplicables a seguros de todo riesgo obras civiles, así como la remoción de escombros y no al seguro de Responsabilidad civil, donde no hay limitaciones de la cubierta si el daño proviene de errores de diseño. </t>
  </si>
  <si>
    <t>Se aclara al interesado que la definición de Evento Eximente de Responsabilidad abarca eventos objeto de cobertura, y eventos que no lo son. y en caso de ser necesario, como resultado de un  EER, se otorgarán los plazos contractuales necesarios, pero la suscripción de seguros es una carga del contratista y no de la ANI, por lo tanto no se acepta la observación.</t>
  </si>
  <si>
    <t xml:space="preserve">Se le aclara al observador que ni los contratistas ni los subcontratistas se incluyen en la cobertura en calidad de asegurados, lo que no quiere decir que cualquiera de sus actos carezca de cobertura. Todo lo contrario, todo cato de estos, incluido el dolo estará amparado como quiera que al no tener la calidad de asegurados, no tiene aplicación la restricción de que trata el artículo 1055 del Código de Comercio. sin perjuicio de lo anterior, los contratistas y subcontratistas diferentes al concesionario o contratista principal que si detenta la calidad de asegurado, podrán suscribir seguros para amarar su propio interés asegurable, sin invalidar la cobertura de responsabilidad civil. Se le recuerda al observador que lo que determina un doble seguro no es el aseguramiento del bien sino la concurrencia de interés asegurable, y que todo interés asegurable, aun recayendo sobre el mismo bien es objeto de aseguramiento; ver artículos 1083 y 1084 del Código de Comercio. 
De otra parte, en cuanto a la inclusión de prestamistas o financiadores en calidad de beneficiarios, debe tenerse encuentra que la infraestructura que desarrolla y opera el concesionario corresponde con los denominados bienes de uso público universal o bienes públicos del territorio, y su uso pertenece a todos los habitantes. El titular del derecho de dominio es la Nación y, en general, las entidades estatales correspondientes ejercen facultades especiales de administración, protección, control. Estos bienes se encuentran determinados por la Constitución o por la ley (art. 63 Superior).4° y están sujetos a un régimen jurídico por virtud del cual gozan de privilegios tales como la inalienabilidad, inembargabilidad e imprescriptibilidad, que los colocan por fuera del comercio. por esta razón no es legal que la indemnización sea subrogada a cosa hipotecada o dada en prenda para radicar en ella derechos de un acreedor del concesionario, que no tiene titularidad del bien como lo exige el artículo 1101 del Código de Comercio, con ocasión de eventuales indemnizaciones derivadas del daño amparado por el seguro, que en todo caso debe destinarse a su reconstrucción y recuperación y jamás al pago de las deudas del concesionario con sus prestamistas.  </t>
  </si>
  <si>
    <t>El contrato en su parte general numeral 12.3 Reglas Generales Aplicables a las Garantías, literal m) establece que no se podrá, mediante condición particular, reducir o modificar el alcance y las condiciones de los amparos, cláusulas y coberturas de cualquiera de los seguros y garantías expedidos conforme a lo previsto en el Contrato. Por lo tanto, si la reducción o modificación la solicitare el Concesionario sin consentimiento escrito por parte de la ANI la aseguradora no modificará la póliza y si lo hiciere, la reducción o modificación se tendrá por no escrita. De esta forma, si las cláusulas sugeridas por el observador, llegaren a incumplir este literal, no tendrán aplicación. De esta forma, los endosos previstos en la Póliza ANI de obras civiles, están disponibles para complementar las coberturas, si el Concesionario lo requiere, ya sea por negociaciones con sus aseguradores o con sus financiadores</t>
  </si>
  <si>
    <t xml:space="preserve">No se acepta la observación, se le precisa al inetersado que los criterios para determinar la forma de aplicar la excepción al principio de indivisibilidad de las garantías no se aplican sobre las fases de cada etapa, sino sobre las etapas y se ha tenido la precaución de que en ningún caso una etapa corra por un lapso mayor a cinco años. En este proyecto se distinguen dos etapas: pre operativa por cinco años y operativa por 25 años más.  La primera contempla dos fases pre construcción y construcción mientras que la segunda etapa, por superar 5 años se divide en 5 quinquenios.  Así las cosas, lo establecido en la sección 12.6 (a) (ii) a la letra señala: "(ii) La prórroga o renovación de este amparo para las fases subsiguientes estará cubierta por el mismo amparo de cumplimiento, que además cubrirá la renovación y prórroga de los demás que componen la Garantía Única, así como la constitución y prórroga de las demás garantías exigidas en este Contrato." así las cosas, dado que ninguna etapa  supera 5 años, lo que claramente señala la cláusula es que las dos fases se amparan en una misma garantía, y no se esta solicitando que el garante de una etapa se comprometa mas allá de la etapa que se ha comprometido a garantizar. </t>
  </si>
  <si>
    <t xml:space="preserve">No se acepta la observación, se le precisa al observador que los criterios para determinar la forma de aplicar la excepción al principio de indivisibilidad de las garantías no se aplican sobre las fases de cada etapa, sino sobre las etapas y se ha tenido la precaución de que en ningún caso una etapa corra por un lapso mayor a cinco años. En este proyecto se distinguen dos etapas: pre operativa por cinco años y operativa por 25 años más.  La primera contempla dos fases pre construcción y construcción mientras que la segunda etapa, por superar 5 años se divide en 5 quinquenios.  Así las cosas, lo establecido en la sección 12.6 (a) (ii) a la letra señala: "(ii) La prórroga o renovación de este amparo para las fases subsiguientes estará cubierta por el mismo amparo de cumplimiento, que además cubrirá la renovación y prórroga de los demás que componen la Garantía Única, así como la constitución y prórroga de las demás garantías exigidas en este Contrato." así las cosas, dado que ninguna etapa  supera 5 años, lo que claramente señala la cláusula es que las dos fases se amparan en una misma garantía, y no se esta solicitando que el garante de una etapa se comprometa mas allá de la etapa que se ha comprometido a garantizar. </t>
  </si>
  <si>
    <t>No se acepta la observación , Las garantías son exigibles hasta la liquidación del contrato según lo reglado por el articulo Artículo 2.2.1.2.3.1.12. Suficiencia de la garantía de cumplimiento. La garantía de cumplimiento del contrato debe tener una vigencia mínima hasta la liquidación del contrato. Y dado que el plazo de 180 días para liquidación contempla una excepción aplicable cuando el contrato se termine en forma anticipada, señalada en el mismo numeral 1.143 y puede llegar  a ser de 540 días, por lo anteriro no es posible dejar establecida la limitación que anota el ineteresado</t>
  </si>
  <si>
    <t xml:space="preserve">No se acepta la observación, la gestión del proyecto es autonomía total del contratista, pero ello no releva al contratante de fijar parámetros mínimos para gestionar la salud financiera del proyecto cuya realización permite la satisfacción de la necesidad del interés general. </t>
  </si>
  <si>
    <t xml:space="preserve">Según lo establecido por el Artículo 2.2.1.2.3.2.8. Sanción por incumplimiento de la seriedad de la oferta, en caso de siniestro la compañía de seguros debe responder por el total del valor asegurado a título de sanción y no de indemnización. Adicionalmente, el establecer un valor a titulo de sanción, no limita al ente estatal para perseguir valores superiores, si los perjuicios llegan a superar la tasación anticipada. Ver sentencia Corte Constitucional, sentencia C-499/15. No se acepta la observación y se hará la precisión al numeral 14.1.14. (x) para corregir la expresión "carácter indemnizatorio" por "carácter sancionatorio" </t>
  </si>
  <si>
    <t>Se le aclara al observador que las condiciones son mejorables y se han señalado las mínimas de la póliza de obras civiles, que opera con dos secciones: la sección I para obras ciivles existentes, bajo la modalidad de riesgos nombrados, excepto para otros bienes existentes, que de acuerdo con el numeral 1.7. se esa misma sección para estos bienes las coberturas operan bajo modalidad  todo riesgo. La sección II  opera tambien bajo amparo todo riesgo. Las polizas de fortmato ANI admiten mejoras en sus condiciones, y esta que se propone por el observador puede ser incluida sin incumplir lo reglado en el contrato parte general numeral 12.3 Reglas Generales Aplicables a las Garantías, literal m) establece que no se podrá, mediante condición particular, reducir o modificar el alcance y las condiciones de los amparos, cláusulas y coberturas de cualquiera de los seguros y garantías expedidos conforme a lo previsto en el Contrato. Por lo tanto, si la reducción o modificación la solicitare el Concesionario sin consentimiento escrito por parte de la ANI la aseguradora no modificará la póliza y si lo hiciere, la reducción o modificación se tendrá por no escrita. De esta forma, si las cláusulas sugeridas por el observador, llegaren a incumplir este literal, no tendrán aplicación.</t>
  </si>
  <si>
    <t>Tal como lo anota el Contrato Parte General,  numeral 12.3 literales m) y n) no serán aceptadas y se entenderán por no escritas, todas las modificaciones que reduzcan, desmejoren o restrinjan el alcance y operatividad de las coberturas, sumas aseguradas y deducibles. por lo tanto si las modificaciones que se proponen no afectan adversamente, pueden ser incorporadas.</t>
  </si>
  <si>
    <t>El contrato en su parte general numeral 12.3 Reglas Generales Aplicables a las Garantías, literal m) establece que no se podrá, mediante condición particular, reducir o modificar el alcance y las condiciones de los amparos, cláusulas y coberturas de cualquiera de los seguros y garantías expedidos conforme a lo previsto en el Contrato. Por lo tanto, si la reducción o modificación la solicitare el Concesionario sin consentimiento escrito por parte de la ANI la aseguradora no modificará la póliza y si lo hiciere, la reducción o modificación se tendrá por no escrita. De esta forma, si las cláusulas sugeridas por el observador, llegaren a incumplir este literal, no tendrán aplicación.</t>
  </si>
  <si>
    <t xml:space="preserve">Se le aclara al observador que ni los contratistas ni los subcontratistas se incluyen en la cobertura en calidad de asegurados, lo que no quiere decir que cualquiera de sus actos carezca de cobertura. Todo lo contrario, todo cato de estos, incluido el dolo estará amparado como quiera que al no tener la calidad de asegurados, no tiene aplicación la restricción de que trata el artículo 1055 del Código de Comercio. sin perjuicio de lo anterior, los contratistas y subcontratistas diferentes al concesionario o contratista principal que si detenta la calidad de asegurado, podrán suscribir seguros para amarar su propio interés asegurable, sin invalidar la cobertura de responsabilidad civil. Se le recuerda al observador que lo que determina un doble seguro no es el aseguramiento del bien sino la concurrencia de interés asegurable, y que todo interés asegurable, aun recayendo sobre el mismo bien es objeto de aseguramiento; ver artículos 1083 y 1084 del Código de Comercio. </t>
  </si>
  <si>
    <t>No se acepta la solictud del inetersado. Las exlcusiones 14 y 32 son complementarias, dado que las primera refiere a los daños a bienes de terefceros y la 32 a los daños que se acusen a tercero con bines de terceros. Por lo anterior no hay lugar a hacer aclaraciones. En cuanto a la sección V, el concesionario pude hacer las modificaciones que encuentre pertintees sin desmejorar la calidad de la cobertura, siempre y cuando no se desatienda al contrato parte general numeral 12.3 Reglas Generales Aplicables a las Garantías, literal m) establece que no se podrá, mediante condición particular, reducir o modificar el alcance y las condiciones de los amparos, cláusulas y coberturas de cualquiera de los seguros y garantías expedidos conforme a lo previsto en el Contrato</t>
  </si>
  <si>
    <t>Las polizas de fortmato ANI admiten mejoras en sus condiciones, y esta que se propone por el observador puede ser incluida sin incumplir lo reglado en el contrato parte general numeral 12.3 Reglas Generales Aplicables a las Garantías, literal m) establece que no se podrá, mediante condición particular, reducir o modificar el alcance y las condiciones de los amparos, cláusulas y coberturas de cualquiera de los seguros y garantías expedidos conforme a lo previsto en el Contrato. Por lo tanto, si la reducción o modificación la solicitare el Concesionario sin consentimiento escrito por parte de la ANI la aseguradora no modificará la póliza y si lo hiciere, la reducción o modificación se tendrá por no escrita. De esta forma, si las cláusulas sugeridas por el observador, llegaren a incumplir este literal, no tendrán aplicación.</t>
  </si>
  <si>
    <t xml:space="preserve">No se acepta la observación . El literal b) del numeral 12.7 precisa claramente que el seguro debe estar vigente por toda la vigencia del contrato, lo que armónico con el literal c) observado, debe ser previsto por el concesionario y nunca tener vigencias inferiores a un año. </t>
  </si>
  <si>
    <t xml:space="preserve">No se acepta la observación. La gestión del proyecto es autonomía total del contratista, pero ello no releva al contratante de fijar parámetros mínimos para gestionar la salud financiera del proyecto cuya realización permite la satisfacción de la necesidad del interés general. </t>
  </si>
  <si>
    <t>No se acepta la observación. A diferencia de una garantía de cumplimiento bajo contrato de seguros o póliza, el cobro de la garantía debe efectuarse dentro del plazo de vigencia establecido. En este tipo de instrumentos son usuales las cláusulas que indican que el vencimiento de la vigencia de la garantía también implica el vencimiento de la oportunidad para cobrarla. En consecuencia, la Entidad Estatal debe verificar que el cobro se hace oportunamente dentro del término previsto por el emisor. Si la garantía no se cobra dentro del término previsto, la obligación del emisor o garante se extingue.</t>
  </si>
  <si>
    <t>Se recomienda al observador estudiar el apéndice financiero (AF POLIZA DE OBRAS CIVILES)  que detalla el clausulado completo del seguro de obras civiles, que es una póliza especial y diseñada a la medida de los proyectos de ANI, en la que se detallan las únicas exclusiones que son validas. en la sección V. no hay fundamento cierto en la observación y por ello no se acepta.</t>
  </si>
  <si>
    <t>No se acepta la solcitud, se le aclara al observador que el amparo de lucro cesante es opcional para la ANI en su calidad de contratante, y la decisión de tomar o no el amparo corresponde al concesionario, quien debe evaluar si sus prestamistas le van a exigir esa cobertura, que en todo caso esta a su disposición en la póliza de obras civiles, precisamente para guardar la forma como el mercado asegurador suele suscribir el amparo.</t>
  </si>
  <si>
    <t xml:space="preserve">Se la precisa al observador que es correcto señalar vigencias para estabilidad en la etapa preoperativa, dado que, aunque se llama asi jurdicamente a una segmeto del perido de ejecución, ello no significa que en el mismo no se tengan unidadas fguncionales que finalizan sus procveso contrustivos y entran a operar. por ello lka sección 7.3.(a) (i) claramente indica que la vigencia corre desde la fecha de suscripción del Acta de Terminación de cada Unidad Funcional. No se acepta la obervación </t>
  </si>
  <si>
    <t xml:space="preserve">No se acepta la solicitud. Desde la suscripción de la garantía de seriedad de la oferta se desarrollan las tareas de colocación del riesgo y es bien sabido que sin tener razonablemente precolocado el riesgo de que se ocupa la garantía de cumplimiento, no se otorgan las garantías de seriedad. luego el lapso verdadero para esta expedición de las pólizas no son los 10 días de que trata el numeral 12.4 del contrato parte general, sino varios meses con antelación ala evaluación y designación de adjudicación.  no está previsto extender el plazo de 10 días contados desde suscripción del contrato </t>
  </si>
  <si>
    <t>A diferencia de una garantía de cumplimiento bajo contrato de seguros o póliza, el cobro de la garantía debe efectuarse dentro del plazo de vigencia establecido. En este tipo de instrumentos son usuales las cláusulas que indican que el vencimiento de la vigencia de la garantía también implica el vencimiento de la oportunidad para cobrarla. En consecuencia, la Entidad Estatal debe verificar que el cobro se hace oportunamente dentro del término previsto por el emisor. Si la garantía no se cobra dentro del término previsto, la obligación del emisor o garante se extingue. Por lo anterior no se acepta la observación.</t>
  </si>
  <si>
    <t xml:space="preserve">Se le aclara al observador que ni los contratistas ni los subcontratistas se incluyen en la cobertura en calidad de asegurados, lo que no quiere decir que cualquiera de sus actos carezca de cobertura. Todo lo contrario, todo cato de estos, incluido el dolo estará amparado como quiera que al no tener la calidad de asegurados, no tiene aplicación la restricción de que trata el artículo 1055 del Código de Comercio. sin perjuicio de lo anterior, los contratistas y subcontratistas diferentes al concesionario o contratista principal que si detenta la calidad de asegurado, podrán suscribir seguros para amarar su propio interés asegurable, sin invalidar la cobertura de responsabilidad civil. </t>
  </si>
  <si>
    <t xml:space="preserve">no se acepta la observación. Los únicos sublímites que se aceptan están claramente anotados en la sección 12.7, sin que sea aceptable dejar un criterio subjetivo como el que sugiere la observación, máxime cuando no hay condiciones de mercado estándar y hay diversas ofertas en el mercado asegurador colombiano, dando lugar a una variedad dispar de ofertas por sublímites. esta condición no es nueva en las pólizas de los proyectos de la ANI y no se han tenido dificultades en la adecuada suscripción. </t>
  </si>
  <si>
    <t xml:space="preserve">Se aclara al ineteresado que adicional a las obras civiles, el concesionario también puede recibir, instalar u operar otros bienes tales como equipos, maquinas y otros que no hacen parte de la infraestructura física, pero si son bienes de la concesión y como tales hacen parte de los bienes objeto de cobertura obligatoria, por lo que esta sección no se reduce a las obras civiles. </t>
  </si>
  <si>
    <t xml:space="preserve"> En cuanto a las coberturas de Lucro cesante para la sección I y ALOP para la sección II y la sección III Maquinaria y equipos, se confirma que estas son opcionales. Las demas condiciones son minimas obligatorias y admiten mejoras en sus condiciones, sin incumplir lo reglado en el contrato parte general numeral 12.3 Reglas Generales Aplicables a las Garantías, literal m) establece que no se podrá, mediante condición particular, reducir o modificar el alcance y las condiciones de los amparos, cláusulas y coberturas de cualquiera de los seguros y garantías expedidos conforme a lo previsto en el Contrato. Por lo tanto, si se hiciere una reducción o modificación sin consentimiento escrito por parte de la ANI la aseguradora no modificará la póliza y si lo hiciere, la reducción o modificación se tendrá por no escrita.  </t>
  </si>
  <si>
    <t>Se le confirma al observador que la póliza de obras civiles es de obligatoria suscripción en los términos del contrato y no es permitido cumplir con esta obligación aportando pólizas suscritas por otros. En cuanto a las coberturas de Lucro cesante para la sección I y ALOP para la sección II y la sección III Maquinaria y equipos, se confirma que estas son opcionales.</t>
  </si>
  <si>
    <t>Tal como lo anota el Contrato Parte General,  numeral 12.3 literales m) y n) no serán aceptadas y se entenderán por no escritas, todas las modificaciones que reduzcan, desmejoren o restrinjan el alcance y operatividad de las coberturas, sumas aseguradas y deducibles. por lo tanto si las modificaciones que se proponen no afectan adversamente, pueden ser incorporadas. Así las cosas el acápite de Endosos de l la póliza de obras civiles, anota a titulo enunciativo algunos endosos que pueden ser utilizados si el concesionario lo requiere</t>
  </si>
  <si>
    <t>Se informa al interesado que en el contexto de la definición, se refiere a los grupos de interés o comunidades, a aquellos grupos que se ven afectados directa o indirectamente por el desarrollo del Proyecto, y tienen la capacidad de afectar directa o indirectamente el desarrollo del Proyecto. Por la relación con el Proyecto, estos grupos de interés o comunidades habitan o ejercen actividades en el área de influencia del Proyecto.
La representación y su legitimidad, deben entenderse en la diversidad de posibilidades de organización de los grupos de interés, para que la acción de la solicitud corresponda efectivamente a las necesidades comunes del grupo según la Ley Aplicable. Asimismo, se aclara que de acuerdo con los procedimientos definidos en el Apéndice Técnico 8, la solicitud en todos los casos será a través de la autoridad local.
La priorización y aprobación de las Obras Sociales se amplía en el Apéndice Técnico 8, documento que será publicado con el Pliego de Condiciones Definitivo.</t>
  </si>
  <si>
    <t>Se aclara al interesado lo siguiente:
i) Las verificaciones sobre el estado de las obligaciones ambientales y prediales son a cargo de la ANI previo al procedimiento de Entrega de la Infraestructura.
ii) Respecto a este punto, la intención de la regulación observada busca precisamente que independiente de que se tenga que ejecutar la obra o se deba fondear la Subcuenta de Excedentes, el Concesionario cumpla con sus obligaciones independiente de su fuente de financiación. 
iii) En línea con lo anterior, no se considera procedente el análisis realizado en este punto, toda vez que no se está afectando al concesionario de ninguna manera pues independiente de que ejecute la obra o fondee la subcuenta, recibirá la totalidad de la retribución asociada a estas intervenciones. 
iv) la inclusión de estas tablas busca precisamente fijar estos valores en caso de que se materialice el evento descrito, es decir esto valores no serán sujetos de modificación.  Se aclara en la Sección 3.6 que el costo de ejecución de dichas obligaciones hará parte de los riesgos a cargo del Concesionario descritos en la Sección 13.2 de la Parte General.</t>
  </si>
  <si>
    <t xml:space="preserve">Se informa al interesado que el procedimiento de Verificación se realizará frente al alcance indicado en la tabla observada, es decir que la exigencia de la Verificación no se repite, y la regulación asegura que en los casos en los que los tramos no hacen parte de las Unidades Funcionales se cumpla la Verificación como proceso intermedio entre la finalización de las obras y la Reversión. 
La distribución del recaudo por Unidad Funcional de la Sección 4.2 de la Parte Especial tiene en cuenta las inversiones por cada Unidad Funcional en sus alcances generales y su relación con las obras de Reversión Especial, y en particular para la Unidad Funcional 3 cuyos ingresos concluyen con la Reversión Especial.
Se informa al interesado que a partir de la Reversión Especial, los tramos, obras y Predios revertidos de forma anticipada se entenderán excluidos de la Infraestructura concesionada y no serán parte del objeto del Contrato, por lo anterior, no se considera necesario incluir la precisión propuesta. </t>
  </si>
  <si>
    <t>Se aclara al interesado lo siguiente:
La Sección 6.3 de la Parte General se modifica para que se conserve la asignación de riesgos cuando el trazado no supere de la Franja de Utilidad Pública longitudinalmente en más de tres (3) kilómetros de la longitud efectiva de construcción del proyecto.
Por otro lado, las Áreas Requeridas para la adquisición predial pueden incluir zonas de estabilidad y emergencias, para lo cual los casos particulares serán analizados y resueltos de acuerdo con lo establecido en el Apéndice Técnico 7, por lo cual dichas áreas pueden hacer parte del Corredor del Proyecto y por tanto pueden ser parte de la utilidad pública.</t>
  </si>
  <si>
    <t>Se aclara al interesado que la resolución de peajes se encuentra en proceso de revisión por parte del Ministerio de transporte, pero efectivamente será publicada antes a la presentación de la oferta. Se informa al interesado que como parte de los dcumentos del Pliego de Condiciones Definitivo se publicará el Borrador de Resolución radicado ante el Ministerio de Transporte.</t>
  </si>
  <si>
    <t>Se informa al interesado que se realizará el ajuste correspondiente el Apendice Tecnico 6, unificando las fechas del Plan de Trámites Ambientales según aparece en la tabla de referencias de la Parte Especial. Los ajustes se podran observar con los documentos del Pliego de Condiciones Definitivo.</t>
  </si>
  <si>
    <t>Es pertinente aclarar al interesado que el Artículo 2.2.2.3.8.4 del Decreto 1076 de 2015 del 26 de mayo de 2015, señala que “El beneficiario de la licencia ambiental en cualquier momento podrá cederla total o parcialmente, lo que implica la cesión de los derechos y obligaciones de ella se deriva (…)” y no cesión de responsabilidades. Es así que la ANLA ha señalado en diferentes actos administrativos que “la normativa vigente no contempla alguna posibilidad de cesión de los procesos sancionatorios, los cuales tienen el carácter de intuito personae, por lo cual, la cesión de derechos y obligaciones de una Licencia Ambiental o de un Plan de Manejo Ambiental no implica per se la cesión de los procesos sancionatorios promovidos con ocasión de las infracciones ambientales derivadas de los instrumentos de manejo ambiental, por las que está llamado a responder el titular del instrumento para la época de los hechos”. Por ende, ni procesos sancionatorios, ni multas serán objeto de cesión al adjudicatario de la concesión.
Para información las resoluciones de las licencias y los actos administrativos de seguimiento se encuentran publicados en la carpeta E3 del Cuarto de Información de Referencia.</t>
  </si>
  <si>
    <t xml:space="preserve">Se informa al interesado que la regulación frente a estos costos se refiere a los costos logísticos y de desarrollo de las consultas previas serán asumidos por el Concesionario. Los acuerdos derivados de las consultas se encuentran en el mecanismo compartido de costos expuesto en la misma Sección 8.1(d) de la Parte General.
Se informa que no se conocen solicitudes de reconocimiento de comunidades, sin embargo tal información corresponde a la debida diligencia del Oferente. En la carpeta E2 del Cuarto de Información de Referencia, se encuentran los comunicados y certificados del Ministerio del Interior en los que informa sobre las comunidades cercanas al área de influencia del Proyecto. Se aclara que esta información estará disponible a título meramente informativo acorde con las condiciones de la Sección 1.7 Cuarto de Información de Referencia del Pliego de Condiciones. </t>
  </si>
  <si>
    <t>Se informa al interesado que las condiciones para el Acta de Inicio de la Fase de Construcción, ya incluyen en la Sección 4.4 (h) haber obtenido las Licencias y Permisos, incluida la Licencia Ambiental de ser procedente, para el inicio de las Intervenciones de la primera Unidad Funcional. Se aclara que según el tipo de Intervención no todas requieren Licencia Ambiental y el Concesionario definirá la estrategia de licenciamiento en el Plan de Trámites Ambientales.</t>
  </si>
  <si>
    <t>Se informa al interesado que los alcances de los protocolos a establecer con la Policía de Carreteras, y cuales rubros se incluyen en la Subcuenta Policía de Carreteras, se desarrolla en la Sección 3.3.9. Policía de Carreteras del Apéndice Técnico 2. Estos protocolos al hacer parte del convenio a acordar con la Policía de Carreteras, en cuanto a insumos y equipos, está cubierto dentro de la Subcuenta Policía de Carreteras.</t>
  </si>
  <si>
    <t>Se informa al interesado que al respecto la Entidad considera que los indicadores relativos a (i) establecer los indicadores de disponibilidad, (ii) los indicadores de calidad, (iii) los indicadores de niveles de servicio, se encuentran recogidos en el Apéndice Técnico 4 y las actividades del Apéndice Técnico 2. Los indicadores en estos apéndices se definen con aplicaciones diferenciadas para la Unidad Funcional 0, y para las demás Unidades Funcionales. 
Respecto al punto (iv), los indicadores de construcción para las Unidades Funcionales de Construcción, se consideran las Especificaciones Técnicas recogidas en los Apéndices Técnicos 1 y 3 principalmente, considerando que la especificidad de aplicación de estas Especificaciones Técnicas en la construcción depende de los Estudios de Trazado y Diseño Geométrico y Estudios de Detalle que desarrolle el Concesionario. 
Respecto al punto (v), las especificaciones para el recibo parcial de unidades funcionales cuando se cumplan ciertos hitos o indicadores, se aclara que se toman los indicadores definidos en la Sección 4.17(a)(iii) de la Tabla de Referencias a la Parte General de la Parte Especial.</t>
  </si>
  <si>
    <t xml:space="preserve">Se aclara al interesado que la regulación pretende que los accesos a los predios aledaños tengan soluciones ante la afección puntual de la nueva construcción por lo tanto se refiere a la condición de desarrolabilidad existente. Una vez constituido el derecho de vía a través de la gestión predial será obligación de los propietarios de vía cumplir con las fajas de retiro de la Ley 1228 de 2008 y la resolución 716 de 2015 para los permisos para el uso, la ocupación y la intervención temporal de la infraestructura vial carretera. </t>
  </si>
  <si>
    <t>Se informa al interesado que la posibilidad de sobreplazos en trámites relativos a la gestión predial está recogida en la regulación del general de obligaciones del Contrato, por lo tanto no se estima necesario especificar más condiciones para esta Sección. Se recomienda reisar las regulaciones en el Contrato sobre la Fuerza Mayor Predial en la Sección 7.4, los Eventos Eximentes de Responsabilidad de la Sección 1.70, y los límites de plazos de las obligaciones de la gestión predial de la Sección 7.1(f).</t>
  </si>
  <si>
    <t xml:space="preserve">Se informa al interesado que no se acepta su observación. La ANI considera que los plazos previstos para la entrega del Plan de Trámites Ambientales, Inventario de Redes, Plan de Redes son razonables de acuerdo con el alcance de cada uno de ellos, y las características particulares de las intervenciones pactadas para el Proyecto. </t>
  </si>
  <si>
    <t xml:space="preserve">Se informa al interesado que la declaratoria de utilidad pública e interés social del Corredor del Proyecto se encuentra en trámite a cargo de la ANI y será expedida con los documentos del Pliego de Condiciones Definitivo. </t>
  </si>
  <si>
    <t>Se informa al interesado que su entendimiento no es correcto. Las obligaciones pendientes de cumplimiento están definidas y se puede acceder al detalle de estas actividades en los actos administrativos de seguimiento, su alcance y costo podrá ser determinado por el Oferente bajo su propio riesgo. Adicionalmente el Contrato no establece líneas de base del costo de estas obligaciones que permitan definir sobrecostos.
Para información, tanto las licencias como sus actos administrativos de seguimiento se encuentran publicados en la carpeta E3 del Cuarto de Información de Referencia.</t>
  </si>
  <si>
    <t>Se informa al interesado que el factor de calidad es una condición que se lleva a cabo sólo si el oferente adjudicatario lo incluye en su oferta, al no hacer parte del alcance básico no pertenece a los estudios de estructuración. Adicionalmente se informa que la información de presupuestos del proyecto tiene reserva legal según el artículo 11 de la Ley 1508 de 2012.</t>
  </si>
  <si>
    <t xml:space="preserve">Se aclara al interesado que en tramos que por su condición urbana rige el POT o instrumentos de ordenación equivalentes, la sección vial y franja se define según estos planes, esto según el Decreto 2916 de 2010 que regula lo particular de la Ley 1228 de 2008 sobre pasos urbanos. Los Estudios de Trazado y Diseño Geométrico que debe elaborar el Concesionario, definen la franja final de compra, para lo cual debe tener en cuenta las condiciones definidas en el Apéndice Técnico 1, así mismo el análisis de Áreas Requeridas que describe el Apéndice Técnico 7. </t>
  </si>
  <si>
    <t>Se informa al interesado que los Estudios de Trazado y Diseño Geométrico que debe elaborar el Concesionario definen la franja final de compra. En las zonas rurales con nuevas calzadas, depende de la aplicación de la Ley 1228 de 2008, no obstante deberán realizarse los análisis de Áreas Requeridas que describe el Apéndice Técnico 7.</t>
  </si>
  <si>
    <t>Se informa al interesado que no se considera procedente la solicitud, por cuanto el Cronograma de Adquisición de Predios, el Cronograma de Trabajo Predial, el Plan de Trámites Ambientales y el Plan de Redes enunciados por el interesado, son relevantes para la gestión y seguimiento de los riesgos que parcialmente asume la ANI, en los efectos favorables y/o desfavorables derivados de las variaciones en el valor estimado de Predios, el valor de las Compensaciones Socioambientales, el valor del traslado y/o intervención de Redes, y en las Obras Menores.</t>
  </si>
  <si>
    <t xml:space="preserve">Se informa al interesado que los municipios afectos al mencionado Proyecto son los que contienen los tramos que hacen parte del Proyecto. Su definición dependerá de los Estudios de Trazado y Diseño Geométrico que adelante el Concesionario, así como del ofrecimiento del Factor de Calidad.
Para información, según los estudios del Cuarto de Información de Referencia, dichos municipios son Cali, Palmira, Jamundí, Candelaria, Yumbo, Villarica, Puerto Tejada, Santander de Quilichao, El Cerrito, Ginebra, Guacarí, Buga, Yotoco y Vijes. Con el Factor de Calidad se incluye a Caloto.
</t>
  </si>
  <si>
    <t>Se informa al interesado que la resolución de peajes se encuentra en proceso de revisión por parte del Ministerio de transporte, pero será publicada antes a la presentación de la oferta. De forma indicativa, se informa que la estructura tarifaria de la resolución en trámite es similar a la existente para las mismas estaciones de peaje.</t>
  </si>
  <si>
    <t>Se informa al interesado que si bien la resolución de peaje del proyecto se encuentra en trámite en el Ministerio de Transporte, de forma indicativa se informa que la estructura tarifaria de la resolución en trámite es similar a la existente actualmente en los mismos peajes, incluyendo las condiciones de tarifas diferenciales en las categorías especiales que se utilizan en las estaciones de peaje de Villa Rica, Estambul, CIAT, Rozo y Cencar. En tal sentido el entendimiento es correcto que la obligación se refiere exclusivamente a las tarifas diferenciales que están preestablecidas expresamente en la estructura tarifaria contenida en la Resolución de Peajes.
Para mayor claridad del interesado, puede consultar las resoluciones que actualmente definen las tarifas diferenciales en categorías especiales y que son de acceso público. En estas resoluciones se encuentran los requisitos para el otorgamiento de las tarifas diferenciales. 
Respecto a las tarjetas inteligentes, se informa que desde el año 2006 se adoptaron como mecanismo de identificación para los vehículos beneficiarios de tarifas diferenciales. Por lo tanto su aplicación se deriva del cumplimiento de la Resolución de Peajes correspondiente.</t>
  </si>
  <si>
    <t>Se aclara al interesado que la Entidad considera que el acuerdo con la Policía y la  condición de que esta es una subcuenta de monto agotable, es claro para dicha institución y por lo tanto la misma deberá cumplir con sus obligaciones independiente de si los recursos son suficientes o no.</t>
  </si>
  <si>
    <t>Se confirma su entendimiento por cuanto la Sección 4.11(f) trata del cambio en las Especificaciones Técnicas derivado del cambio en la Ley Aplicable, por lo tanto cubre las Especificaciones Técnicas del Apéndice Técnico 3 y su anexo del plan de gestión de riesgos de desastres.</t>
  </si>
  <si>
    <t>Se informa al interesado que los plazos y condiciones de la Fuerza Mayor Ambiental se modificaron en la Sección 8.1(h) de la Parte General. En tal sentido se dividen los tipos de Fuerza Mayor Ambiental, una para la Licencia Ambiental y otra para la expedición o modificación de permisos, concesiones y autorizaciones ambientales, y en ambos casos la Fuerza Mayor Ambiental aplica si transcurriere más del cincuenta por ciento (50%) adicional del tiempo máximo establecido por la Ley Aplicable Estos cambios los podrán consultar con la publicación de los Pliegos Definitivos.</t>
  </si>
  <si>
    <t xml:space="preserve">Se informa al interesado que la entidad acepta parcialmente su observacion, ajustando la regulación en el Contrato Parte General, sección 7.2 (b), quedando así: "el remanente de los recursos de la Subcuenta Predios será distribuido entre el Concesionario y la ANI en una proporción cuarenta y cuatro (44)/cincuenta y seis (56) respectivamente"  </t>
  </si>
  <si>
    <t xml:space="preserve">Se informa al interesado que la entidad acepta parcialmente su observacion, ajustando la regulación en el Contrato Parte General, sección 8.1 (c)(ii) quedando así: "el remanente de los recursos de la Subcuenta Compensaciones Socioambientales será distribuido entre el Concesionario y la ANI en una proporción cuarenta y cuatro (44)/cincuenta y seis (56) respectivamente"  </t>
  </si>
  <si>
    <t xml:space="preserve">Se informa al interesado que la entidad acepta parcialmente su observacion, ajustando la regulación en el Contrato Parte General, sección 8.2 (d) quedando así: "el remanente de los recursos de la Subcuenta Redes  de haberlo, será distribuido entre el Concesionario y la ANI en una proporción cuarenta y cuatro (44)/cincuenta y seis (56) respectivamente"  </t>
  </si>
  <si>
    <t>Se informa al interesado que la entidas acepta parcialmente su observación, ajustando los porcentajes que le corresponde asumir al Concesionario y a la ANI, este modificación se encuentra en el Contrato Parte General sección 8.1 (d)</t>
  </si>
  <si>
    <t>Respecto a la observación, se considera que los 8 peajes del proyecto, permiten realizar un manejo adecuado del riesgo por parte del concesionario y los mismos son considerados una fuente de pago adecuada para la consecución de las fuentes de financiación del proyecto. Dicho lo anterior la entidad acepta parcialmente su observación e incluye en el Contrato Parte Especial  sección 4.5 el Valor del Soporte de Ingresos.</t>
  </si>
  <si>
    <t>La entidad acoge parcialmente su observación, ajustando los montos a aportar por el Concesionario, el ajuste se puede observar en el Contrato Parte Especial  sección 4.7 (a)</t>
  </si>
  <si>
    <t>La entidad acepta parcialmente su observación, ajustando los montos a aportar por el Concesionario, el ajuste se puede observar en el Contrato Parte Especial  sección 4.7 ©</t>
  </si>
  <si>
    <t xml:space="preserve">Se informa al interesado que no se acepta su observación. Efectivamente los riesgos de obtención de rentabilidad del negocio, obtención del VPIP y financiación del proyecto están asignados al Concesionario de acuerdo con las secciones 13.2 (xviii), (xxi) y  (xxv) de la Parte General del contrato. Sin embargo, la entidad informa que se incluirá el mecanismo de Soporte de Ingresos con el fin de facilitar la financiación del proyecto y se incluye también la compensación por Restricción de Movilidad que minimizan los efectos de la coyuntura actual, modificación que se podrá evidenciar en la minuta que se publicará con Pliegos Definitivos.   </t>
  </si>
  <si>
    <t xml:space="preserve">Se acepta la observación y se realiza el  ajuste en la sección 4.3.6 (a) (iii) quedando de la siguiente forma: "... y/o hasta que se realicen los Giros de Equity de que trata la Sección 4.4 de la Parte Especial del Contrato de Concesión". </t>
  </si>
  <si>
    <t>La entidad ha considerado pertinente por la conyuntura actual incorporar un riesgo asociado a la restricción de la movilidad, este se encuentra en el Contrato Parte General sección 13,3 (y) con la respectiva compensación al concesionario en caso de que se active este riesgo.</t>
  </si>
  <si>
    <t>Todos los eventos que pueden ser asociados al Público están regulados en la sección 3.3 del Contrato, relacionados a eventos que generen Menor Recaudo distintos al riesgo comercial.  Adicionalmente se informa al interesado que la Entidad va a incluir en el Contrato Parte Especial  sección 4.5 el Valor del Soporte de Ingresos.</t>
  </si>
  <si>
    <t>Se infroma al interesado que se acepta su observación y se ajusta la redacción en el Contrato Parte General sección 3.8 (a)(i)</t>
  </si>
  <si>
    <t>Se informa al interesado que se acepta su observación y se modificó la redacción mencionada en el Contrato Parte General en esta sección de energia: (b) En el caso que el Concesionario opte por presentar en el plazo del Cierre Financiero la certificación emitida por el(los) Prestamista(s) indicada en la Sección 3.8(a)(i) de esta Parte General, el Concesionario contará con el plazo establecido en la Parte Especial contando desde la fecha de suscripción del Acta de Inicio de la Fase de Construcción para presentar el contrato de crédito suscrito o una certificación emitida por el(los) Prestamista(s) en la que conste que el contrato de crédito fue suscrito, que contenga al menos lo siguiente: (i) valor del crédito; (ii) acreedor; (iii) garantías; (iv) plazo para el pago; (v) tasa; (vi) condiciones para el desembolso.</t>
  </si>
  <si>
    <t xml:space="preserve">La entidad considera pertinente la observación, por lo que se informa al Interesado que se realizarón los ajustes correspondientes a los montos del giros de equity en el Contrato Parte Especial sección 4.6. </t>
  </si>
  <si>
    <t>Se informa al interesado que la entidad acepta parcialmente su observacion, ajustando la regulación en el Contrato Parte General, para las Subcuentas de Predios, Compensaciones Socioambientales y Redes, quedando que el remanente de haberlo, será distribuido entre el Concesionario y la ANI en una proporción cuarenta y cuatro (44)/cincuenta y seis (56) respectivamente.</t>
  </si>
  <si>
    <t xml:space="preserve">Se informa al interesado que la entidad acepta su observación y realiza los ajustes en el Contrato Parte General en el capitulo 3.14, regulando que los rendimientos de las subcuentas predial, ambiental y redes acrecentarán la subcuenta respectiva.   Respecto a los rendimientos de la subcuenta Policía de Carreteras, los rendimientos de esta subcuenta son trasladados de manera mensual a la Subcuenta de Excedentes ANI, como mecanismo de liquidez para compensar aquellos riesgos a cargo de la ANI, que se puedan materializar dentro del contrato. </t>
  </si>
  <si>
    <t>Se informa al interesado que la entidad acepta parcialmente su observacion, los rendimientos de la subcuenta retenciones si acrecentarán dicha subcuenta, y los rendimientos de la subcuenta tiquetes prepagados serán trasladados a la subcuenta excedentes ANI, como mecanismo de liquidez para compensar aquellos riesgos a cargo de la ANI, que se puedan materializar dentro del contrato.</t>
  </si>
  <si>
    <t>La entidad realizo los ajustes pertinentes incluyendo en el Contrato Parte Especial  sección 4.5 el Valor del Soporte de Ingresos.</t>
  </si>
  <si>
    <t>Se aacepta parcialmente la observación del interesado, la entidad ha modificado el monto del Cupo de Crédito en la sección 4.3.6</t>
  </si>
  <si>
    <t>Se Iinforma la interesado que se acepta su observación, la entidad ha modificado el monto del Cupo de Crédito en la sección 4.3.6</t>
  </si>
  <si>
    <t>Se Iinforma la interesado que se acepta su observación, la entidad ha modificado el monto del Cupo de Crédito en la sección 4.3.6. Adicionamente se modifican los montos de los Giros de Equity establecidos en el contrato parte especial sección 4.6</t>
  </si>
  <si>
    <t xml:space="preserve">Respecto a la observación, se considera que  los 8 peajes del proyecto, permiten realizar un manejo adecuado del riesgo por parte del concesionario y los mismos son considerados una fuente de pago adecuada para la consecución de las fuentes de financiación del proyecto independiente del impacto coyuntural actual.   Se informa al interesado que también se incluye la compensación por Restricción de Movilidad que minimizan los efectos de la coyuntura actual, modificación que se podrá evidenciar en la minuta que se publicará con Pliegos Definitivos.   </t>
  </si>
  <si>
    <t>Se informa al interesado que la entidad acepta parcialmente su observacion, ajustando la regulación en el Contrato Parte General, para las Subcuentas de Predios y Compensaciones Socioambientales, quedando que el remanente de haberlo, será distribuido entre el Concesionario y la ANI en una proporción cuarenta y cuatro (44)/cincuenta y seis (56) respectivamente.</t>
  </si>
  <si>
    <t>Respecto a la observación, se considera que los 8 peajes del proyecto permiten realizar un manejo adecuado del riesgo por parte del concesionario y los mismos son considerados una fuente de pago adecuada para la consecución de las fuentes de financiación del proyecto. Dicho lo anterior la entidad acepta parcialmente su observación e incluye en el Contrato Parte Especial  sección 4.5 el Valor del Soporte de Ingresos.</t>
  </si>
  <si>
    <t>Se aclara al interesado que se acepta parcialmente su observación en el sentido que la definición de Evento Eximente de Responsabilidad es clara en el contrato, sin embargo, la entidad ha considerado por la conyuntara actual incorporar un riesgo asociado a la restricción de la movilidad este se encuentra en el Contrato Parte General sección 13,3 (y).</t>
  </si>
  <si>
    <t>Se aclara al interesado que el mes "t" es el mes en el que se presenta el desacuerdo entre las Partes.</t>
  </si>
  <si>
    <t>respuesta enviada por luz elena el 2 de septiembre</t>
  </si>
  <si>
    <t>No se acepta la solicitud del interesado, La ocurrencia  de un evento como el COVID 19 resulta  imprevisible e irresistible, en la medida en que tal y como lo señala  el Consejo de Estado: “imprevisible es aquello que, pese a que pueda haber sido imaginado con anticipación, resulta súbito o repentino o aquello que, no obstante la diligencia y cuidado que se tuvo para evitarlo, de todas maneras acaeció, con independencia de que hubiese sido mentalmente figurado, o no, previamente a su ocurrencia" e irresistible, “como elemento de la causa extraña, consiste en la imposibilidad del obligado a determinado comportamiento o actividad para desplegarlo o para llevarla a cabo", por lo tanto se indica al interesado  que un evento de estas características es considerado como una Fuerza Mayor tal y como este está definido para efectos del Contrato de Concesión.
Adicionalmente se precisa al interesado que la Minuta del Contrato contendrá un mecanismo que antenderá los efectos generados por la ocurrencia de una situación como la del COVID 19, especificamente aquel relacionado con la disminución en el flujo de ingresos del Proyecto, siempre y cuando tal disminución se de con ocasión un evento o serie de eventos relacionados directamente con la declaratoria de un estado constitucional de excepción y/o por un estado de emergencia, por decisión de una Autoridad Estatal del orden nacional, que restrinja la movilidad y/o libre circulación, tales como órdenes de confinamiento o restricciones vehiculares, que generen un impacto atípico, significativo y directo en el tráfico de alguno de los corredores del Proyecto, causando un menor Recaudo de Peaje, exclusivamente durante el periodo en el que se haya materializado dicho evento. La minuta también incluirá las condiciones y forma en que se compensará dicho menor recaudo.</t>
  </si>
  <si>
    <t xml:space="preserve">Se informa al interesado que no se acepta su observación, el Concesionario se obliga a mantener indemne a la ANI de cualquier reclamación proveniente de terceros y que se deriven de sus actuaciones o de las de sus Contratistas, subcontratistas o dependientes.
Por su parte, se informa al interesado que la sección de Fuerza Mayor Ambiental fue objeto de ajuste, el cual se podrá evidenciar en la minuta aplublicar con el Pliego de Condiciones defintivo </t>
  </si>
  <si>
    <t>Se informa al interesado que no se acepta su observación. La ANI considera que el plazo establecido en la Sección 6.1 (c) como plazo máximo para dar aplicación a la Sección 11.1 de la Parte General, es razonable y se ajusta a las necesidades del Proyecto.</t>
  </si>
  <si>
    <t xml:space="preserve">Se aclara al observante que la aplicación de la Multa señalada en la Parte Especial del Contrato de Concesión - Sección 6.1(u), se mantendrá hasta tanto se  cumpla con la obligación. En todo caso esta precision se incluira en la Parte Especial que se publicará con Pliego de Condiciones Definitivo </t>
  </si>
  <si>
    <t xml:space="preserve">Agradecemos reformular la observación, ya que la misma no es clara </t>
  </si>
  <si>
    <t xml:space="preserve">Se aclara al interesado que la regulación establecida en la Sección 6.3 de la Parte General, no afecta la capacidad y libertad que tendrá el Concesionario para realizar las optimizaciones de sus Estudios y Diseños dentro de la franja declarada de utilidad pública. Lo anterior se regula de manera que puedan alinearse los incentivos de las modificaciones sobre el diseño y las asignaciones de riesgos correspondientes del contrato en la medida en que un movimiento significativo del trazado puede materializar desproporcionadamente un riesgo compartido, lo cual afecta en mayor medida a la entidad. 
Por lo anterior, no se acoge la solicitud del observante consistente en la eliminación de la Sección. No obstante, se informaal interesado que la entidad realizará ajustes que permitan ampliar el límite relacionado a la franja, estos se verán reflejados en el Pliego de Condiciones definitivo </t>
  </si>
  <si>
    <t>Se informa  al interés que no se acepta su observación. La Entidad considera que el plazo máximo previsto para el Plazo de Cura es razonable.</t>
  </si>
  <si>
    <t>Una vez revisada la observación del interesado se realizará el ajuste en la minuta del contrato a publicar con los pliegos definitivos, señalando que los rendimientos generados por retenciones en aplicación de lo dispuesto en las secciones 4.17 a) vii) y 14.i c)  de la Parte General serán de propiedad del concesionario, una vez  se levante la respectiva Retención .</t>
  </si>
  <si>
    <t xml:space="preserve">En atención a la observación del interesado se realiza la modificación en la minuta, estableciendo que el primer pago del 30% de la comisión de éxito se realizará una vez constituido el Patrimonio autónomo </t>
  </si>
  <si>
    <t>Se informa al interesado que  el incumplimiento se predicará sólo cuando el mismo sea imputable al Concesionario. Así mismo, se aclara que para la imposición de Multas por incumplimiento del Concesionario deberán surtirse los procedimientos establecidos en el Contrato.</t>
  </si>
  <si>
    <t xml:space="preserve">Se informa al interesado que el plazo establecido en la definicion de Fuerza Mayor, se considera adecuado por lo que no se acepta su observacion. </t>
  </si>
  <si>
    <t xml:space="preserve">Se aclara al interesado que la regulación establecida en la Sección 6.3 de la Parte General, no afecta la capacidad y libertad que tendrá el Concesionario para realizar las optimizaciones de sus Estudios y Diseños dentro de la franja declarada de utilidad pública. Lo anterior se regula de manera que puedan alinearse los incentivos de las modificaciones sobre el diseño y las asignaciones de riesgos correspondientes del contrato en la medida en que un movimiento significativo del trazado puede materializar desproporcionadamente un riesgo compartido, lo cual afecta en mayor medida a la entidad. </t>
  </si>
  <si>
    <t>Se aclara al interesado que de conformidad con la definición dada por el Artículo 1° de la Ley 1508, se tiene que las Asociaciones Público Privadas son un instrumento de vinculación de capital privado, que se materializan en un contrato entre una entidad estatal y una persona natural o jurídica de derecho privado, para la provisión de bienes públicos y de sus servicios relacionados, que involucra la retención y transferencia de riesgos entre las partes y mecanismos de pago, relacionados con la disponibilidad y el nivel de servicio de la infraestructura y/o servicio uno de los principios que debe guiar estas asociaciones es que la distribución de los riesgos debe hacerse en cada caso atendiendo a cuál de las partes está mejor capacitada para administrarlos “(…) buscando mitigar el impacto que la ocurrencia de los mismos pueda generar sobre la disponibilidad de la infraestructura y la calidad del servicio” .
Posteriormente el numeral 11.3 del Artículo 11 de la Ley 1508, que determina los requisitos para abrir procesos de selección para la ejecución de proyectos de APP de Iniciativa Pública, señala:
“(…)
11.3 Justificación de utilizar el mecanismo de asociación público privada como una modalidad para la ejecución del proyecto, de conformidad con los parámetros definidos por el Departamento Nacional de Planeación. Los análisis señalados en este numeral deberán contar con concepto previo favorable del Departamento Nacional de Planeación o de la entidad de planeación de la respectiva entidad territorial. Para el anterior concepto, se deberá contar con la aprobación del Ministerio de Hacienda y Crédito Público respecto de las valoraciones de las obligaciones contingentes que realicen las Entidades Estatales, en desarrollo de los Esquemas de Asociación Público Privada, en los términos definidos en la Ley 448 de 1998.
Del análisis de las disposiciones normativas transcritas se puede concluir que, el análisis de riesgos del proyecto de Asociación Público Privada de Iniciativa Pública, debe ser construida atendiendo exclusivamente el siguiente lineamiento: 
1) Tipificación, estimación y asignación definitiva de los riesgos del proyecto de acuerdo con los criterios establecidos en la Ley 80 de 1993, la Ley 448 de 1998, la Ley 1150 de 2007, los documentos CONPES y las normas que regulen la materia.
En la medida que la Ley 448 de 1998 es una norma especial, respecto a la valoración de riesgos públicos y, aplicando el criterio de especialidad contenido en el Artículo 5° de la ley 53 de 1887, según el cual la norma especial prima sobre la general se tiene que todo contrato enmarcado en la Ley 1508 de 2012, se regirán por lo dispuesto en la Ley 448 y el Decreto 423, en el evento que pacten contractualmente Obligaciones Contingentes.  
En consideración a lo anterior es incorrecto afirmar que la matriz de riesgos hace parte del Contrato de Concesión, pues como se señaló, por mandato legal las obligaciones contingentes sólo pueden ser asumidas contractualmente, en la medida que, al ser una obligación de pago de una suma de dinero, la obligación que ella reconoce debe ser clara, expresa y exigible contractualmente,  razón por la cual a lo largo del Contrato de Concesión no se encuentra ninguna Sección que relacione de manera directa o haga referencia directa a la matriz de riesgos y mucho menos a la calificación dada a los riesgos -probabilidad e impacto-, toda vez que ésta no hace parte de los documentos que integran el mismo.
Por consiguiente, se precisa al interesado que la matriz de riesgos tan sólo es un instrumento metodológico utilizado en las etapas para el adecuado análisis de riesgos de que trata la “Metodología, Valoración y Seguimiento de Riesgos en Contratos Estatales”, siendo un producto de la asignación definitiva efectuada en la minuta de Contrato de Concesión, basada en los lineamientos de la política de riesgos contractual del Estado Colombiano a través de los documentos CONPES 3760, 3107 y 3133.</t>
  </si>
  <si>
    <t>1. Se informa al interesado que las causales de terminación del Contrato son aquellas listadas en la Sección 17.2 y no únicamente las previstas por el artículo 17 de la Ley 80 de 1993. La Terminación Anticipada por decisión unilateral de la ANI,  es una causal prevista en virtud de lo autorizado por el artículo 32 de la Ley 1508 de 2012., el cual faculta a las entidades estatales en Contratos de APP de terminar unilateralmente el Contrato siempre que se incluya una fórmula matemática que permita  determinar las eventuales prestaciones recíprocas entre las Partes por ocurrir dicha terminación, sin tener en consideración los presupuestos establecidos en el Artículo 17 de la Ley 80 de 1993 o en las normas que lo modifiquen, complementen o sustituyan. 
2. Así mismo se informa que en el evento en que la ANI decida terminar el Contrato con base en lo establecido por el artículo 17 de la Ley 80 de 1993, y teniendo en cuenta que la mencionada causal prevista en la ley no obedece a una situación  explicita, se indicará en su momento al Concesionario los motivos por los cuales las exigencias del servicio público o situación de orden público lo imponga, de conformidad a las circunstancias que se evidencien en ejecución del contrato .</t>
  </si>
  <si>
    <t>Se informa al interesado que la Entidad tendrá en cuenta su observación y realizará los ajustes pertinentes en el documento definitivo. Para el caso de Fondos de Capital Privados extranjeros, deberán presentar una certificación suscrita por el fund manager, o quien haga sus veces de conformidad con lo establecido por la ley del lugar de constitución del Fondo, en la que conste cumplir los requisitos de admisibilidad de inversiones establecidos por la Superintendencia Financiera de Colombia para los fondos de pensiones.</t>
  </si>
  <si>
    <t xml:space="preserve">En atención a la observación del interesado se ajustará plazo observado y se realizará los ajustes que se estimen adecuados para el desarrollo del procedimiento de compra de plazo. Este ajuste  estará incluido en la minuta a publicar con Pliegos Definitivos </t>
  </si>
  <si>
    <t xml:space="preserve">Se informa  al interesado que la regulacion actual se considera adecuada, toda vez que se considera necesario que la cuenta de cobro cuente con aprobacion tanto de la inetrventoria como de la ANI para proceder al pago., por lo anteriro no se acepta su observación </t>
  </si>
  <si>
    <t>No se acepta la solicitud del interresado, se informa que las multas previstas en la Parte Especial se causarán en el evento en que exista un hecho de incumplimiento imputable al Concesionario en ejecución del Contrato y la imposición de las mismas se regirá de acuerdo con lo señalado en el artículo 86 de la Ley 1474 de 2011 o las normas que lo modifiquen, complementen o sustituyan.</t>
  </si>
  <si>
    <t xml:space="preserve">Se informa al interesado que no se acepta su observación. La Entidad realizó una adecuada presupuestación de la subcuenta observada durante la etapa de estructuración y considera que es poco probable que existan variaciones que puedan generar incertidumbres significativas para los financiadores en este sentido. 
De igual manera se aclara que el mecanismo asociado por estos posibles fondeos adicionales es análogo a otros riesgos que son contemplados en las estructuras de financiación típicamente, por lo que no se considera necesario efectuar precisiones o modificaciones adicionales. 
Aunado a lo anterior, es imporntante recordarle al interesado la obligación que asumirá el concesionario con la suscripción del contrato de concesión objeto del presente proceso de selección, contenida en la Sección 3,8(g) de la Parte General, en la cual se señala que: "(g) La obtención del Cierre Financiero será por cuenta y riesgo del Concesionario y en nada limita, excluye o excusa su obligación de procurar la totalidad de recursos necesarios para llevar a cabo todas las obligaciones del Contrato en los plazos y condiciones establecidos por el mismo, incluso si los Recursos de Deuda que requiera el Proyecto deben ser mayores a los comprometidos a través del Cierre Financiero. " (destacado fuera de texto). </t>
  </si>
  <si>
    <t xml:space="preserve">Se informa al interesado que no se acepta su observación. La ANI considera que  de acuerdo con lo establecido en la Sección 3.8(d) de la Parte General se habilita la posibilidad de que los Prestamistas sean inversionistas en infraestructura como el caso de hedge funds o empresas administradoras de activos. </t>
  </si>
  <si>
    <t xml:space="preserve">Se inform al iteresado que la seccion encargada de regular las Sanciones en Parte General y Especial fue objeto de ajuste, estas modificaciones se podrán evienciar en la minuta que se publicará con pliego de condiciones definitivo </t>
  </si>
  <si>
    <t xml:space="preserve">Se inform al iteresado que la seccion encargada de regular el procedimiento de toma de posesión  fue objeto de ajuste, estas modificaciones se podrán evienciar en la minuta que se publicará con pliego de condiciones definitivo </t>
  </si>
  <si>
    <t xml:space="preserve">SE informa al interesado que la fomra de pago de la comision de éxito al estructurador integral fue objeto de ajuste en la parte especial, señalandose que el primer pago equivalente al 30% se pagará una vez cosntituido el patrimonio autonomo. Este ajuste se podrá evidenciar en la minuta que se publicará con el pliego de condiciones defintivo </t>
  </si>
  <si>
    <t xml:space="preserve">La Entidad no considera procedente la solicitud toda vez que tal y como es explícito en la regulación contractual dichos saldos se transferirán al nuevo operador de la vía. </t>
  </si>
  <si>
    <t>La ANI considera que dicha información no puede ser tenida en cuenta como criterio de interpretación del Contrato toda vez que es información entregada por el Concesionario. Esta información sólo podrá ser tomada o no en cuenta por la ANI como referencia para efectos de negociaciones entre las Partes y/o definir el valor de las variables de las fórmulas de liquidación del Contrato. Si bien es cierto que las partes pueden hacer uso de la Información Financiera en ejecución del Contrato, en ningún momento podrá ser tomado como criterio de interpretación de este, toda vez que la misma es entregada exlcusivamente por el Concesionario a través del Apéndice Financiero 1. De acuerdo con lo anterior, se informa al interesado que no se acepta su observación</t>
  </si>
  <si>
    <t>La definición a la que se refiere el comentario hace mención a la responsabilidad y riesgo a cargo del Concesionario relacionada al cumplimiento de todas las obligaciones de resultado que en este Contrato se establecen, por lo cual no se hace necesario incluir que son las obligaciones indicadas expresamente en el Contrato. Ahora bien, esto es coherente con el desarrollo de la regulación de asignación de riesgos del Contrato se encuentra en el Capítulo XIII.
Se aclara que la Sección 3.6(f) define condiciones específicas de la Entrega de la Infraestructura y no elimina la obligación de elaborar el Inventario de Activos de la Concesión.</t>
  </si>
  <si>
    <t xml:space="preserve">Se aclara al interesado que el aparte observado excluye del riesgo asignado la variación entre estimación de cantidades y los que realmente existieron en el mercado y fueron negociados para el momento de ejecución de las obras. </t>
  </si>
  <si>
    <t xml:space="preserve"> No se considera procedente la observación, y el plazo mencionando es  razonable para que el Concesionario pueda  someter la controversia  al Amigable Componedor. </t>
  </si>
  <si>
    <t xml:space="preserve">Se informa al interesado que no se acepta su observación. El Oferente que pretenda acreditar Requisitos Habilitantes a través de sociedades controladas, sociedades controladas por su matriz o por su matriz, sólo podrá acreditar control por participación accionaria debidamente registrado. No se permitirá acreditar control conjunto. </t>
  </si>
  <si>
    <t xml:space="preserve">Se informa al interesado que no se acepta su observación. El Oferente que pretenda acreditar Requisitos Habilitantes a través de sociedades controladas, sociedades controladas por su matriz o por su matriz, sólo podrá acreditar control por participación accionaria. No se permitirá acreditar control indirecto. </t>
  </si>
  <si>
    <t>Se informa al interesado que no se considera necesario realizar el ajuste sugerido, el Contrato Adjudicado será un contrato de concesión bajo el esquema de asociación público privada de iniciativa pública, de conformidad con el articulo 2 de la ley 1508 de 2012</t>
  </si>
  <si>
    <t>Se aclara al interesado que de acuerdo con lo indicado por la Sección 17.3 de la Parte General, en el evento en que los Prestamistas decidan no continuar con la ejecución del Contrato, la ANI podrá, previa terminación del Contrato, iniciar un nuevo proceso de selección para contratar un nuevo concesionario  que continúe con la ejecución del Proyecto, y/o adoptar todas las demás medidas que sean procedentes de conformidad con la Ley Aplicable para garantizar la ejecución del Contrato. 
De acuerdo con lo anterior, no se considera necesario efectuar la aclaración propuesta.</t>
  </si>
  <si>
    <t xml:space="preserve">Se informa al interesado que no se considera necesario realizar el ajuste sugerido, el Contrato Adjudicado será un contrato de concesión bajo el esquema de asociación público privada de iniciativa pública, de conformidad con el articulo 2 de la ley 1508 de 2012 </t>
  </si>
  <si>
    <t xml:space="preserve">Se informa al interesado que no se acepta su observación. La suscripción del Acta de Inicio está debidamente regulada en el Contrato, así como los eventos en los cuales no pueda suscribirse. Se precisa que para este proyecto la entrega de la infraestructura es una condición precedente para la suscripcion del Acta de Inicio </t>
  </si>
  <si>
    <t xml:space="preserve">Se informa al interesado que no se acepta su observación. La ANI considera que la declaración contenida en la Sección 2.6(b)(v) es completa y suficiente toda vez que cubre todos los aspectos indicados. </t>
  </si>
  <si>
    <t xml:space="preserve">Se informa al inetresado que la sección observada fue objeto de ajuste, estos cambios se podrán evidenciar en la minuta que se publicará con Pliego de condiciones defintivo </t>
  </si>
  <si>
    <t xml:space="preserve">Se informa al interesado que los plazos se consideran adecuados y suficentes para el procedimiento establecido, por lo que no se acepta su observación </t>
  </si>
  <si>
    <t>Se informa al interesado que no es necesario realizar la aclaración propuesta. De acuerdo con lo señalado por la Sección 7.2(e), los montos a cargo de la ANI serán aportados oportunamente y cuando se necesiten por el Concesionario. Lo anterior implica que la ANI deberá hacer este aporte en un término que se considere razonable bajo las circunstancias del caso, en el entendido que la ANI cumplirá sus compromisos contractuales previo el agotamiento de los trámites legales aplicables, especificamente los de indole presupuestal. 
Este aporte se realizará de acuerdo con la cascada de pagos establecida en la Sección 13.4. del Contrato. En todo caso, se informa al interesado que en el evento en que los recursos allí establecidos no sean suficientes, la ANI deberá gestionar la inclusión en su propio presupuesto de los recursos necesarios. Bajo este escenario aplicará lo establecido por la Sección 3.6(b) de acuerdo con la cual  el plazo para el cumplimiento de las obligaciones de pago será de quinientos cuarenta (540) Días contados desde el surgimiento de la respectiva obligación, de forma tal que la ANI pueda agotar los requisitos presupuestales y de tesorería en el marco de la Ley Aplicable.</t>
  </si>
  <si>
    <t xml:space="preserve">Se informa al interesado que la ANI no considera necesario hacer la aclaración propuesta. La ecuación contractual tendrá en cuenta los riesgos asigandos al Concesionario, los cuales asume de acuerdo con lo establecido por el Contrato y aquellos asociados a la ejecución de sus obligaciones en virtud del mismo. Esa asunción la hace el Concesionario desde el momento mismo en que presenta su Oferta y al momento de suscribir el Contrato. </t>
  </si>
  <si>
    <t xml:space="preserve">Se informa al interesado que no se considera necesario realizar la inclusión propuesta. La ANI considera que las condiciones exigidas para los Amigables Componedores son suficientes y permitirán obtener a un panel calificado para resolver las controversias. </t>
  </si>
  <si>
    <t xml:space="preserve">Se informa al interesado que no se acepta su observación. La ANI considera que la asignación de facultades para el panel de Amigables Componedores y el Tribunal Arbitral es razonable y responde a las necesidades del Proyecto. </t>
  </si>
  <si>
    <t xml:space="preserve">Se informa al interesado que no se acepta su observación. Teniendo en cuenta que pueden existir controversias que se tornen altamente complejas y/o tomen mayor tiempo del usual para su solución, las Partes podrán aceptar la solicitud del Amigable Componedor y ajustar sus honorarios de acuerdo con las características del caso. </t>
  </si>
  <si>
    <t>Se informa al interesado que el límite máximo para los honorarios de los árbitros se encuentra indicado en la Sección 15.2(f) para el Arbitraje Internacional de acuerdo con lo establecido en la Sección 15.3 (d)(vii)</t>
  </si>
  <si>
    <t>Se informa al interesado que no se acepta su observación. El silencio positivo requiere estar contemplado de forma expresa. Esta situación se preve para aquellos eventos donde la ANI considera que los efectos del silencio administrativo positivo son razonables.
En consideracion a lo anterior y en lo que respecta a la Sección observada, se aclara al interesado que la ANI no considera razonable incluir un silencio administrativo positivo. En línea con lo dispuesto por el Consejo de Estado, si bien el concesionario tiene derecho a hacer solicitudes en el marco del contrato, no siempre tiene el derecho previo para que la respuesta sea afirmativa, expresa o presuntamente. En otras palabras, la jurisprudencia ha reconocido que el silencio no crea obligaciones sino que reconoce, autoriza o habilita derechos preexistentes del Concesionario. En este caso, la elección del tercero para ejecutar las Obras Menores es una decisión que está sujeta a autorización expresa de la ANI y, en este sentido no consideramos razonable incluir un silencio administrativo positivo.</t>
  </si>
  <si>
    <t xml:space="preserve">Se informa al interesado que las condiciones de monto, plazo y objeto de la Obras Complementarias serán las establecidas en la adición contractual que las partes suscriban para llevar a cabo las mismas. En esta medida, de acuerdo con las circunstancias específicas de la Obra Complementaria que sea requerida, se evaluará la posibilidad de otorgar un plazo adicional.  </t>
  </si>
  <si>
    <t xml:space="preserve">Se informa al interesado que no se acepta su observación. La ANI no incluirá una autorización automática de cesión toda vez que de acuerdo con lo establecido por el artículo 41 de la Ley 80 de 1993, los contratos estatales son intuitu personae y, una vez celebrados no podrán cederse sin previa autorización escrita de la entidad estatal contratante.
No obstante lo anterior, consideramos que bajo la situación propuesta, el Concesionario podrá solicitar la autorización de cesión toda vez que si se trata de los mismos accionistas, siempre y cuando se de cumplimiento a los requisitos establecidos en la Sección 19.6 de la Parte General. </t>
  </si>
  <si>
    <t xml:space="preserve">Se informa al interesado que no se acepta su observación. La Entidad considera que esta restricción es una medida razonable para evitar potenciales conflictos de interés y garantizar asi transparencia en ejecución del Contrato de Fiducia. 
Por su parte, se aclara al interesado que el Contrato de Fiducia es un contrato accesorio al Contrato de Concesión, situación que implica que el Concesionario asume ciertas obligaciones frente a la ANI para efectos de constituir el Patrimonio Autónomo. En esta medida, el concesionario está obligado a incluir los términos y condiciones señalados en la Sección 3.15 del Contrato de Concesión en el Contrato de Fiducia que suscriba con la respectiva Fiduciaria. </t>
  </si>
  <si>
    <t xml:space="preserve">Se informa al interesado que la entidad no considera necesaria la inclusión del término definido "Asociación Anterior" toda vez que las reglas del Pliego son claras. Específicamente se hace referencia a figuras asociativas constituidas para la ejecución de contratos anteriores. </t>
  </si>
  <si>
    <t xml:space="preserve">Se aclara al interesado que la redacción contenida en esta definición busca asegurar que se cumpla cualquier condición precedente establecida en el contrato para suscribir el Acta de Inicio de Fase de Construcción independiente de que esté taxativamente en la sección 4.4. La ANI considera que las condiciones son claras y por lo tanto no es necesario hacer el ajuste requerido. </t>
  </si>
  <si>
    <t xml:space="preserve">Se informa al interesado que la ANI ha tomado del Decreto 2555 de 2010 la definición de Beneficiario Real sin que ello implique la inaplicación de la Ley 1508 de 2012. La razón de adoptar la definición que trae el Decreto 2555 de 2010 se debe a que tiene un concepto más integral y comprensivo de lo que es un beneficiario real. Teniendo en cuenta lo anterior, no se acepta su observación. </t>
  </si>
  <si>
    <t>La Entidad no considera que pueda interpretarse que las decisiones del Director del Proyecto tendrán efecto de modificar los términos ni las obligaciones del Contrato. Por lo anterior no se acepta su observación.</t>
  </si>
  <si>
    <t>Se informa al interesado que la definición de elusion fue objeto de ajuste, el cual se podra evindenciar con la publicacion de pliego de condiciones definitivo .</t>
  </si>
  <si>
    <t xml:space="preserve">Se informa al interesado que la ANI considera que el porcentaje establecido en la definción de Fuerza Mayor general es razonable y por lo tanto no se acepta su observación. </t>
  </si>
  <si>
    <t xml:space="preserve">Se informa al interesado que no se acepta su observación, consistente en eliminar la definciónde Multa . La entidad modificará la Sección 10.1 sobre Multas y Sanciones con el fin de darle mayor claridad al documento. </t>
  </si>
  <si>
    <t xml:space="preserve">Se informa al interesado que no se acepta su observación. Es cierto que la ley aplicable al contrato es la vigente al momento de celebración del contrato, sin embargo, se recuerda al interesado que existen excepciones a ese principio de irretroactividad de la ley y por lo tanto, cuando se hace referencia a la Ley Aplicable, se hace referencia a la ley que aplique al Contrato en la República de Colombia, en cualquier momento. </t>
  </si>
  <si>
    <t xml:space="preserve">La entidad considera adecuada la definciónde obras menores, por lo anterior no se acepta su observación </t>
  </si>
  <si>
    <t xml:space="preserve">Se aclara al interesado que según la definición prevista en la Sección 1.67 de la Parte General, la Etapa de Reversión iniciará en uno de los siguientes momentos: i) a la Fecha de Terminación de la Etapa de Operación y Mantenimiento o, ii) cuando se declare la Terminación Anticipada del Contrato en cualquiera de sus etapas.
En adición a lo anterior, para el evento de una Terminación Anticipada del Contrato, en la definición contenida en la Sección 1.149  el Plazo Máximo de la Etapa de Reversión -180 Días- podrá ampliarse por decisión autónoma y exclusiva de la ANI en cualquier término adicional, hasta un máximo de quinientos cuarenta (540) Días contados a partir de la fecha en que se declare la ocurrencia de una causal de Terminación Anticipada del Contrato en cualquiera de las Etapa, lo que facilita contar con  una flexibilidad adecuada respecto al plazo de reversión de manera que el mismo se dé en las condiciones de mayor beneficio para el Proyecto. </t>
  </si>
  <si>
    <t xml:space="preserve">Se informa al interesado que de la redaccion de la seccion observada se entiende que aplicará de ser el caso. Por lo anterior no se acepta su observación </t>
  </si>
  <si>
    <t xml:space="preserve">Se informa al interesado que no se acepta su observación. se aclara al Interesado que las Deducciones no tienen la naturaleza de Multa  o sanción por incumplimiento y su objetivo básicamente es Retribuir al Concesionario según su Indice de Cumplimiento, en los cuales de midenlos niveles de servicio y estándares de calidad que hacen que la infraestructura se entienda “disponible”, en los términos del Decreto Único Compilatorio 1082 de 2015. Por la finalidad que encarnan, las Deducciones no siguen el procedimiento establecido en la Ley 1474 de 2011 artículo 86, sino que se miden periódicamente para determinar su procedencia y cuantía, así como permitir al Concesionario su corrección en los términos del Contrato. </t>
  </si>
  <si>
    <t xml:space="preserve">Se informa al interesado que no se acepta su observación. Es obligación d el Concesionario fondear la Subcuenta Interventoría y Coordinación durante la vigencia del Contrato. Si el plazo del contrato aumenta por un Evento Eximente de Responsabilidad, el Concesionario deberá seguir fondeando la Subcuenta por el  monto correspondiente al plazo adicional. </t>
  </si>
  <si>
    <t xml:space="preserve">Se informa al interesado que no se acepta su observación. La ANI deberá aprobar expresamente la modificación al Plan de Obras ante las situaciones previstas en esta sección. </t>
  </si>
  <si>
    <t xml:space="preserve">Se solicita al interesado que aclare su observación toda vez que la Sección 4.17 (a)(iv)(4) no establece un plazo. </t>
  </si>
  <si>
    <t>Se informa al interesado que la sección objeto de observación fue modificada, El ajuste se incluirá en la minuta que se publicará con el Pliego de Condiciones Definitivo.</t>
  </si>
  <si>
    <t xml:space="preserve">Se informa al interesado que no se acepta su observación. La ANI considera que el plazo de noventa (90) días es razonable y suficiente para que se configure la causal de Terminación Anticipada relacionada. </t>
  </si>
  <si>
    <t xml:space="preserve">Se solicita al interesado que aclare su observación. La ANI no encuentra regulación repetida. Por su parte, en lo que respecta a su solicitud de autorizar las acciones de un Líder, se informa que la autorización de cesión de acciones para el caso de los Líderes se encuentra debidamente regulada en el Contrato. </t>
  </si>
  <si>
    <t xml:space="preserve">Se informa al interesado que no se acepta su observación. La entidad considera que el mecanismo de amigable composición regulado en el Contrato es razonable y se ajusta a las necesidades de este tipo de proyectos. En todo caso, se informa al interesado que la sección prevista en el romanito (vi) fue ajustada, dicha modificación se podrá evidenciar en l minuta que se publique con el Pliego de condiciones definitivo . </t>
  </si>
  <si>
    <t>Se aclara al interesado que de acuerdo con lo indicado por la Sección 17.3, en el evento en que los Prestamistas decidan no continuar con la ejecución del Contrato, la ANI podrá, previa terminación del Contrato iniciar un nuevo proceso de selección para contratar un nuevo concesionario  que continúe con la ejecución del Proyecto, y/o adoptar todas las demás medidas que sean procedentes de conformidad con la Ley Aplicable para garantizar la ejecución del Contrato. 
De acuerdo con lo anterior, no se considera necesario efectuar la aclaración propuesta.</t>
  </si>
  <si>
    <t>Se le informa al interesado que tal y como se establece en el capítulo 13 del contrato, las condiciones de entrega de infraestructura son un riesgo que asume el concesionario, por lo que todos los interesados son responsables de realizar la debida diligencia para conocer el estado de la infraestructura que recibira en caso de ser adjudicatario. Por lo anterior no se considera procedente su observación.</t>
  </si>
  <si>
    <t>Se informa al interesado que se acepta su observación y se realizarán los ajustes correspondientes.</t>
  </si>
  <si>
    <t>La ocurrencia  de un evento como el COVID 19 resulta  imprevisible e irresistible, en la medida en que tal y como lo señala  el Consejo de Estado: “imprevisible es aquello que, pese a que pueda haber sido imaginado con anticipación, resulta súbito o repentino o aquello que, no obstante la diligencia y cuidado que se tuvo para evitarlo, de todas maneras acaeció, con independencia de que hubiese sido mentalmente figurado, o no, previamente a su ocurrencia" e irresistible, “como elemento de la causa extraña, consiste en la imposibilidad del obligado a determinado comportamiento o actividad para desplegarlo o para llevarla a cabo", por lo tanto se indica al interesado  que un evento de estas características es considerado como una Fuerza Mayor para efectos del Contrato de Concesión.
Adicionalmente se precisa al interesado que la Minuta del Contrato contendrá un mecanismo que antenderá los efectos generados por la ocurrencia de una situación como la del COVID 19, especificamente aquel relacionado con la disminución en el flujo de ingresos del Proyecto, siempre y cuando tal disminución se de con ocasión de la declaratoria de estado constitucional de excepción y/o por un estado de emergencia por decisión de una Autoridad Estatal del orden nacional, que restrinja la movilidad y  generen un impacto atípico, significativo y directo en el tráfico de alguno de los corredores del Proyecto, causando un menor Recaudo de Peaje. La minuta también incluirá las condiciones y forma en que se compensará dicho menor recaudo.</t>
  </si>
  <si>
    <t xml:space="preserve">Se informa al interesado que no se acepta su observación. La ANI considera que el Plazo de Cura establecido para sanear el incumplimiento en la terminación de las Unidades Funcionales  es razonable y corresponde con las necesidades del Proyecto. Adicionalmente, este plazo podrá ser inferior de acuerdo con el incumplimiento ocurrido. En esta medida, se considera necesario mantener la redacción propuesta en el sentido de indicar que el plazo de cura podrá ser de hasta el 20%. </t>
  </si>
  <si>
    <t>Se informa al interesado que no se acepta su observación. La Multa prevista en la Sección 6.1(p) de la Parte Especial  busca conminar al Concesionario de forma tal que cumpla con la obligación establecida en el Contrato de estar al día en el pago de salarios, prestaciones sociales y parafiscales de los empleados del Concesionario así como de cualquier trabajador. Esta Multa se entenderá sin perjuicio de las sanciones establecidas en la ley para el incumplimiento de este tipo de obligaciones.</t>
  </si>
  <si>
    <t xml:space="preserve">Se informa al interesado que no se acepta su observación. La definición de Fondo de Capital Privado corresponde con la definición establecida en el Decreto 2555 de 2010. Teniendo en cuenta las diferentes reglas contenidas en el Pliego de Condiciones, la Entidad considera que se está garantizando la libre concurrencia al proceso de selección. </t>
  </si>
  <si>
    <t>Se informa al interesado que no se acepta su observación, toda vez que para la entidad es adecuado incluir como causa para la toma de posesión  el incumplimeinto por parte del Concesionario del sus obligaciones financieras de conformidad con lo establecido en los documentos de crédito y no por la terminación anticipada de los contratos de financiamiento.</t>
  </si>
  <si>
    <t xml:space="preserve">Se informa al interesado que no se acepta su observación. De acuerdo con lo indicado por la declaración correspondiente, es obligación del Concesionario informar sobre la existencia de investigaciones, medidas de aseguramiento y/o condenas nacionales y/o internacionales en contra de sus representantes legales, socios y/o accionistas, una vez tenga conocimiento de estas por delitos contra la administración pública, la administración de justicia y que afecten el patrimonio del Estado. Mientras las investigaciones sean de carácter confidencial y el Concesionario no tenga conocimiento de las mismas, no se hará exigible el cumplimiento de la referida obligación. 
Así mismo, se informa al interesado que en el evento en que se incumpla esta obligación sin que el concesionario lo notifique, se generará la imposición de la Multa por incumplimiento de otras obligaciones del Proyecto prevista en la Parte Especial. </t>
  </si>
  <si>
    <t xml:space="preserve">Se informa al interesado que no se acepta su observación. La Parte General y Parte Especial del Contrato regulan de forma detallada la imposición de Multas por la no obtención del Cierre Financiero en los plazos, condiciones y montos establecidos por el Contrato, así como la acreditación del Cierre Financiero. En esta medida, se solicita al interesado que informe qué aspecto no le genera claridad. 
De igual manera se informa al interesado que se realizaron ajustes para el cumplimiento de la obligación respecto al Cierre Financiero, los cuales se podrán evidenciar en la minuta que se publicará con el Pliego de condiciones Definitivo </t>
  </si>
  <si>
    <t xml:space="preserve">Se informa al interesado que no se acepta su observación. La ANI considera que  de acuerdo con lo establecido en la minuta la definición de Prestamistas es lo suficientemente amplia para las necesidades del Proyecto. </t>
  </si>
  <si>
    <t xml:space="preserve">Se informa al interesado que no se considera necesario hacer la aclaración propuesta. La Sección 3.12 (a)(i) indica que cuando se verifique una cualquiera de las causales para la Toma de Posesión, se generará de manera automática en cabeza de los Prestamistas el derecho a tomar posesión del Proyecto, derecho que prevalecerá sobre el derecho de la ANI a terminar el Contrato. </t>
  </si>
  <si>
    <t xml:space="preserve">Se informa al interesado que la sección de Toma de Posesión se ajustó, dichos ajustes se podrán evidenciar en la minuta que se publicará con Pliego de Condiciones Definitivo </t>
  </si>
  <si>
    <t>Se informa al interesado que la ANI y/o el Interventor contarán con la facultad de realizar un control permanente sobre el Patrimonio Autónomo, incluyendo el Patrimonio Autónomo-Deuda.</t>
  </si>
  <si>
    <t xml:space="preserve">Se informa al interesado que no se acepta su observación. La Entidad considera que los requisitos exigidos en materia de Experiencia en Inversión son razonables, suficientes y se compadecen con las características del Proyecto. </t>
  </si>
  <si>
    <t xml:space="preserve">Se informa al interesado que no se acepta su observación. En los casos en que el Oferente deba aportar información o documentos que se encuentren en un idioma diferente (sin importar el lugar de su otorgamiento), los mismos deberán presentarse acompañados de una traducción oficial al idioma castellano, traducción que deberá ser efectuada por un traductor oficial con licencia para ejercer como tal en Colombia, de acuerdo con el Decreto 382 de 1951 y el artículo 33 de la Ley 962 de 2005. En cualquiera de los casos, se deberá acreditar la calidad de traductor oficial en los términos señalados en las normas citadas.
En todo caso, se informa al interesado que en caso de no existir traductor oficial, el Oferente deberá remitir una solicitud al Ministerio de Relaciones Exteriores de Colombia, requiriendo que certifiquen que no hay traductor oficial del idioma en que desea traducir los documentos. Una vez obtenida esta certificación, podrá solicitar la traducción de su documento ante el traductor de su conveniencia y realizar en una notaría el reconocimiento de la firma del traductor. Con la traducción realizada y el reconocimiento de la firma correspondiente, se podrá apostillar o legalizar el documento en línea. </t>
  </si>
  <si>
    <t xml:space="preserve">Se informa al interesado que no se acepta su observación. Se recuerda al interesado que si proviene de aquellos países signatarios de la Convención de La Haya podrá optar, como procedimiento de legalización de los documentos otorgados en el exterior, la Legalización o la Apostilla.
La Legalización o Apostilla de los documentos otorgados en el exterior podrán presentarse en copia simple, pero en el caso que la Entidad requiera el original del mismo, este debe ser presentado dentro del plazo establecido, so pena de no tener en cuenta dicho documento.
</t>
  </si>
  <si>
    <t xml:space="preserve">Se informa al interesado que no se acepta su observación. La definición de Fondo de Capital Privado corresponde con la definición establecida en el Decreto 2555 de 2010, en concordancia con lo señalado en el parágrafo del artículo 2.2.2.1.1.3 del Decreto 1082 de 2015. Teniendo en cuenta las diferentes reglas contenidas en el Pliego de Condiciones, la Entidad considera que se está garantizando la libre concurrencia al proceso de selección.
</t>
  </si>
  <si>
    <t>Se informa al interesado que la minuta que se publicará con el Pliego de Condiciones Definitivo, incluye la figura de los periodos de exclusión, que estan relacionados con al observacion plnteada</t>
  </si>
  <si>
    <t xml:space="preserve">respuesta enviada por luz elena el 2 de </t>
  </si>
  <si>
    <t xml:space="preserve">respuesta enviada por luz elena el 2  de septiembre </t>
  </si>
  <si>
    <t>Se aclara al interesado que de conformidad con la definición dada por el Artículo 1° de la Ley 1508, se tiene que las Asociaciones Público Privadas son un instrumento de vinculación de capital privado, que se materializan en un contrato entre una entidad estatal y una persona natural o jurídica de derecho privado, para la provisión de bienes públicos y de sus servicios relacionados, que involucra la retención y transferencia de riesgos entre las partes y mecanismos de pago, relacionados con la disponibilidad y el nivel de servicio de la infraestructura y/o servicio uno de los principios que debe guiar estas asociaciones es que la distribución de los riesgos debe hacerse en cada caso atendiendo a cuál de las partes está mejor capacitada para administrarlos “(…) buscando mitigar el impacto que la ocurrencia de los mismos pueda generar sobre la disponibilidad de la infraestructura y la calidad del servicio” .
Posteriormente el numeral 11.3 del Artículo 11 de la Ley 1508, que determina los requisitos para abrir procesos de selección para la ejecución de proyectos de APP de Iniciativa Pública, señala:
“(…)
11.3 Justificación de utilizar el mecanismo de asociación público privada como una modalidad para la ejecución del proyecto, de conformidad con los parámetros definidos por el Departamento Nacional de Planeación. Los análisis señalados en este numeral deberán contar con concepto previo favorable del Departamento Nacional de Planeación o de la entidad de planeación de la respectiva entidad territorial. Para el anterior concepto, se deberá contar con la aprobación del Ministerio de Hacienda y Crédito Público respecto de las valoraciones de las obligaciones contingentes que realicen las Entidades Estatales, en desarrollo de los Esquemas de Asociación Público Privada, en los términos definidos en la Ley 448 de 1998.
Del análisis de las disposiciones normativas transcritas se puede concluir que, el análisis de riesgos del proyecto de Asociación Público Privada de Iniciativa Pública, debe ser construida atendiendo exclusivamente el siguiente lineamiento: 
1) Tipificación, estimación y asignación definitiva de los riesgos del proyecto de acuerdo con los criterios establecidos en la Ley 80 de 1993, la Ley 448 de 1998, la Ley 1150 de 2007, los documentos CONPES y las normas que regulen la materia.
En la medida que la Ley 448 de 1998 es una norma especial, respecto a la valoración de riesgos públicos y, aplicando el criterio de especialidad contenido en el Artículo 5° de la ley 53 de 1887, según el cual la norma especial prima sobre la general se tiene que todo contrato enmarcado en la Ley 1508 de 2012, se regirán por lo dispuesto en la Ley 448 y el Decreto 423, en el evento que pacten contractualmente Obligaciones Contingentes.  
En consideración e lo anterior es incorrecto afirmar que la matriz de riesgos hace parte del Contrato de Concesión, pues como se señaló, por mandato legal las obligaciones contingentes sólo pueden ser asumidas contractualmente, en la medida que, al ser una obligación de pago de una suma de dinero, la obligación que ella reconoce debe ser clara, expresa y exigible contractualmente,  razón por la cual a lo largo del Contrato de Concesión no se encuentra ninguna Sección que relacione de manera directa o haga referencia directa a la matriz de riesgos y mucho menos a la calificación dada a los riesgos -probabilidad e impacto-, toda vez que ésta no hace parte de los documentos que integran el mismo.
Por consiguiente, se precisa al interesado que la matriz de riesgos tan sólo es un instrumento metodológico utilizado en las etapas para el adecuado análisis de riesgos de que trata la “Metodología, Valoración y Seguimiento de Riesgos en Contratos Estatales”, siendo un producto de la asignación definitiva efectuada en la minuta de Contrato de Concesión, basada en los lineamientos de la política de riesgos contractual del Estado Colombiano a través de los documentos CONPES 3760, 3107 y 3133.</t>
  </si>
  <si>
    <t xml:space="preserve">respuesta enviada por luz elena el 2 de septiembre </t>
  </si>
  <si>
    <t>1. Se informa al interesado que las causales de terminación del Contrato son aquellas listadas en la Sección 17.2 y no únicamente las previstas por el artículo 17 de la Ley 80 de 1993.
2. Así mismo se informa que en el evento en que la ANI decida terminar el Contrato con base en lo establecido por el artículo 17 de la Ley 80 de 1993, y teniendo en cuenta que la mencionada causal prevista en la ley no obedece a una situación  explicita, se indicará en su momento al Concesionario los motivos por los cuales las exigencias del servicio público o situación de orden público lo imponga, de conformidad a las circunstancias que se evidencien en ejecución del contrato .</t>
  </si>
  <si>
    <t xml:space="preserve">Se informa al ineteresado que la regulacion de Fuerza Mayor Predial fue objeto de ajuste, estas modificacions se podrán evidenciar en la minuta que se publicará con el Pliego de Condiciones defintivo </t>
  </si>
  <si>
    <t xml:space="preserve">Se informa al interesado que no se acepta su observación. La ANI considera que la destinación de los recursos de la Subcuenta MASC prevista en el Contrato es razonable y se compadece con las necesidades de este tipo de proyectos. </t>
  </si>
  <si>
    <t xml:space="preserve">Se informa al interesado que los conceptos asociados a nuevas consultas previas como consecuencia de la certificacion de nuevas comunidades comunidades étnicas y/o afrodescendientes en la zona de influencia del Proyecto se encuentran enmarcados de manera exclusiva  dentro de la definicion obras menores, de acuerdo a lo establecido en la minuta.
Ahora bien las obras sociales son aquellas obras y/o iniciativas, diferentes a las Obras Menores, que tienen como fin, atender las necesidades que sean solicitadas por los grupos de interés o comunidades  en general que permita dar viabilidad al Proyecto.
</t>
  </si>
  <si>
    <t>Se aclara  al interesado que el plazo se considera adecuado y razonable, en todo caso se informa que el procedimiento observado fue ajustado por lo que dichos ajustes se podrán evidenciar en la minuta que se publique con el Pliego de condiciones definitivo</t>
  </si>
  <si>
    <t>En atención a su observación se informa que la Sección fue ajustada, estos cambios se podrán evidenciar en la minuta que se publicara con el pliego de condiciones definitvo</t>
  </si>
  <si>
    <t xml:space="preserve">No se acepta su solicitud, la regulación se considera adecuada y clara toda vez que el plazo de cura puede ser hasta del 20% del plazo incial para aquellos casos en que el incumplimeinto requiera de un plazo menor para su subsanación. </t>
  </si>
  <si>
    <t xml:space="preserve">Se informa al interesado que la seccion de Fuerza Mayor Predial fue objeto de ajuste, estas modificaciones se podrán evidenciar en la minuta que se publique con Pliego de Condiciones definitivo </t>
  </si>
  <si>
    <t xml:space="preserve">Se informa al interesado lo siguiente:
1. Se acepta su observación en el sentido de ajustar el plazo de suscripción del Contrato en el Cronograma de la Licitación Pública. De acuerdo con lo establecido por el numeral 9.4.1., el Contrato deberá suscribirse dentro de un plazo máximo de quince (15) Días Hábiles siguientes a la Audiencia de Adjudicación. Dicho plazo podrá ser ampliado a criterio de la ANI de acuerdo con lo establecido en el numeral 9 del artículo 30 de la Ley 80 de 1993.
Teniendo en cuenta que el Cronograma contemplado en el Aviso Modificatorio No. 6 tiene como fecha de Audiencia de Adjudicación el 6 abril de 2021, el plazo máximo para la suscripción del contrato será 15 dias hábiles siguientes a la audiencia de adjudicacion 
2. Se informa al interesado que no se acepta su observación de ampliar el plazo para suscribir el Contrato. La ANI considera que el plazo establecido de 15 días hábiles es suficiente y se ajusta a las necesidades del Proyecto.
</t>
  </si>
  <si>
    <t xml:space="preserve">Una vez revisada la observación esta se encuentra procedente, por lo que se realizará el respectivo ajuste en la Minuta del Contrato, precisando en la Sección 4.10 de la Parte General que, el valor a pagar por la compra de plazo será equivalente a los Días efectivamente utilizados para terminar la Unidad Funcional y no a todo el plazo adicional sin sanciones solicitado por el Concesionario.
Respecto de la observación consistente en disminuir el plazo de 60 a 30 Días se informa que el mimo se ajustó y se podrá verificar en la minuta que se publique con el pliego de condiciones definitivo .
</t>
  </si>
  <si>
    <t xml:space="preserve">Se informa al interesado que la seccion observada fue objeto de ajute, este se podrá evidenciar en la minuta que se publique con el pliego de condiciones definitivo 
</t>
  </si>
  <si>
    <t xml:space="preserve">No se acoge la observación.
Respecto a la Sección 2.6(a)(xv) de la Parte General, las declaraciones y obligaciones contenidas en esta Secciones sólo desarrollan la obligación de diligencia que debe adelantar cualquier Proponente con anterioridad a la presentación de su Oferta. 
En línea con lo anterior, vale la pena señalar que el numeral 1.8 del Proyecto de Pliego de Condiciones establecen que corresponderá al Interesado la responsabilidad exclusiva de asumir los costos derivados de la presentación de la Oferta de acuerdo con la asignación de costos y riesgos del Contrato y sus Apéndices y si algún Interesado considera que no ha podido obtener toda la información relevante o si considera que sus propias estimaciones le hacen imposible la asunción de esas obligaciones y riesgos, deberá abstenerse de presentar Oferta. 
Adicionalmente, en el numeral 1.7del Proyecto de Pliego de Condiciones se establece que la Oferta debe estar basada en la elaboración de sus propios estudios técnicos y en sus propias estimaciones. Es importante resaltar que la presentación de la Oferta implica la aceptación de que esas obligaciones y riesgos serán enteramente asumidos en caso de que el Oferente resulte Adjudicatario del Contrato de Concesión, como contraprestación por el pago previsto en el Contrato y con base en su Oferta Económica. 
Ahora bien, los estudios realizados por la entidad y sus estructuradores, tienen como objeto la estructuración técnica, jurídica y financiera del proyecto con el fin de encontrar una alternativa de referencia para ejecutar las intervenciones requeridas según las especificaciones de cada uno de los tramos viales que componen el corredor, lo que no implica que la alternativa estructurada sea la única viable. Esta circunstancia es precisamente la que justifica el hecho que, aun teniendo a disposición los Interesados los estudios y diseños en etapa de factibilidad que soportan la alternativa propuesta por la ANI y avalada, corregida o modificada por el estructurador, aquellos tienen la facultad discrecional de apartarse de los resultados de dichos estudios y diseños y proponer la que consideren una mejor alternativa, por lo que la información es de referencia y no complementaria del pliego ni vinculante.   
Frente a la observación referida a la Sección 2.6(a)(xv) de la Parte General, esta hace referencia a la información que el Concesionario  previendo necesitarla o sabiendo que le fuera útil no solicitara durante las etapas previas a la suscripción del contrato respecto a la cual la ANI tuviera a su disposición, o adelantar la debida diligencia  y las labores necesarias para tener conocimiento de toda la información relacionada con el Proyecto de forma completa, adecuada y suficiente con el fin de preparar su Oferta.
</t>
  </si>
  <si>
    <t>Se informa al interesado que la sección observada fue objeto de ajuste, estas modificaciones se podrán evidenciar en la minuta que se publique con el Pliego de Condiciones Definitivo.</t>
  </si>
  <si>
    <t xml:space="preserve">Se informa   al Interesado que la sección observada fue eliminada dela minuta, estos ajustes se podrán evidenciar en el Contrato que se publique con el Pliego de Condiciones Definitivo </t>
  </si>
  <si>
    <t xml:space="preserve">La entidad efectuará un ajuste en la Sección 19.6(b)(4) del Contrato Parte General, precisando que: 
“(4) Permanezca por lo menos uno de los Líderes que participaron en la manifestación de Interés o en la Oferta, según corresponda, con un mínimo del 25% de participación. 
Sin perjuicio de lo anterior, si se ha obtenido el Cierre Financiero en los términos establecidos en la Sección 3.8(a) de esta Parte General, se permitirá el retiro del Líder siempre que la nueva composición accionaria cuente con al menos un accionista que como mínimo acredite el 25% de participación y que cumpla con los Requisitos Habilitantes establecidos en la Invitación a Precalificar o el Pliego de Condiciones, que fueron evaluados por la ANI, durante la Precalificación o el Proceso de Selección para considerar hábil al Líder cedente, para lo cual, la ANI tendrá en cuenta los Requisitos Habilitantes de la Invitación a Precalificar o el Pliego de Condiciones, que podrán ser acreditados con base en información disponible al último periodo contable. Este accionista dentro de la composición accionaria será considerado como nuevo Líder.”
No obstante lo anterior, se precisa al observante que, la redacción vinculante para todos los efectos será la contenida en la Sección 19.6(b)(4) del Contrato Parte General que se publicará en el SECOP.Se informa al interesado que su entendimiento no es correcto.
Ahora bien, se informa al interesado que en el evento en que la ANI autorice la cesión de la participación accionaria de un Integrante que sea Líder en la Estructura Plural, las obligaciones contenidas en el Acuerdo de Permanencia y Acuerdo de Garantía cesarán para dicho Integrante. Lo anterior, en virtud del principio de relatividad de los contratos según el cual los contratos no benefician ni perjudican a aquellos que no hacen parte de ellos. 
Una vez se autoriza la cesión por parte de la ANI, el nuevo Líder del SPV deberá constituir un nuevo Acuerdo de Permanencia y Acuerdo de Garantía, en caso de que acredtite experiencia a traves de su matriz 
</t>
  </si>
  <si>
    <t xml:space="preserve">Se informa al interesado que la sección observada fue objeto de ajuste eliminando el aprte señalado, esta modificacion se podrá evidenciar en la minuta que se publique ocn pliego de condiciones definitivo 
</t>
  </si>
  <si>
    <t xml:space="preserve">Se informa al interesado que no se acepta su observación, la ANI considera que la regulacion actual es adecuada a los fines perseguidos por la entidad. La situacion que plantea en su observación se encuentra regulada en la sección 19.6 de la minuta Parte General 
</t>
  </si>
  <si>
    <t xml:space="preserve">
Se informa al interesado que no se acepta su observación.El numeral 1.8 del Pliego de Condiciones establece que corresponderá al Interesado la responsabilidad exclusiva de asumir los costos derivados de la presentación de la Oferta de acuerdo con la asignación de costos y riesgos del Contrato y sus Apéndices y si algún Interesado considera que no ha podido obtener toda la información relevante o si considera que sus propias estimaciones le hacen imposible la asunción de esas obligaciones y riesgos, deberá abstenerse de presentar Oferta. 
Adicionalmente, en el numeral 1.7 del Pliego de Condiciones se establece que la Oferta debe estar basada en la elaboración de sus propios estudios técnicos y en sus propias estimaciones. Es importante resaltar que la presentación de la Oferta implica la aceptación de que esas obligaciones y riesgos serán enteramente asumidos en caso de que el Oferente resulte Adjudicatario del Contrato de Concesión, como contraprestación por el pago previsto en el Contrato y con base en su Oferta Económica. 
Ahora bien, los estudios realizados por la entidad y sus estructuradores, tienen como objeto la estructuración técnica, jurídica y financiera del proyecto con el fin de encontrar una alternativa de referencia para ejecutar las intervenciones requeridas según las especificaciones de cada uno de los tramos viales que componen el corredor, lo que no implica que la alternativa estructurada sea la única viable. Esta circunstancia es precisamente la que justifica el hecho que, aun teniendo a disposición los Interesados los estudios y diseños en fase de factibilidad que soportan la alternativa propuesta por la ANI y avalada, corregida o modificada por el estructurador, aquellos tienen la facultad discrecional de apartarse de los resultados de dichos estudios y diseños y proponer la que consideren una mejor alternativa, por lo que la información es de referencia y no complementaria del pliego ni vinculante.
</t>
  </si>
  <si>
    <t xml:space="preserve">Se informa al interesado que la Entidad tendrá en cuenta su observación y realizará los ajustes correspondientes en la minuta que se publicará con pliego de condiciones definitivo,  para estos eventos el Concesionario contará con las figuras de Soporte de Ingreso . </t>
  </si>
  <si>
    <t>Se informa al interesado que no se acepta su observación, para la entidad es necesario conservar la expresion o cuando impliquen una variación desfavorable para los riesgos a cargo de la ANI, teniendo en cuenta que la variacion en los estudios y diseños puede generar una alteracion significativa en el monto de los riesgos a cargo de la ANI</t>
  </si>
  <si>
    <t xml:space="preserve">Se informa al interesado que la seccion observada fue objeto de ajuste, esta modificación se podrá evidenciar en la minuta que se publicará con el pliego de condiciones definitivo </t>
  </si>
  <si>
    <t xml:space="preserve">Se informa al interesado que las secciones a que hace referencia el Anexo de su observación fue objeto de ajuste, estas modificaciones se podrán evidenciar en la minuta que se publicará con el pliego de condiciones definitivo </t>
  </si>
  <si>
    <t xml:space="preserve">Se aclara al interesado que la ANI considera prioritario acrecentar el mecanismo líquido de mitigación de riesgos (en este caso la Subcuenta Excedentes ANI) y por lo tanto no considera procedente su solicitud.
Se informa al interesado que tal y como lo señala en la observación “sobrantes” son los recursos de peaje consignados por los usuarios en exceso del monto respecto de la tarifa definida en la resolucion de peaje </t>
  </si>
  <si>
    <t>Financiera - Técnica</t>
  </si>
  <si>
    <t xml:space="preserve">financiera - juridica </t>
  </si>
  <si>
    <t>Finaniera</t>
  </si>
  <si>
    <t>Financiera - Jurídica</t>
  </si>
  <si>
    <t>Juridica - financiera</t>
  </si>
  <si>
    <t>Técnica-Financiera-Jurídica</t>
  </si>
  <si>
    <t>juridica tecnica</t>
  </si>
  <si>
    <t>juridica</t>
  </si>
  <si>
    <t>financiera juridica</t>
  </si>
  <si>
    <t>juridica financiera</t>
  </si>
  <si>
    <t>financiera seguros</t>
  </si>
  <si>
    <t xml:space="preserve">financiera seguros </t>
  </si>
  <si>
    <t xml:space="preserve">tecnica </t>
  </si>
  <si>
    <t>Se informa al interesado que la Entidad considera razonable y suficiente el plazo de 60 días para que tanto ésta como la Interventoría se pronuncien sobre la solicitud de plazo adicional. Por lo anterior, no se acepta su observación</t>
  </si>
  <si>
    <t>Se informa al interesado que la sección observada fue ajustada, este ajuste se podrá evidenciar en minuta que se publique con Pliego de Condiciones defintivo</t>
  </si>
  <si>
    <t xml:space="preserve">De conformidad con lo señalado en el aparte de excepciones de los Tratados Internaciones, las entidades pueden establecer criterios para mantener o adoptar medidas relacionadas con servicios prestados por personas en condición de discapacidad, siempre y cuando estas no constituyan un medio de discriminación arbitrario o injustificable entre las Partes, o impliquen una restricción encubierta al comercio. (Tratado Libre Comercio – Corea, Artículo 14.2; Tratado de Libre Comercio – Unión Europea, Artículo 174; Tratado de Libre Comercio México, Artículo 15-16; Tratado de Libre Comercio – AELC Asociación Europea de Libre Comercio, Artículo 7.3; Tratado de Libre Comercio Alianza Pacífico, Artículo 8.20; Tratado de Libre Comercio Canadá Artículo 1402; Tratado de Libre Comercio Costa Rica, Artículo 10.2; Tratado de Libre Comercio Triángulo Norte, Artículo 11.2; Tratado de Libre Comercio USA, Artículo 9.14)
Teniendo en cuenta lo expuesto y toda vez que el Decreto 392 de 2018 deriva de una política pública de Colombia establecida en la Ley 1618 de 2013, fundamentada en el artículo 13 de la Constitución Política, que consagra la igualdad material o real a través de la discriminación positiva a favor de determinados grupos o personas en situación de vulnerabilidad, dentro de las cuales se encuentran las personas en condición de discapacidad, resultando claro que la aplicación del criterio de evaluación contenido en el Decreto 392 de 2018 no constituyen un medio arbitrario, injustificado o encubierto para restringir la participación dentro del proceso de selección, sino que por el contrario es un desarrollo de los pilares fundamentales de nuestro estado social de derecho, siendo procedente establecer el factor de evaluación de conformidad con lo señalado por Colombia Compra Eficiente a través del concepto No. 4201813000007574, en el que se indica que los proponentes extranjeros interesados en participar en Procesos de Contratación y obtener el puntaje adicional establecido en el Decreto 392 de 2018, deberán incluir en su nómina a personas en situación de discapacidad vinculadas laboralmente según el ordenamiento jurídico colombiano y solicitar el certificado en el Ministerio del Trabajo.
En esta medida, se informa al interesado que no se acepta su observación, toda vez que no existe una restricción específica para los proponentes extranjeros, toda vez que los mismos podrán acreditar este requisito de acuerdo con lo establecido por la ley.  
Finalmente, se aclara al interesado que se tendrá en cuenta la planta de personal del integrante de la  Estructura Plural que acredite como mínimo el 40% de la Experiencia en Inversión. Teniendo en cuenta que el Lider es quién acredita la Experiencia en Inversión, deberá ser quien acredite  el requisito exigido de conformidad con el pliego de condiciones. </t>
  </si>
  <si>
    <t>La Entidad considera que la definición de Costos Ociosos corresponde únicamente a lo establecido en el Contrato de Concesión, por lo que no considera procedente su observación.</t>
  </si>
  <si>
    <t>respuesta  enviada por luz elena el 2 de septiembre</t>
  </si>
  <si>
    <t xml:space="preserve">Se informa al interesado que no se acepta su observación. La ANI considera que las condiciones de pago de las Multas o Sanciones son razonables y se compadecen con las necesidades del Proyecto. </t>
  </si>
  <si>
    <t>f</t>
  </si>
  <si>
    <t>Se informa al interesado que no se acepta su observación. En el evento en que resulte necesario introducir variaciones en el Contrato para evitar la paralización o la afectación grave del servicio y previamente las Partes no llegaran al acuerdo respectivo, la ANI podrá modificar el contrato de forma unilateral y el Concesionario deberá continuar con la ejecución del Contrato. En todo caso, se aclara al interesado que dicha continuidad encuentra un límite en el sentido de que si las modificaciones alteran el Valor del Contrato en un veinte por ciento (20%), el Concesionario podrá renunciar a la continuación de su ejecución en los términos de la Ley Aplicable.</t>
  </si>
  <si>
    <t xml:space="preserve">Se aclara al interesado que la Sección 4.2.10 incluye las reglas específicas para cuando el Oferente sea Estructura Plural, por su parte, la Sección 4.2.2 sólo hace referencia al caso de Oferentes individuales. </t>
  </si>
  <si>
    <t>Respecto del literal (C) mencionado, la Entidad no acepta su observación, con esto se pretende limitar que se incluyan en la fórmula costos ociosos o precios superiores a los que se encuentran en el mercado, esto da transparencia al cálculo de esta variable al considerar los precios del mercado. 
Respecto del literal (D) conviene señalar que el objetivo de las fórmulas es compensar al concesionario por las actividades de construcción que se hayan realizado independiente de si la obra misma no se ha terminado y/o se encuentra en proceso de ejecución, por lo cual la observación no se acepta, la entidad considera que la regulación actual es clara en que si el servicio es prestado y/o entregado se podrá incluir en la fórmula.</t>
  </si>
  <si>
    <t>Se aclara al interesado que la entidad ha incluido la variable cuentas por pagar por facturas causadas en el Patrimonio Autónomo del Proyecto asociadas únicamente al Contrato de Construcción.</t>
  </si>
  <si>
    <t>Se informa al interesado que no se acepta su observación. La naturaleza de los contratos de Asociación Público Privada (APP) involucra la retención y transferencia de riesgos entre las partes sin que exista una garantía de ingreso para el Concesionario, a diferencia de lo que ocurre con otras modalidades contractuales, como por ejemplo, la obra pública. Los contratos de APP son contratos aleatorios, lo que quiere decir que no existe equivalencia de prestaciones entre las Partes y algunos aspectos están sujetos a lo que pueda ocurrir en el futuro.  Se considera que los 8 peajes del proyecto, permiten realizar un manejo adecuado del riesgo por parte del concesionario y los mismos son considerados una fuente de pago adecuada para la consecución de las fuentes de financiación del proyecto independiente del impacto coyuntural actual. Dicho lo anterior la entidad acepta parcialmente su observación e incluye en el Contrato Parte Especial  sección 4.5 el Valor del Soporte de Ingresos.</t>
  </si>
  <si>
    <t>La entidad considera pertinente la observación, por lo que se informa al Interesado que se realizarón los ajustes correspondientes a los plazos de fondeo de redes en el Contrato Parte Especial sección 4.7.</t>
  </si>
  <si>
    <t>La entidad considera pertinente la observación, por lo que se informa al Interesado que se realizarón los ajustes correspondientes a los montos del giros de equity en el Contrato Parte Especial sección 4.6</t>
  </si>
  <si>
    <t>Se aclara al interesado que no se acepta su observación, la entidad considera que la regulación actual establece el procedimiento y las compensaciones en el caso que se derive una Fuerza Mayor Ambiental.</t>
  </si>
  <si>
    <t>Respecto a la observación, se considera que los 8 peajes del proyecto permiten realizar un manejo adecuado del riesgo por parte del concesionario y los mismos son considerados una fuente de pago adecuada para la consecución de las fuentes de financiación del proyecto independiente del impacto coyuntural actual. Dicho lo anterior la entidad acepta parcialmente su observación e incluye en el Contrato Parte Especial  sección 4.5 el Valor del Soporte de Ingresos.</t>
  </si>
  <si>
    <t xml:space="preserve">Se informa al interesado que no es procedente la observación, la entidad considera que el noventa por ciento (90%) del valor máximo de la Multa se encuentra acorde con las disposiciones generales del proyecto, con lo cual se pretente incetivar que el Concesionario termine las obras en los plazos establecidos . </t>
  </si>
  <si>
    <t>Se aclara al Interesado que el número de cupos actualmente planteados se considera adecuado para el presente proyecto, por lo que no es procedente la observación.</t>
  </si>
  <si>
    <t>La entidad considera pertinente la observación, por lo que se informa al Interesado que se realizarón los ajustes correspondientes a los montos del giros de equity en el Contrato Parte Especial sección 4.6.</t>
  </si>
  <si>
    <t>La entidad considera pertinente la observación, por lo que se informa al Interesado que se realizarón los ajustes correspondientes en los aportes del concesionario a las subcuentas los ajustes se ven reflejados en el Contrato Parte Especial sección 4.7</t>
  </si>
  <si>
    <t xml:space="preserve">Se Iinforma la interesado que se acepta su observación, la entidad ha modificado el monto del Cupo de Crédito en la sección 4.3.6. </t>
  </si>
  <si>
    <t>Se informa al interesado que se amplió el plazo del cierre financiero así: 3.8 (b) En el caso que el Concesionario opte por presentar en el plazo del Cierre Financiero la certificación emitida por el(los) Prestamista(s) indicada en la Sección 3.8(a)(i) de esta Parte General, el Concesionario contará con el plazo establecido en la Parte Especial contando desde la fecha de suscripción del Acta de Inicio de la Fase de Construcción para presentar el contrato de crédito suscrito o una certificación emitida por el(los) Prestamista(s) en la que conste que el contrato de crédito fue suscrito, que contenga al menos lo siguiente: (i) valor del crédito; (ii) acreedor; (iii) garantías; (iv) plazo para el pago; (v) tasa; (vi) condiciones para el desembolso.</t>
  </si>
  <si>
    <t>Se informa al interesado que su entendimiento no es correcto, estas subcuentas tienen una destinanción especifica que se encuentra regula en el Contrato Parte Especial.</t>
  </si>
  <si>
    <t xml:space="preserve">Se informa al interesado que no se acepta su observación. La ANI considera que la destinación de recursos de las Subcuentas así como las reglas para el pago de la liquidación previstas en el Contrato son razonables y responden a las necesidades del proyecto. </t>
  </si>
  <si>
    <t xml:space="preserve">Se aclara al interesado que de acuerdo con lo establecido por la Sección 4.5(i) de la Parte Especial, la ANI dará instrucciones a la Fiduciaria para llevar a cabo los aportes a la Subcuenta Contingencias. En caso que estos recursos no sean suficientes, la ANI deberá adelantará los trámites presupuestales correspondientes de conformidad con lo dispuesto en la Ley Aplicable de confirmad con lo regulado en el Contrato de Concesión.
</t>
  </si>
  <si>
    <t xml:space="preserve">Se informa al interesado que la ANI ha revisado las fórmulas de terminación previstas en el Contrato y las considera razonables y adecuadas para la ejecución de este tipo de proyectos, la entidad considera que estas fórmulas no afectan la financiación del proyecto. </t>
  </si>
  <si>
    <t xml:space="preserve">Respecto a la observación, se considera que los 8 peajes del proyecto, permiten realizar un manejo adecuado del riesgo por parte del concesionario y los mismos son considerados una fuente de pago adecuada para la consecución de las fuentes de financiación del proyecto independiente del impacto coyuntural actual. Dicho lo anterior la entidad acepta parcialmente su observación e incluye en el Contrato Parte Especial  sección 4.5 el Valor del Soporte de Ingresos.  También se incluye la compensación por Restricción de Movilidad que minimizan los efectos de la coyuntura actual, modificación que se podrá evidenciar en la minuta que se publicará con Pliegos Definitivos.   </t>
  </si>
  <si>
    <t>Se informa al interesado que se realizaron algunos ajustes correspondientes al riesgo de elusión que se ven reflejados en el Contrato Parte General. Así mismo, se informa al interesado que  se ha incluido el Soporte de Ingresos para el Proyecto. 
Respecto a la exclusión de vías ilegítimas de las coberturas de Elusión, no debe perderse de vista que el Concesionario tiene la capacidad de participar en su gestión, tanto en las medidas de infraestructura que determine en las Intervenciones como en la Operación y Mantenimiento que incluye las labores coordinadas con la Policía de Carreteras. Las estaciones de peaje del Proyecto son todas existentes y puede determinarse si este riesgo existe y medidas para controlarlo.</t>
  </si>
  <si>
    <t>Se informa al interesado que no se acepta su observación, la entidad considera que la regulación actual sobre los recursos que se reconocen como Giros de Equity son suficientes y garantizan la viabilidad del proyecto.</t>
  </si>
  <si>
    <t xml:space="preserve">Se aclara al interesado que   la Entidad realizó ajustes en la minuta los cuales podrán evidenciarse con la publicación de Pliegos de Condiciones definitivo quedando que se traladarán un 15% de los ingresos por explotación comercial a la subcuenta Excedentes ANI y 85% para el Concesionario.
</t>
  </si>
  <si>
    <t>Se informa al interesado que la entidad acepta parcialmente su observación, ajustando los porcentajes que le corresponde asumir al Concesionario y a la ANI, este modificación se encuentra en el Contrato Parte General sección 8.1 (d)</t>
  </si>
  <si>
    <t>Respecto a la observación, se considera que los 8 peajes del proyecto permiten realizar un manejo adecuado del riesgo por parte del concesionario y los mismos son considerados una fuente de pago adecuada para la consecución de las fuentes de financiación y manejo de la liquidez del proyecto independiente del impacto coyuntural actual. Dicho lo anterior la entidad acepta parcialmente su observación e incluye en el Contrato Parte Especial  sección 4.5 el Valor del Soporte de Ingresos.</t>
  </si>
  <si>
    <t xml:space="preserve">La  Entidad no acepta su observación, con esto se pretende limitar que se incluyan en la fórmula costos ociosos o precios superiores a los que se encuentran en el mercado, esto da transparencia al cálculo de esta variable al considerar los precios del mercado. 
</t>
  </si>
  <si>
    <t>Se aclara al interesado que no es procedente su observación, los únicos costos o gastos permitidos son: Comisiones de disponibilidad y de estructuración del Cierre Financiero o de la emisión de bonos (commitment fee y upfront fee) pagadas a los Prestamistas en el Mes h, los cuales serán verificados por la interventoría. No se reconocerán los pagos realizados por servicio de la deuda (intereses y principal) ni penalizaciones, cualquiera que sea la modalidad de financiación utilizada por el Concesionario. Esto aunado a que el Riesgo de Financiación es del Concesionario y los costos y gastos mencionados por el interesado se entienden que van por cuenta y riesgo del privado.</t>
  </si>
  <si>
    <t xml:space="preserve">Se informa al interesado que la Entidad ha tenido en cuenta la situación originada por el COVID-19 y las órdenes decretadas por el Gobierno en este sentido y ha incluido un Riesgo asociado a Restricciones de Movilidad y adicionalmente ha incorporado los Valores de Soporte de Ingresos. En todo caso, se informa al interesado que la implementación de protocolos de bioseguridad es una obligación que está a cargo del Concesionario y, en consecuencia, los costos asociados a los mismos deben ser asumidos por este. </t>
  </si>
  <si>
    <t xml:space="preserve">Se informa al interesado que la Entidad ha tenido en cuenta la situación originada por el COVID-19 y las órdenes decretadas por el Gobierno en este sentido y ha incluido un Riesgo asociado a Restricciones de Movilidad y su respectiva compensación, y adicionalmente ha incorporado los Valores de Soporte de Ingresos.  </t>
  </si>
  <si>
    <t>Se informa al interesado que su entendimiento es correcto, la cascada de fondeos descrita en el Contrato Parte Especial (Tabla de Referencias 3.14(h)(iv)(2)), establece que esta subcuenta se fondeará con los recursos remanentes después de haber atendido los fondeos de la Subcuenta de Depósito Especial y la Subcuenta de Unidad Funcional 0, hasta alcanzar el monto señalado o el plazo máximo, lo que ocurra primero.</t>
  </si>
  <si>
    <t>Se informa al interesado que la entidad modificó la redacción de esta cláusula y los porcentajes que le corresponde asumir al Concesionario y a la ANI, este modificación se encuentra en el Contrato Parte General sección 8.1 (d)</t>
  </si>
  <si>
    <t>A raíz de la coyuntura sanitaria, la Entidad considera procedente regular eventos que, siendo decretado por una autoridad, impliquen la restricción vehicular. En este sentido, se incluye el Evento por Restricción de Movilidad dentro de los eventos que imposibilitan el recaudo de las estaciones de peaje de la Sección 3.3(g) de la Minuta Parte General.</t>
  </si>
  <si>
    <t>reina el 2 de septiembre</t>
  </si>
  <si>
    <t>La Entidad considera que las condiciones asociadas a este riesgo son adecuadas, y todos los interesados cuentan con la capacidad de evaluar dentro de su  debida diligencia cualquier condición asociada a este evento en la medida en que le mismo deberá ser parte de su análisis únicamente hasta el momento en que se presente la oferta, ya que de ese punto en adelante será riesgo de la ANI. Lo anterior implica que el riesgo no es ilimitado como se plantea en la observación, y adicionalmente respecto a los demás argumentos expuestos en la observación se aclara que tanto el RUAPP como los POTs respectivos, pueden/deben ser consultado en el proceso de debida diligencia de cualquier interesado y  respecto a alas vías contempladas en el proceso de estructuración del proyecto, el Contrato Parte Especial establece claramente cuales son las vías que cumplen esta condición.</t>
  </si>
  <si>
    <t>Se informa al interesado que la entidad acepta su observación y realiza los ajustes en el Contrato Parte General en el capitulo 3.14, regulando que los rendimientos de dichas subcuentas acrecentarán la subcuenta respectiva.</t>
  </si>
  <si>
    <t>Se informa al interesado que la Entidad considera pertinente mantener la redacción actual, en la medida de dar claridad cuales son los costos y gastos que se pueden incluir dentro de la variable Arh</t>
  </si>
  <si>
    <t>Se aclara al interesado que este tipo de mecanismos no se consideran procedentes para este tipo de proyectos.   Efectivamente los riesgos de obtención de rentabilidad del negocio y obtención del VPIP están asignados al Concesionario de acuerdo con las sección 13.2 de la Parte General del contrato. Sin embargo se informa que se incluye en el Contrato Parte Especial  sección 4.5 el Valor del Soporte de Ingresos.</t>
  </si>
  <si>
    <t xml:space="preserve">La Entidad considera que la observación no es procedente porque no es suficiente con la notificación de Elusión de forma oportuna por el concesionario, para determinar que efectivamente se materializó el evento, por lo cual la entidad considera necesario los 90 Días para realizar el procedimiento necesario para realizar la compensación del mismo. </t>
  </si>
  <si>
    <t>Se informa al interesado que la entidad ajustó los porcentajes que le corresponde asumir al Concesionario y a la ANI, este modificación se encuentra en el Contrato Parte General sección 8.1 (d)</t>
  </si>
  <si>
    <t xml:space="preserve">Se aclara al interesado que de acuerdo con lo establecido por la Sección 6.3(b), en el evento en que el Concesionario presente modificaciones a los Estudios de Trazado y Diseño Geométrico que excedan y/o se extiendan más allá del área de la franja de terreno del corredor vial del Proyecto que ha sido declarada de utilidad pública e interés social, el concesionario asumirá los efectos favorables y/o desfavorables de dichas modificaciones, no sólo en cuanto al valor base de la modificación sino a la totalidad de los riesgos. 
Con el fin de verificar los riesgos asignados al Concesionario, se tendrán en cuenta los riesgos previamente asignados a éste en la Sección 13 del Contrato y los riesgos y/o porción de riesgos asignados a la ANI en las Secciones 13.3 (a), 13.3 (b), 13.3(c) y 13.3 (e). 
De acuerdo con lo anterior, en el evento en que las modificaciones del Concesionario excedan y/o se extiendan más allá del área de utilidad pública e interés social, el Concesionario pasará a asumir los siguientes riesgos que antes estaban asignados a la ANI: 
1. Parcialmente, los efectos favorables y/o desfavorables derivados de las variaciones en el valor estimado de Predios (incluyendo expropiación) y Compensaciones Socioeconómicas  de lo que corresponda al porcentaje en que la ANI asume dicho riesgo, estrictamente de conformidad con lo previsto en la Sección 7.2(d) del Contrato Parte General.
2.  Parcialmente, los efectos favorables y/o desfavorables derivados de las variaciones en el Valor Estimado de las Compensaciones Socioambientales, en los términos de la Sección 8.1(c), en lo que corresponda al porcentaje en que la ANI asume dicho riesgo. 
3. Los costos asociados a la realización de Obras Menores no previstas en este Contrato, solicitadas por la ANI o requeridas por las autoridades ambientales, posteriores a la expedición de la Licencia Ambiental o parcialmente el producto de los costos que se generen derivados de los acuerdos de la(s) nueva(s) consulta(s) previa(s) protocolizadas durante la ejecución del proyecto, de acuerdo con lo establecido en la Sección 8.1(d) del Contrato Parte General. 
4. Parcialmente, los efectos favorables y/o desfavorables derivados de las variaciones en el valor estimado para el traslado y/o intervención de Redes, en lo que corresponda al porcentaje en que la ANI asume dicho riesgo. </t>
  </si>
  <si>
    <t>Se aclara al interesado que la entidad no tiene manejo y control sobre el requerimiento solicitado, por lo cual su observación no es procedente.</t>
  </si>
  <si>
    <t>Se informa al interesado que la Entidad ha tenido en cuenta la situación originada por el COVID-19 y las órdenes decretadas por el Gobierno en este sentido y ha incluido un Riesgo asociado a Restricciones de Movilidad y adicionalmente ha incorporado los Valores de Soporte de Ingresos. De igual manera se ajustaron los Giros de Equity y Fondeos de Subcuentas que se pueden observar en el Contrato Parte Especial.</t>
  </si>
  <si>
    <t>Se informa al interesado que la Entidad no considera procedente la solicitud, la finalidad de esta subcuenta es cubrir las contingencias que se presenten en el proyecto, por lo cual se debe garantizar que los recursos estén disponibles con antelación a la materialización de un posible riesgo.</t>
  </si>
  <si>
    <t xml:space="preserve">En línea con las disposiciones generales establecidas en la Ley 1508 y sus Decretos reglamentarios y los documentos CONPES asociados a las mismas, uno de los elementos principales de las Asociaciones Públicos Privadas es la transferencia de riesgos del público al privado y enmarcada en esta transferencia el riesgo de financiación se considera un elemento crítico de transferencia 100% al Privado y la no consecución del mismo será el riesgo que tendrá que evaluar cada interesado en el proceso por lo que no se considera procedente su observación.  Sin embargo, respecto a la situación generada por el COVID 19 se informa al interesado que  se incluye la compensación por Restricción de Movilidad que minimiza los efectos de la coyuntura actual, modificación que se podrá evidenciar en la minuta que se publicará con Pliegos Definitivos.   </t>
  </si>
  <si>
    <t>Se informa al interesado que no se acepta su observación, la entidad considera que la regulación actual en lo concerniente al Cupo de Crédito en el proceso y el Cierre Financiero durante la ejecución del proyecto cumplen a cabalidad con el objetivo de la regulación para la cual fueron dispuestos cada uno de estos componentes.</t>
  </si>
  <si>
    <t xml:space="preserve">La entidad no acepta la observación, pero se informa al Interesado que se modificaron los valores correspondientes a los montos del giros de equity en el Contrato Parte Especial sección 4.6. </t>
  </si>
  <si>
    <t xml:space="preserve">Se aclara al interesado que el procedimiento para el retorno de los recursos realizados por el concesionario, y en línea con lo estipulado en la sección 3.14(v) (10), se encuentra regulado  en la Sección 13.4 del contrato Parte General. </t>
  </si>
  <si>
    <t>La acotación de "parcialmente" sobre el riesgo mencionado en la observación, y a pesar que el mismo está asignado 100% a la ANI, corresponde a la condición misma de un evento de este tipo el cual puede ser un detonador de una Terminación Anticipada por lo cual la asunción del mismo no es ilimitada sino parcial, hasta cierto monto de acuerdo con la aplicación de las fórmulas y el pago corresponde únicamente al daño emergente y no el lucro cesante.</t>
  </si>
  <si>
    <t>Se informa al interesado que la Entidad considera pertinente mantener la redacción actual, en la medida de dar claridad cuales son los costos y gastos que se pueden incluiR dentro del cálculo de "F", por lo cual no es procedente su observación</t>
  </si>
  <si>
    <t>Se informa al interesado que no se acepta la observación. La entidad considera que el plazo establecido para el contrato es razonable. Sin embargo se aclara que se incluye en el Contrato Parte Especial  sección 4.5 el Valor del Soporte de Ingresos.</t>
  </si>
  <si>
    <t>Se informa al interesado que la Entidad considera pertinente mantener la redacción actual, en la medida en que se regulan los costos y gastos que se pueden incluir dentro de la variable ARh.</t>
  </si>
  <si>
    <t xml:space="preserve">Se informa al interesado que no se acepta su observación. La asignación de riesgos se modificará en el evento en que las modificaciones y/o adecuaciones sobrepasen, excedan y/o se extiendan más allá de la franja de terreno del corredor vial del Proyecto que ha sido declarada de utilidad pública e interés social. En todo caso, cualquier revisión y mejora que el Concesionario proponga debe tener en cuenta la asignación de riesgos y, en caso que supere la franja declarada de utilidad pública, evaluar si la nueva asignación de riesgos propone una mejora real al Proyecto. </t>
  </si>
  <si>
    <t>La entidad se permite aclarar al interesado que para facilitar la financiación de este proyecto se incluyó en el Contrato Parte Especial  sección 4.5 el Valor del Soporte de Ingresos.</t>
  </si>
  <si>
    <t xml:space="preserve">1) Se informa al interesado que la sección observada fue objeto de ajuste, las modificaciones incluidas especificamente la relacionada con el plazo para la acreditación del Cierre Financiero podrá evidenciarse en la minuta que se publique con Pliego de Condiciones Definitivo
2) frente a la observacion relacionada con la presentación del Contrato de credito, se permitirá tanto la presentacion del contrato como la de una certificación que cumpla las condiciones definidas en la minuta, estas condiciones podran ser revisadas en la minuta que se publique con el Pliego de condiciones defintivo </t>
  </si>
  <si>
    <t>Se informa al   interesado que si como consecuencia de una inhabilidad sobreviniente se deba dar por terminado el contrato de manera anticipada se aplicarán las fórmulas de pago señaladas en la Sección 18.3 del Contrato Parte General, según corresponda.</t>
  </si>
  <si>
    <t>Se informa  al interesado que de acuerdo con lo previsto en la Sección 4.6.2 del Contrato, los Oferentes que pretendan acreditar su Experiencia en Inversión a través de Fondos de Capital Privado, deberán aportar un Compromiso Irrevocable de Inversión por el monto del aporte de recursos líquidos por parte del Fondo de Capital Privado por un valor igual al establecido para el Cupo de Crédito Específico. En el evento en que el Oferente opte por esta alternativa, no será necesario otorgar un Cupo de Crédito Específico por parte de un Prestamista. Así mismo, se informa al interesado que no es necesario aportar el Anexo 11 relativo  al Cupo de Crédito Específico siempre y cuando cumpla con los requisitos señalados por la Sección 4.6 del Pliego de Condiciones.</t>
  </si>
  <si>
    <t>Se aclara al interesado que todas las regulaciones asociadas a estos eventos se encontraran incluidas dentro de la minuta del contrato de la Fiduciaria de acuerdo con lo establecido por la Sección 3.13. En todo caso, se aclara al interesado que en el evento en que la ANI decida solicitar la remoción de la Fiducia por incumplimiento de sus obligaciones realizará las notificaciones debidas al Concesionario en línea con lo establecido por el Contrato de Concesión.</t>
  </si>
  <si>
    <t>Se aclara al interesado que la regulación observada fue incluida como una acción de mejora frente al contrato de 4G y con el fin de alinear los incentivos de las partes frente a los fondeos en exceso.
 En ejecución de algunos contratos se evidenció que algunos concesionarios realizaron fondeos en exceso no en razón al cumplimiento de las obligaciones previstas en el contrato, sino con el objetivo exclusivo de obtener intereses sobre dichos valores.</t>
  </si>
  <si>
    <t>Se informa al interesado lo siguiente:
1.¿Existe alguna diferencia entre sanciones y multas? ¿Existe un límite a la imposición de sanciones al concesionario por parte de la ANI?  La figura de la "sanción" se encuentra disciplinada en el cuerpo de la minuta, y la misma se diferencia de la multa, toda vez que se concibe como una pena pecuniaria que procede ante los incumplimientos definitivos e insubsanables,  de manera que abarca una patología contractual diferente a la que regula la multa.
En lo que atañe a las sanciones, se evidencia que existe disciplinada en la parte especial del contrato un tope a la pena individualmente considerada a imponer de 1.000 salarios mínimos, existiendo así margen de discrecionalidad en la imposición del valor de esta, determinación que debe consultar los principios de razonabilidad y proporcionalidad de las penas.
2. ¿este iniciaría entonces automáticamente vencido el plazo de cura? El procedimiento para la imposición de Multas iniciará una vez haya transcurrido el Plazo de Cura sin que el Concesionario haya remediado el incumplimiento y el mismo tendrá lugar de conformidad con las ritualidades procedimentales propias de  la norma erigida para el efecto (art. 86 Ley 1474 de 2011)
3.¿En qué escenario podría el concesionario tener un efecto desfavorable por la variación en el tráfico si el VPIP estará respaldado por el soporte de ingresos, y además podría extenderse el plazo de la concesión y el reconocimiento del Soporte de Ingresos? ¿La sumatoria en pesos constantes del soporte de ingresos (SI) es equivalente al VPIP?
Se informa al interesado que se incluirá el Soporte de Ingresos para el presente Proyecto, pero su valor no es equivalente al VPIP, ni aplicararán mecanismos como la extensión del plazo de la concesión para compensarlo.  Efectivamente los riesgos de obtención de rentabilidad del negocio, obtención del VPIP y financiación del proyecto están asignados al Concesionario de acuerdo con las secciones 13.2 (xviii), (xxi) y  (xxv) de la Parte General del contrato.
4. Toma de Posesión por Inhabilidad Sobreviniente: Se aclara al interesado que de acuerdo con lo indicado por la Sección 17.3 de la Parte General, en el evento en que los Prestamistas decidan no continuar con la ejecución del Contrato, la ANI podrá, previa terminación del Contrato iniciar un nuevo proceso de selección para contratar un nuevo concesionario para que continúe con la ejecución del Proyecto, y/o adoptar todas las demás medidas que sean procedentes de conformidad con la Ley Aplicable para garantizar la ejecución del Contrato. De acuerdo con lo anterior, no se considera necesario efectuar la aclaración propuesta.
5. Fondeos de las subcuentas predial y redes: Se informa al interesado que se extendieron los términos para efectuar los desembolsos en estas subcuentas..
6. Fondeos de la subcuenta interventoría en la etapa de reversión: Se informa al interesado que se tendrá en cuenta su observación y se efectuarán los ajustes correspondientes.</t>
  </si>
  <si>
    <t>Con relación al punto "1) En línea con la observación No. 14 anterior, debe eliminarse la referencia a la modificación de los Estudios de Prefactibilidad de Trazado y Diseño Geométrico."(sic) se aclara que la solicitud no procede considerando que dichas modificaciones varían la probabilidad de la ocurrencia de los riesgos que sustentaron las definiciones hechas por la ANI para la presente Licitación Pública. Adicionalmente, se informa al interesado que se ajustará en los documentos definitivos las condiciones de flexibilización de Modificaciones y Adecuaciones a los Estudios de Factibilidad de Trazado y Diseño Geométrico respecto a la franja de utilidad pública e interés social de la Sección 6.3 de la Parte General.
Respecto al punto "2) […]  (a) establecer un Subcuenta Nuevas Consultas y presupuesto para este riesgo y (b) incorporar el mecanismo de bandas 100/120/200"
Sobre el literal (a), se aclara al interesado que ya se establece una subcuenta en el Contrato. El reconocimiento de la porción a cargo de la ANI de conformidad con la Sección 19.1 de la Parte General se hace por Obras Menores, y tal como lo define la Sección 3.14 de la Parte General le corresponde la Subcuenta Obras Menores.
Respecto al literal (b) se establecerá un valor de referencia a partir del cual aplicará una compartición del riesgo por un sistema de bandas de manera análoga a los riesgo establecidos predial, ambiental y de redes. 
Sobre el punto "3) En la medida en que la aparición de una nueva consulta es un hecho imprevisible para el Concesionario, pues ha sido la ANI quien ha analizado y surtido las consultas previas necesarias en su condición de Estructurador, el acaecimiento de una nueva consulta debe considerarse de manera automática como un Evento de Fuerza Mayor, de manera que no exista discusión entre el Concesionario, la ANI y el Interventor en ese sentido. En tal sentido, solicitamos que esta consideración se agregue a la respectiva Sección." Se informa al interesado que su solicitud no procede, y se aclara que la Sección 8.1(h) ya define los casos en los que se presenta Fuerza Mayor Ambiental relacionada con las demoras en las consultas previas.</t>
  </si>
  <si>
    <t xml:space="preserve">Se aclara al interesado que tal y como se plantea en la sección observada el mecanismo opera bajo la condición que llegaré a indicar la ANI, y en este sentido, las decisiones de otras Entidades competentes solo activarán este mecanismo siempre y cuando se cumpla la condición de que la ANI lo indique.
Dicho lo anterior implícitamente cualquier solicitud realizada por otra Entidad Competente y que la ANI así lo indique activara el mecanismo. </t>
  </si>
  <si>
    <t xml:space="preserve">Se aclara al interesado que a raíz de la coyuntura actual, la Entidad consideró procedente regular eventos que, siendo decretado por una autoridad, impliquen la restricción vehicular. En este sentido, el Contrato Parrte General, incluye el Evento por Restricción de Movilidad dentro de los eventos que imposibilitan el recaudo de las estaciones de peaje de la Sección 3.3(g) de la Minuta Parte General, e  igualmente considera la regulación respecto a su compensación.
En este sentido, no se considera procedente su observacción, dado que para estos eventos  el Concesionario contará con las figuras de Soporte de Ingreso y Evento de Restricción Vehicular que pretende cubrir aquellos eventos señalados en su observación . </t>
  </si>
  <si>
    <t xml:space="preserve">Se aclara al interesado que el CONPES 3714  no es aplicable a este tipo de proyectos toda vez que los mismos se enmarcan en proyectos de Asociación Público Privada, sobre los cuales rigen los CONPES 3107 y 3760. 
Adicionalmente, la Entidad reconoce que la preocupación y argumentos desarrollado por el interesado son válidos ypor tanto  los mismos son atendidos por las definiciones de fuerzas mayores ambientales desarrolladas detalladamente dentro de la sección 13.3 del  Contrato Parte General y demás secciones asociadas a un evento de Fuerza Mayor de este tipo.    </t>
  </si>
  <si>
    <t xml:space="preserve">La entidad se permite aclarar al interesado lo siguiente:
1. La ANI asumirá parcialmente los efectos favorables y/o desfavorables derivados de los eventos de Fuerza Mayor Predial dentro del proceso de expropiación en los términos de la Sección 7.4(a)(iv). Así mismo, la ANI asumirá parcialmente estos efectos en lo relacionado con predios faltantes, de acuerdo con lo dispuesto por la Sección 7.4(a)(i)(ii) y (iii). 
De acuerdo con lo anterior, la asignación del riesgo es parcial, toda vez que se da únicamente cuando se cumplen los supuestos de las referidas secciones. Así mismo, el Estado, seguirá el manejo establecido para estos riesgos, de acuerdo con los procedimientos para ello establecidos dentro del contrato tal y como se especifica en las secciones 7.4(b) y siguientes, así como lo establecido en el capítulo XIV del Contrato, en donde se mencionan al respecto alternativas como, el cambio de alcance ó la terminación parcial de unidad funcional. 
En este orden de ideas, ante la ocurrencia de un riesgo de fuerza mayor en cabeza de la entidad concedente, la entidad busca mitigarlo a través de los procedimientos establecidos en el contrato en las secciones mencionadas, lo cual no implica necesariamente la asunción de la totalidad de este riesgo, ya que el tratamiento de un riesgo puede tener diversas formas de manejo para su mitigación, las cuales, para el caso de los riesgos de fuerza mayor son las que se establecen el contrato. Es por ello, que se establece que la asunción de dicho riesgo es parcial y no total.
2. Los riesgos que se encuentran asignados parcialmente están debidamente detallados en las Secciones del Contrato a las que hace referencia. Por otro lado, los eventos de fuerza mayor, hacen referencia a eventos imprevisibles e  imposibles de resistir. Es así como el manejo de una fuerza mayor puede llevar a un evento eximente de responsabilidad para las partes y como su nombre lo indica exime a las partes de algunas obligaciones establecidas en el contrato.
3. Se informa al interesado que la asignación de los riesgos contenida en la matriz  y replicada en las Secciones 13.2 y 13.3 del Contrato Parte General es vinculante para las partes. Es importante resaltar que la matriz de riesgos del Proyecto, es un instrumento de gestión que permite a la Entidad realizar una adecuada tipificación, estimación y asignación de riesgos que queda plasmada en el documento denominado matriz de riesgos y se replica en los apartes pertinentes en el Contrato. Así mismo, se aclara al interesado que la asignación de riesgos fue efectuada por la Entidad teniendo en cuenta las necesidades concretas de este tipo de proyectos y, en consideración a las mismas, se decidió asignar parcialmente algunos de ellos, situación que no está prohibida por las disposiciones legales aplicables. Así mismo, lo establecido en el contrato, se fundamenta con base en lo establecido en el documento CONPES 3760, numeral xi. Riesgos por fuerza mayor cuando señala que: “Se refiere a aquellos eventos que están fuera del control de las partes. Con el objeto de limitar el riesgo ante este tipo de situaciones no asegurables, y para facilitar la financiación y desarrollo del proyecto, en aquellos casos en que por eventos eximentes de responsabilidad del concesionario, no sea posible para este terminar aquellas obras que por su magnitud, complejidad o incertidumbre lo ameriten, se buscarán mecanismos para determinar una compensación especial, siempre y cuando la obra este significativamente avanzada, tal y como se describe a continuación…”
En tal sentido, y tal como se presenta el documento CONPES, al tratarse de eventos generadores de riegos denominados de fuerza mayor, al encontrarsen fuera del control de las partes, se establece en el contrato los mecanismos para dar continuidad al contrato buscando en cualquier caso no perjudicar al contratista con la ocurrencia del evento que encuentra fuera del control de las partes. Por lo anterior, y dado que se trata de una situación de manejo, que el Estado no puede asumir en su totalidad, pero en cualquier caso, busca dar solución tratando de no generar afectaciones al contratista. En consecuencia, la entidad no considera que haya una inconsistencia en los documentos contractuales.
4. Se aclara al interesado que las Secciones 13.2 y 13.3 del Contrato Parte General incluyen el listado detallado de los riesgos asignados a las partes y es vinculante para las mismas. </t>
  </si>
  <si>
    <t>Se informa al interesado que se amplió el plazo del cierre financiero y se modificó la redacción de esta cláusula así: 3.8 (b) En el caso que el Concesionario opte por presentar en el plazo del Cierre Financiero la certificación emitida por el(los) Prestamista(s) indicada en la Sección 3.8(a)(i) de esta Parte General, el Concesionario contará con el plazo establecido en la Parte Especial contando desde la fecha de suscripción del Acta de Inicio de la Fase de Construcción para presentar el contrato de crédito suscrito o una certificación emitida por el(los) Prestamista(s) en la que conste que el contrato de crédito fue suscrito, que contenga al menos lo siguiente: (i) valor del crédito; (ii) acreedor; (iii) garantías; (iv) plazo para el pago; (v) tasa; (vi) condiciones para el desembolso.</t>
  </si>
  <si>
    <t>Se informa al interesado que la Entidad realizó un ajuste al factor del límite del Equity (FAE) que se podrá verificar en la minuta parte especial publicada con los pliegos de condiciones. 
Nota: sin perjuicio de lo planteado en esta respuesta, solamente serán vinculantes las regulaciones efectivamente publicadas en los Pliegos del proceso licitatorio.</t>
  </si>
  <si>
    <t xml:space="preserve">La Entidad aclara al interesado que conforme a los estipulado en la Tabla de Referencia del Contrato Parte Especial 3.14 (h) (iv)(2), se especifica el orden y los montos para el fondeo de la Subcuenta de Recaudo de Peaje. En este sentido, el porcentaje establecido para el fondeo de la Unidad Funcional 0, aplicará sobre los recursos que hayan quedado disponibles, luego de haber realizado el fondeo a la Subcuenta de depósito Especial. Posteriormente y una vez atendido el fondeo de la Unidad Funcional 0, con los recursos remanentes, se fondeará la Subcuenta de Contingencias hasta alcanzar el monto señalado o la fecha máxima y finalmente, con el remanente del Recaudo de Peaje con los porcentajes destinado a las demás Unidades Funcionales con base en la estipulado en la sección 4.1 de la Parte Especial. 
Dicho lo anterior, la Entidad realizará los ajustes pertinentes para dar la claridad necesaria en este punto. </t>
  </si>
  <si>
    <t xml:space="preserve">Se aclara al interesado que a raíz de la coyuntura actual, la Entidad considera procedente regular eventos que, siendo decretado por una autoridad, impliquen la restricción vehicular. En este sentido, se incluye el Evento por Restricción de Movilidad dentro de los eventos que imposibilitan el recaudo de las estaciones de peaje de la Sección 3.3(g) de la Minuta Parte General, que se considera igualmente en la regulación respecto a su compensación.
En este sentido, para estos eventos el Concesionario contará con las figuras de Soporte de Ingreso y Evento de Restricción Vehicular que pretende cubrir aquellos eventos señalados en su observación. </t>
  </si>
  <si>
    <t xml:space="preserve">La Entidad considera que el periodo establecido es necesario para la adecuada identificación, activación y procedimientos de presupuestación de la Entidad respecto a la compensación asociada a los eventos de: no instalación de peaje, reubicación de casetas de peaje, demora en la entrega de las estaciones de peaje existentes, y elusión. 
De igual manera, la Entidad considera que la regulación respecto a la compensación del riesgo de elusión acota adecuadamente el mismo toda vez que:
(i) el procedimiento es suficientemente claro, 
(ii) los plazos y periodicidades en los que aplican la compensación se encuentran clara y explícitamente definidos en el contrato, lo cual debería permitir a los oferentes y financiadores realizar los dimensionamientos respectivos asociados a estos eventos.  
(iii) la compensación salvo el primer trimestre del evento, se realiza trimestralmente mientras subsista el riesgo y dicha compensación tiene como fuente última los recursos del fondo de contingencias. 
Adicionalmente, se aclara que se realizó un ajuste en la definición del mismo como se presenta a continuación: "Se entiende como el uso legítimo de Nuevas Vías Públicas que no fueron contempladas durante la etapa de estructuración y hasta la apertura del Proceso de Selección del Proyecto y que tenga como efecto el no paso por las Estaciones de Peaje. No se entenderá como Elusión el uso de las vías que se listen en la Parte Especial, ni el uso ilegítimo de cualquier otra vía alterna utilizada por parte de los usuarios del Proyecto.",  Lo cual acota incertidumbres asociadas a un evento que pudiese materializarse en el plazo del proceso licitatorio. 
</t>
  </si>
  <si>
    <t xml:space="preserve">La entidad considera que la regulación respecto a la compensación del riesgo de elusión es clara, efectiva y acota adecuadamente el mismo toda vez que:
(i) el procedimiento es suficientemente claro, 
(ii) los plazos y periodicidades en los que aplican la compensación se encuentran clara y explícitamente definidos en el contrato, lo cual debería permitir a los oferentes y financiadores realizar los dimensionamientos respectivos asociados a estos eventos. 
(iii) la compensación salvo el primer trimestre del evento, se realiza trimestralmente mientras subsista el riesgo y dicha compensación tiene como fuente última los recursos del fondo de contingencias. 
Adicionalmente,  se aclara que se realizó un ajuste en la definición del mismo como se presenta a continuación: "Se entiende como el uso legítimo de Nuevas Vías Públicas que no fueron contempladas durante la etapa de estructuración y hasta la apertura del Proceso de Selección del Proyecto y que tenga como efecto el no paso por las Estaciones de Peaje. No se entenderá como Elusión el uso de las vías que se listen en la Parte Especial, ni el uso ilegítimo de cualquier otra vía alterna utilizada por parte de los usuarios del Proyecto.",  Lo cual acota incertidumbres asociadas a un evento que pudiese materializarse en el plazo del proceso licitatorio. </t>
  </si>
  <si>
    <t xml:space="preserve">Se informa al interesado lo siguiente: 
1. Se informa la interesado que se incluyó una regulación respecto a la materialización de un evento de Restricción de Movilidad. el cual compensará al Concesionario en un 90%, desde el momento en que sea decretado dicho evento (y conforme lo estipulado en el Contrato Parte General). 
2. Se informa al interesado que no se acepta su observación. La ampliación del plazo únicamente procederá por los eventos ya previstos en el Contrato. 
3. En lo que respecta a la compensación por costos ociosos, se informa al interesado que no se acepta su observación. La sección 14.2 (g) del Contrato Parte General ya contempla el evento en el cual surjan Eventos Eximentes de Responsabilidad que obliguen al Concesionario a paralizar la ejecución de las obras o labores derivadas de la ejecución del Contrato de Concesión. </t>
  </si>
  <si>
    <t>Se aclara al interesado que:
(i) se incluirá el mecanismo de Soporte de Ingreso para el presente proyecto. 
(ii) no se considera procedente la solicitud toda vez que uno de los objetivos del mecanismo es soportar, entre otros, los gastos asociados al servicio de la deuda los cuales requieren ser atendidos con recursos distintos a la financiación misma, a partir de la Etapa de Operación y Mantenimiento (lo anterior en le entendido que durante la etapa constructiva independiente de la unidad funcional 0, cualquier diferencia entre los fuentes y usos deberá ser cubierta con las fuentes de financiación.). Lo anterior corresponde a que como política del Estado se ha planteado dar un soporte para el periodo de pago de la deuda enfocado a mejorar las condiciones de la financiación en el largo plazo, en ese sentido corresponderá al proponente hacer sus propios cálculos de las fuentes debido al ingreso de peajes durante la etapa de construcción para dimensionar correctamente los requerimientos de financiamiento.</t>
  </si>
  <si>
    <t xml:space="preserve">Se informa al interesado que no se acepta su observación, toda vez que la definición de Nuevas Vías Públicas contempla todas las vías alternas que a criterio de la Entidad deberían hacer parte de este riesgo. 
Adicionalmente se aclara que se realizó un ajuste en la definición del mismo como se presenta a continuación: "Se entiende como el uso legítimo de Nuevas Vías Públicas que no fueron contempladas durante la etapa de estructuración y hasta la apertura del Proceso de Selección del Proyecto y que tenga como efecto el no paso por las Estaciones de Peaje. No se entenderá como Elusión el uso de las vías que se listen en la Parte Especial, ni el uso ilegítimo de cualquier otra vía alterna utilizada por parte de los usuarios del Proyecto.",  Lo cual acota incertidumbres asociadas a un evento que pudiese materializarse en el plazo del proceso licitatorio. 
</t>
  </si>
  <si>
    <t xml:space="preserve">Se informa al interesado que no se acepta su observación. La naturaleza de los contratos de Asociación Público Privada (APP) involucra la retención y transferencia de riesgos entre las partes sin que exista una garantía de ingreso para el Concesionario, a diferencia de lo que ocurre con otras modalidades contractuales, como por ejemplo, la obra pública. Los contratos de APP son contratos aleatorios, lo que quiere decir que no existe equivalencia de prestaciones entre las Partes y algunos aspectos están sujetos a lo que pueda ocurrir en el futuro. En este caso, el alea del contrato consistente en no obtener el VPIP una vez vencido el plazo del mismo está a cargo del Concesionario y en esta medida, es un riesgo asumido por este. 
De acuerdo con lo anterior, el Adjudicatario suscribirá un contrato en donde aceptará expresamente asumir el riesgo de que, eventualmente, terminado el plazo del Contrato de Concesión no obtenga la totalidad del ingreso esperado, situación que es perfectamente compatible con proyectos de APP en el entorno internacional y con la legislación colombiana.  Efectivamente los riesgos de obtención de rentabilidad del negocio, obtención del VPIP y financiación del proyecto están asignados al Concesionario de acuerdo con las secciones 13.2 (xviii), (xxi) y  (xxv) de la Parte General del contrato.
En todo caso, se informa al interesado que la entidad ha tenido en cuenta los diferentes eventos de Menor Recaudo que pueden presentarse dentro del Contrato, incluyendo el indicado en su observación,. el cual se articula dentro de la sección 3.3. (g) del Contrato como un evento de Restricción de Movilidad respecto al cual la Entidad realizará las compensaciones respectivas asociados al mismo en los plazos., términos y condiciones establecidos en el Contrato para estos efectos. 
Así mismo, se informa al interesado que se incluirá la figura de Soporte de Ingreso para este Contrato, figura con la cual se busca compartir el riesgo comercial entre el privado y el público. </t>
  </si>
  <si>
    <t xml:space="preserve">Respecto a la inquietud de por qué todos los costos de GMF deben ser asumidos por el Concesionario se aclara al interesad que en el marco de la estructuración para la definición del VPIP se tuvo en cuenta la totalidad de esta erogación (en cabeza del Concesionario), por lo tanto los mismos serán remunerados con la retribución. 
Respecto al entendimiento que estos costos deberían ser asumidos por los recursos de la cuenta respectiva, se aclara que es correcto en la medida en que los fondeos que deban realizarse a las subcuentas en los montos establecidos en el contrato parte especial,  son netos de cualquier gravamen por lo cual para que el fondeo se realice de esta manera el Concesionario implícitamente deberá asumir las erogaciones asociadas a dicha transferencia como el GMF. </t>
  </si>
  <si>
    <t>Se informa al interesado que la Entidad realizó un ajuste al factor del límite del Equity (FAE). 
Nota: sin perjuicio de lo planteado en esta respuesta, solamente serán vinculantes las regulaciones efectivamente publicadas en los Pliegos del proceso licitatorio.</t>
  </si>
  <si>
    <t xml:space="preserve">
La Entidad se permite aclarar al interesado que incluye en el  Contrato las figuras de Soporte de Ingreso y Evento de Restricción Vehicular que pretenden cubrir aquellos eventos señalados en su observación. 
Dicho lo anterior no se considera procedente su observación.</t>
  </si>
  <si>
    <t>Se informa al interesado que se amplió el plazo del cierre financiero y la forma de acreditación así: 3.8 (b) En el caso que el Concesionario opte por presentar en el plazo del Cierre Financiero la certificación emitida por el(los) Prestamista(s) indicada en la Sección 3.8(a)(i) de esta Parte General, el Concesionario contará con el plazo establecido en la Parte Especial contando desde la fecha de suscripción del Acta de Inicio de la Fase de Construcción para presentar el contrato de crédito suscrito o una certificación emitida por el(los) Prestamista(s) en la que conste que el contrato de crédito fue suscrito, que contenga al menos lo siguiente: (i) valor del crédito; (ii) acreedor; (iii) garantías; (iv) plazo para el pago; (v) tasa; (vi) condiciones para el desembolso.</t>
  </si>
  <si>
    <t xml:space="preserve">Se aclara al interesado que el concepto detrás del uso de la variable Sh es el de que se capture dentro de la fórmula cualquier pago efectivamente realizado al concesionario (retribución / compensación) que no necesariamente estará asociado a un incremento del AR, sino que pueden incluir compensaciones asociada a Menor Recaudo las cuales no tienen relación con el AR.
Dicho esto se considera que la variable captura adecuadamente el efecto de una compensación dentro de la fórmula de terminación. </t>
  </si>
  <si>
    <t xml:space="preserve">Se aclara al interesado que la observación no se considera procedente toda vez que la diferencia entre la Fecha Estimada de Inicio y la Fecha de inicio se considera que estará acotada bajo las modificaciones en los plazos que se vayan realizando a lo largo en el proceso licitatorio y por lo tanto no debe haber una diferencia significativa entre valores calculados en cualquiera de estas dos fechas. </t>
  </si>
  <si>
    <t>Se informa al interesado que no se acepta su observación. La ANI considera que la asignación del Riesgo de cambios en la Ley Aplicable prevista en el Contrato es razonable y responde a la práctica usual en este tipo de proyectos.</t>
  </si>
  <si>
    <t xml:space="preserve">A raíz de la coyuntura sanitaria, la Entidad considera procedente regular eventos que, siendo decretado por una autoridad, impliquen la restricción vehicular. En este sentido, se incluye el Evento por Restricción de Movilidad dentro de los eventos que imposibilitan el recaudo de las estaciones de peaje de la Sección 3.3(g) de la Minuta Parte General, que se considera igualmente en la regulación respecto a su compensación.
Adicionalmente, como mecanismo de compensación el Concesionario contará con el Soporte de Ingresos. </t>
  </si>
  <si>
    <t xml:space="preserve">Se informa al interesado que no se acepta la observación. La entidad considera que el plazo establecido para el contrato es adecuado y razonable para este proyecto.   La naturaleza de los contratos de Asociación Público Privada (APP) involucra la retención y transferencia de riesgos entre las partes sin que exista una garantía de ingreso para el Concesionario, a diferencia de lo que ocurre con otras modalidades contractuales, como por ejemplo, la obra pública. Los contratos de APP son contratos aleatorios, lo que quiere decir que no existe equivalencia de prestaciones entre las Partes y algunos aspectos están sujetos a lo que pueda ocurrir en el futuro. En este caso, el alea del contrato consistente en no obtener el VPIP una vez vencido el plazo del mismo está a cargo del Concesionario y en esta medida, es un riesgo asumido por este. </t>
  </si>
  <si>
    <t xml:space="preserve">Se informa al interesado que no se acepta su observación. Efectivamente los riesgos de obtención de rentabilidad del negocio, obtención del VPIP y financiación del proyecto están asignados al Concesionario de acuerdo con las secciones 13.2 (xviii), (xxi) y  (xxv) de la Parte General del contrato. Sin embargo, la entidad informa que se incluirá el mecanismo de Soporte de Ingresos con el fin de facilitar la financiación del proyecto y se incluye también la compensación por Restricción de Movilidad que minimizan los efectos de la coyuntura actual, modificación que se podrá evidenciar en la minuta que se publicará con Pliegos Definitivos.   
No obstante la Entidad ha incluido dentro del Contrato Parte General para este proyecto,  el mecanismo de Soporte de Ingreso . </t>
  </si>
  <si>
    <t xml:space="preserve">
La entidad se permite informar:
 - 5.2 Se aclara al interesado que se incluirá el Soporte de Ingreso para el Proyecto, y se hará en línea con lo establecido en el Parte General en cuanto a condiciones y plazos.  
 - 5.3 Se informa al interesado que la Entidad tendrá en cuenta su observación y realizará los ajustes correspondientes en el documento final. Para el caso concreto se establecerá un se establecerá un valor de referencia a partir del cual aplicará una compartición del riesgo por un sistema de bandas de manera análoga a los riesgo establecidosen predial, ambiental y de redes.
Nota: sin perjuicio de lo planteado en esta respuesta, solamente serán vinculantes las regulaciones efectivamente publicadas en los Pliegos del proceso licitatorio.
  - 5.4 Se informa al interesado que en línea con lo estipulado en la  tabal de referencia 1.182 y 13.2 (a) (ix)  en el Contrato Parte Especial, se aclara que este Proyecto no incluye la construcción de túneles y que dicho riesgo no aplica para este proyecto.</t>
  </si>
  <si>
    <t xml:space="preserve">Se informa al interesado que no se acepta su observación por las siguientes razones :
 - Con relacion al término de 90 días durante el cual no se generará compensación, la entidad considera que es un plazo razonable de acuerdo con las necesidades del Proyecto toda vez que este tiempo se considera prudencial para evaluar el impacto que genera riesgo y evitar que sea un comportamiento de corto plazo que no esté relacionado propiamente con el evento a compensar .
 -  La ANI considera que el reconocimiento del 90% del recaudo esperado es suficiente y razonable de acuerdo con las necesidades del Proyecto y es consecuente con la línea utilizada en la anterior generación de proyectos (4G), toda vez que el 10% que no se compensa está relacionado a los ahorro que obtiene el concesionario asociados a la operación y mantenimiento derivados del evento. 
 -Con relación a la garantía de tráfico mencionada en su observación. la Entidad acoge la misma y decidió incluir en el Contrato las figuras de Soporte de Ingreso . </t>
  </si>
  <si>
    <t xml:space="preserve">Se informa al interesado que no se acepta su observación. La naturaleza de los contratos de Asociación Público Privada (APP) involucra la retención y transferencia de riesgos entre las partes sin que exista una garantía de ingreso para el Concesionario, a diferencia de lo que ocurre con otras modalidades contractuales, como por ejemplo, la obra pública. Los contratos de APP son contratos aleatorios, lo que quiere decir que no existe equivalencia de prestaciones entre las Partes y algunos aspectos están sujetos a lo que pueda ocurrir en el futuro. Por lo anterior no se considera procedente la observación. 
En cuanto a las obras que otorgan un puntaje adicional, no se considera procedente la observación, toda vez que las mismas son optativas y será el interesado el que deba incorporar dicho análisis al momento de presentar su oferta. </t>
  </si>
  <si>
    <t xml:space="preserve">Se informa al interesado que no se acepta su observación. Las Obras menores podrán ser solicitadas por autoridades territoriales y/o representantes legítimos de comunidades ante el Concesionario o la ANI, exponiendo en consideración de las instancias que determine la ANI en su momento para estudio, priorización y aprobación con concepto favorable de Interventoría, dicho lo anterior no se considera necesario incluir el umbral referido. </t>
  </si>
  <si>
    <t xml:space="preserve">
La entidad considera procedente su observación y relaizará la modificaciónos ajustes en los pliegos definitivos.</t>
  </si>
  <si>
    <t xml:space="preserve">
La Entidad no considera procedente la solicitud toda vez que tal y como es explícito en la regulación contractual dichos saldos se transferirán al nuevo operador de la vía. </t>
  </si>
  <si>
    <t>La Entidad se permite aclara al interesado que el entendimiento es correcto, el concesionario no podrá imputar ningún gasto anterior a la constitución del Patrimonio Autónomo de la SPV en el P.A</t>
  </si>
  <si>
    <t xml:space="preserve">Se informa al Interesado que:
1- dado que la ANI es la única beneficiaria de la subcuenta, si se requerirá de autorización para realizar las devoluciones. 
2- el GMF, será asumido por el Nuevo concesionario o la Entidad, toda vez que en ese evento el concesionario habrá terminado su vínculo contractual.  </t>
  </si>
  <si>
    <t>MATRIZ</t>
  </si>
  <si>
    <t>1-733</t>
  </si>
  <si>
    <t>734-779</t>
  </si>
  <si>
    <t>780-2126</t>
  </si>
  <si>
    <t>2127-3075</t>
  </si>
  <si>
    <t>3076-3093</t>
  </si>
  <si>
    <t>TOTAL</t>
  </si>
  <si>
    <t>•             Se informa al interesado lo siguiente:
1. Se considera que el periodo establecido es necesario para la adecuada identificación, activación y procedimientos de presupuestación de la Entidad respecto a la compensación asociada a los eventos de: no instalación de peaje, reubicación de casetas de peaje, demora en la entrega de las estaciones de peaje existentes, y elusión. Por lo cual no se considera procedente modificar el plazo establecido.
2. la Entidad considera que la regulación respecto a la compensación del riesgo de elusión acota adecuadamente el mismo toda vez que: (i) el procedimiento es suficientemente claro, (ii) los plazos y periodicidades en los que aplican la compensación se encuentran clara y explícitamente definidos en el contrato, lo cual debería permitir a los oferentes y financiadores realizar los dimensionamientos respectivos asociados a estos eventos, y  (iii) la compensación salvo el primer trimestre del evento, se realiza trimestralmente mientras subsista el riesgo y dicha compensación tiene como fuente última los recursos del fondo de contingencias. Por lo mismo se considera que el procedimiento es adecuado de acuerdo con los términos señalados en la Sección 3.3. (g) y (h).
3. Se informa al interesado que no se acepta su observación. La ANI considera que el reconocimiento del 90% del recaudo esperado es suficiente y razonable de acuerdo con las necesidades del Proyecto adicional a que este tipo de eventos conllevan indirecta e implícitamente ahorros en la operación. </t>
  </si>
  <si>
    <t>•             Se informa al interesado que la Entidad ha tenido en cuenta su observación y realizará los ajustes correspondientes en el documento final. Para el caso concreto se establecerá un valor de referencia a partir del cual aplicará una compartición del riesgo por un sistema de bandas de manera análoga a los riesgo establecidos predial, ambiental y de redes, con lo cual se acotará a un tope máximo definido en el contrato la exposición al riesgo que asumirá el privado.</t>
  </si>
  <si>
    <t xml:space="preserve">1. Se informa al interesado que no se acepta su observación. La ANI reconocerá una compensación por menor Recaudo de Peaje en eventos de Elusión si la circunstancia se mantiene por más de 90 días contados desde el Día que se declare formalmente la Elusión por parte de la ANI través del acto administrativo correspondiente. Esto quiere decir que será el Día en el cual se considere que existió la Elusión según el acto administrativo. Dicho acto administrativo será expedido por la ANI en un plazo razonable de acuerdo con las necesidades del caso. 
2. Se informa al interesado que no se acepta su observación. La ANI considera que los requisitos señalados en el Contrato para demostrar la elusión son suficientes y razonables. 
3. Se informa al interesado que dicha información es pública y podrá ser consultada por cada uno de los Oferentes en cumplimiento de su obligación de debida diligencia. 
4. Se informa al interesado que no se acepta su observación.  Adicionalmente, se aclara que se realizó un ajuste en la definición del mismo como se presenta a continuación: "Se entiende como el uso legítimo de Nuevas Vías Públicas que no fueron contempladas durante la etapa de estructuración y hasta la apertura del Proceso de Selección del Proyecto y que tenga como efecto el no paso por las Estaciones de Peaje. No se entenderá como Elusión el uso de las vías que se listen en la Parte Especial, ni el uso ilegítimo de cualquier otra vía alterna utilizada por parte de los usuarios del Proyecto.",  Lo cual acota incertidumbres asociadas a un evento que pudiese materializarse en el plazo del proceso licitatorio. Al respecto es importante tener en cuenta que el Concesionario efectuará los controles tanto de infraestructura como de Operación, y coordinación con la Policía de Carreteras para evitar la elusión por vías ilegítimas.
</t>
  </si>
  <si>
    <t xml:space="preserve">Se aclara al interesado que:
(i) se incluirá el Soporte de Ingreso para el Proyecto, y se hará en línea con lo establecido en el Parte General en cuanto a condiciones y plazos. 
(ii) no se considera procedente la solicitud toda vez que uno de los objetivos del mecanismo es soportar, entre otros, los gastos asociados al servicio de la deuda los cuales requieren ser atendidos con recursos distintos a la financiación misma, a partir de la Etapa de Operación y Mantenimiento (lo anterior en le entendido ue durante la etapa de constructiva independiente de la unidad funcional 0, cualquier diferencia entre el fuentes y usos deberá ser cubierta con las fuentes de financiación.). Lo anterior corresponde a que como política del Estado se ha planteado dar un soporte para el periodo de pago de la deuda enfocado a mejorar las condiciones de la financiación en el largo plazo, en ese sentido corresponderá al proponente hacer sus propios cálculos de las fuentes debido al ingreso de peajes durante la etapa de construcción para dimensionar correctamente los requerimientos de financiamiento.
</t>
  </si>
  <si>
    <t>e informa al interesado que se amplió el plazo del cierre financiero y la forma de acreditación así: 3.8 (b) En el caso que el Concesionario opte por presentar en el plazo del Cierre Financiero la certificación emitida por el(los) Prestamista(s) indicada en la Sección 3.8(a)(i) de esta Parte General, el Concesionario contará con el plazo establecido en la Parte Especial contando desde la fecha de suscripción del Acta de Inicio de la Fase de Construcción para presentar el contrato de crédito suscrito o una certificación emitida por el(los) Prestamista(s) en la que conste que el contrato de crédito fue suscrito, que contenga al menos lo siguiente: (i) valor del crédito; (ii) acreedor; (iii) garantías; (iv) plazo para el pago; (v) tasa; (vi) condiciones para el desembolso.</t>
  </si>
  <si>
    <t xml:space="preserve">Se informa al interesado que no se acepta su observación. El Concesionario deberá asumir todas las variaciones en los costos de construcción que se generen por la Entrega de la Infraestructura en fechas distintas a las previstas por el Contrato. Toda vez que el mismo podrá incluir dentro de su debida diligencia los análisis correspondientes para incorporar cualquier supuesto asociado al evento y capturarlo dentro de su oferta económica. 
</t>
  </si>
  <si>
    <t xml:space="preserve">Se informa al interesado que el riesgo correspondiente a los costos asociados a la realización de Obras Menores no previstas en el Contrato, solicitadas por la ANI o requeridas por las autoridades ambientales será asumido parcialmente por la ANI en relación con los costos que se generen derivados de acuerdos de nuevas consultas protocolizadas durante la ejecución del Proyecto de acuerdo con lo establecido en la Sección 8.1(d).  De acuerdo con dicha sección, los compromisos producto de acuerdos derivados por nuevas consultas previas serán asumidos por las Partes, mediante un valor de referencia a partir del cual aplicará una compartición del riesgo por un sistema de bandas, de manera análoga a los riesgos predial, ambiental y de redes. Teniendo en cuenta lo anterior, no se considera procedente realizar la aclaración propuesta.
</t>
  </si>
  <si>
    <t xml:space="preserve">En línea con lo planteado en la observación, se aclara que se realizó un ajuste en la definición del Concepto de Elusión como se presenta a continuación: "Se entiende como el uso legítimo de Nuevas Vías Públicas que no fueron contempladas durante la etapa de estructuración y hasta la apertura del Proceso de Selección del Proyecto y que tenga como efecto el no paso por las Estaciones de Peaje. No se entenderá como Elusión el uso de las vías que se listen en la Parte Especial, ni el uso ilegítimo de cualquier otra vía alterna utilizada por parte de los usuarios del Proyecto.".
</t>
  </si>
  <si>
    <t>(i) Se aclara al interesado que el Soporte de Ingreso aplicará hasta los montos y fechas establecidos en la Parte Especial y no respecto a la totalidad de los ingresos ni durante toda la etapa de Operación y Mantenimiento. Esto implica que para los años en los que no haya soporte de ingreso, cualquier dismunición de tráfico será asumida por el concesionario, caso en el cual podría no alcanzar el VPIP. 
(ii) Se aclara al interesado que la Entidad realizó ajustes sobre la dstinación de los remanentes Predial, Ambienta, y Redes, los cuales serán distribuidos entre la ANI (56%) y el Concesionario (44%).
 (iii) Se aclara que el contrato tipo aplica para malla como para cualquier proyecto. En caso de que exista alguna diferencia se homogenizara. De igual manera se aclara al interesado que este contrato tipo no tiene ninguna relación con Iniciativas Privadas ya que esta enmarcado en Iniciativas públicas, siendo el presente proyecto una de estas. 
 (iv) Se revisarán las definiciones de las fórmulas de la Sección 7.1(f)(i). La interpretación correcta es que el número de Ofertados es independiente del número de Cesión y de Adjudicación. 
 (v) En la Sección 7.1(f)(iii) el cálculo del porcentaje se realiza con base en el número de Predios Requeridos, es decir que no se diferencian características de área y criticidad.
 (vi)  Respecto a la Gestión Social y Ambiental, el sistema de bandas es de aplicación para las Compensaciones Socioambientales. Aparte de esta condición se incluyeron costos compartidos en las Obras Menores para los costos de los acuerdos protocolizados de nuevas consultas previas.
 - Con relación a los ahorros en la Subcuenta Compensaciones Socioambientales, se informa al interesado que se estudiará la observación en cuanto al manejo de los remanentes de dichas subcuentas y se harán los ajustes correspondientes en el documento definitivo. Sin perjuicio de lo planteado en esta respuesta, solamente serán vinculantes las regulaciones efectivamente publicadas en los Pliegos del proceso licitatorio.
 - Se aclara que la regulación sobre nuevas consultas previas es aplicable para las comunidades que sean certificadas por Autoridad Estatal competente o reconocidas mediante fallo judicial en firme en el área de influencia del Proyecto con posterioridad a la apertura del Proceso de Selección, sin diferenciar si esto ocurre en forma posterior a la Etapa de Preconstrucción. No obstante, frente a la Fuerza Mayor Ambiental, sí se diferencia la temporalidad para declarar la Fuerza Mayor si la comunidad sujeta a consulta previa es reconocida con anterioridad a la Licencia Ambiental y se obrará según la Sección 81.(h)(ii), o una vez otorgada la Licencia Ambiental que causaría la Fuerza Mayor inmediata según la Sección 8.1(h)(iii).</t>
  </si>
  <si>
    <t>Se aclara al interesado que la Entidad realizó un ajuste al factor del límite del Equity (FAE), para flexibilizar entre otros, la estructura de financiación. 
De igual manera, se realizó un ajuste en la formula f, incluyendo la variable Sprov la cual se define de la siguiente manera: " Corresponde al saldo contable a la fecha del Acta de Reversión de las cuentas por pagar por facturas causadas en el Patrimonio Autónomo del Proyecto asociadas únicamente al Contrato de Construcción, que cumplan con los criterios para ser reconocidas en la variable ARh, y que no hayan sido pagadas, expresado en pesos corrientes.".</t>
  </si>
  <si>
    <t>Se informa al interesado que se amplió el plazo del cierre financiero y se modificó la forma de acreditación así: 3.8 (b) En el caso que el Concesionario opte por presentar en el plazo del Cierre Financiero la certificación emitida por el(los) Prestamista(s) indicada en la Sección 3.8(a)(i) de esta Parte General, el Concesionario contará con el plazo establecido en la Parte Especial contando desde la fecha de suscripción del Acta de Inicio de la Fase de Construcción para presentar el contrato de crédito suscrito o una certificación emitida por el(los) Prestamista(s) en la que conste que el contrato de crédito fue suscrito, que contenga al menos lo siguiente: (i) valor del crédito; (ii) acreedor; (iii) garantías; (iv) plazo para el pago; (v) tasa; (vi) condiciones para el desembolso.documento equivalente.</t>
  </si>
  <si>
    <t xml:space="preserve">Se aclara al interesado que no se considera procedente la observación. Toda vez que este riesgo es inherente a cualquier tipo de inversión ejecutado en Colombia, y por lo tanto es asumido implícitamente por  cualquier inversionista en sus expectativas de rentabilidad y no es asociado específicamente a este tipo de proyectos. </t>
  </si>
  <si>
    <t xml:space="preserve"> - Literal d: Se informa al interesado que la Entidad tendrá en cuenta su observación y realizará los ajustes correspondientes en el documento final. Para el caso concreto se establecerá un valor de referencia a partir del cual aplicará una compartición del riesgo por un sistema de bandas de manera análoga a los riesgos predial, ambiental y de redes. 
Nota: sin perjuicio de lo planteado en esta respuesta, solamente serán vinculantes las regulaciones efectivamente publicadas en los Pliegos del proceso licitatorio.
 - Literal h: se informa al interesado que, respecto al plazo de fuerza mayor ambiental, se realizaron ajustes en dicha sección. </t>
  </si>
  <si>
    <t>Se aclara al interesado que: 
 - Lo dispuesto en la Ley 1882 de 2018 tal y como se plantea en el contrato de concesión aplica únicamente para un evento de nulidad. En ese sentido la variable AR y su articulación en las demás fórmulas aplicarán en los casos estipulados distintos a este.
 - La Entidad considera que las variables establecidas en estas fórmulas son suficientemente precisas y de manera general han sido interiorizadas por todos los actores del mercado en la medida en que la fórmula C y el AR, han sido las fórmulas pactadas en todos los contratos de 4ª Generación.
- Así mismo se considera que los criterios señalados para el reconocimiento son objetivos y están claros de manera que no se prestan para interpretación</t>
  </si>
  <si>
    <t>Se informa al interesado que una vez acreditado el Cierre Financiero no existe un plazo para restablecerlo cuando se retire uno de los Prestamistas por cuanto está claro en esta misma sección que "el Concesionario deberá asegurar la consecución de los recursos adicionales que requiera para terminar el Proyecto, cumpliendo con la totalidad de los requisitos previstos en el Contrato. El retiro del Prestamista no servirá de excusa para el incumplimiento de las obligaciones del Concesionario ni para alegar incumplimiento por Evento Eximente de Responsabilidad."</t>
  </si>
  <si>
    <t>Se informa al interesado que no se considera procedente su observación, el proyecto fue estructurado contemplando estas Intervenciones y solo en el caso en que se haga imposible esta condición, se podrá realizar la compensación a la Subcuenta ANI descrita en el literal (g) de esa sección.</t>
  </si>
  <si>
    <t xml:space="preserve">Se informa al interesado que el plazo establecido es variable y se considera adecuado para las condiciones del proyecto, y se considera que no existe fundamento para igualarlo al plazo máximo permitido por la Ley como lo propone el observante.
Se aclara al interesado que las disposiciones normativas señaladas (Decretos 482 de 2020 y 569 de 2020) tiene aplicación solo a contratos de concesion en ejecución, por lo tanto no se acepta su observación </t>
  </si>
  <si>
    <t>Se informa al interesado que no se considera necesario hacer la aclaración solicitada. Las Multas y Sanciones previstas en el Contrato se causarán en el evento en que exista un hecho de incumplimiento imputable al Concesionario en ejecución del Contrato y la imposición de las mismas se regirá de acuerdo con lo señalado en el artículo 86 de la Ley 1474 de 2011 o las normas que lo modifiquen, complementen o sustituyan.</t>
  </si>
  <si>
    <t>Se informa al interesado que la expresión observada quiere decir que las actividades para las cuales se destinan estos recursos se ejecutarán hasta por el monto fondeado y que una vez los recursos se agoten, ninguna de las Partes tendrá obligación de realizar aportes nuevos.</t>
  </si>
  <si>
    <t>Se entiende por entidad cooperante aquella entidad que entregue al concesionario aportes por concepto de cooperación internacional o acuerdos de cooperación para la inversión en vías adaptadas y resilientes al cambio climático por concepto de restauración ambiental e infraestructura verde aplicable al Proyecto, en el marco de lo dispuesto en la Ley 1931 de 2018 y en las condiciones dispuestas en el Apéndice Técnico 6.</t>
  </si>
  <si>
    <t xml:space="preserve">Se informa al interesado que no se acoge su observación. La matriz de riesgos del Proyecto es un instrumento de gestión que permite a la Entidad realizar una adecuada tipificación, estimación y asignación de riesgos que queda plasmada en el documento matriz de riesgos y se replica en los apartes pertinentes del Contrato. En todo caso, la ANI reitera que el documento publicado en el SECOP denominado matriz de riesgos es un documento de referencia y no hace parte del Contrato de Concesión y no tiene carácter vinculante.
Por último se aclara al interesado que el CONPES 3714 no es aplicable a este tipo de proyectos toda vez que por tratarse de contratos de Asociación Público Privada, están asociados a los CONPES 3107 y 3760. </t>
  </si>
  <si>
    <t>Se informa al interesado que su entendimiento no es correcto. Para efectos de acreditar experiencia en inversión, en el evento en que la sociedad concesionaria que desarrolló el Proyecto de Infraestructura no haya obtenido directamente la financiación sino a través de un vehículo de propósito especial, deberá tener, como sociedad concesionaria, una participación en el capital social del 25% en el vehículo respectivo. Por su parte, se aclara al interesado que la Sección 4.2.9 hace referencia a vehículos de propósito especial donde el Oferente o Líder haya participado como accionista y se cumpla con los demás requisitos allí señalados.</t>
  </si>
  <si>
    <t>Se informa al interesado que no se acepta su observación, las certificaciones aportadas deberán cumplir con todos los requisitos exigidos en el Pliego de Condiciones. De igual manera, se le informa al interesado que se modificará este numeral en lo relacionado con el plazo para la expedición de la certificación, el cual se verá reflejado en el Pliego de Condiciones Definitivo.</t>
  </si>
  <si>
    <t xml:space="preserve">Se informa al interesado que no se acepta su observación. La información contenida en el Anexo 10A requerirá de la firma de los Revisores Fiscales para aquellas sociedades que se encuentren obligadas por la ley o su contador en los demás casos. Al respecto, se le informa al interesado que esta seccón se ajustará en el Pliego de Condiciones Definitivo. En todo caso, se informa al interesado que el Anexo 10A será diligenciado con la información de los Estados Financieros con corte a 31 de diciembre de 2019, debidamente dictaminados y auditados, razón por la cual no consideramos que sea inconveniente obtener la firma del Revisor Fiscal. </t>
  </si>
  <si>
    <t>luz elena el 2 de septiembre</t>
  </si>
  <si>
    <t xml:space="preserve">Respecto a las consideraciones planteadas en esta observación se aclara lo siguiente: 
1. En lo que respecta a la asignación del riesgo de gestión predial, la Entidad realizó  algunos ajustes y precisiones en el Capítulo VII sobre la gestión predial del Contrato de Concesión con el fin de dar mayor claridad respecto a la asignación del riesgo de la Sección 13.2(a)(i). Estos ajustes se presentarán en la minuta que acompañará los pliegos definitivos.
2. En lo que respecta al riesgo asociado a las demoras en la gestión para la obtención de Licencias Ambientales, Planes de Manejo Ambiental, conceptos y demás permisos de carácter ambiental, así como las gestiones, costos y demás actividades derivadas de los acuerdos de nuevas consultas previas con las comunidades étnicas y/o afrodescendientes y que sean requeridos durante la ejecución del Proyecto y para el cumplimiento de Indicadores, se efectuaron ajustes en la Sección 8.1 de la Parte General con el fin de especificar los eventos en los cuales estos efectos favorables y/o desfavorables serán asumidos por el Concesionario y el alcance de dicha asignación, así como los eventos en los cuales se considerará que existe una fuerza mayor ambiental.  Estos ajustes se presentarán en la minuta que acompañará los pliegos definitivos.
3.  Adicionalmente y de manera general se considera que los eventos tipificados en la observación están cobijados bajo el concepto de fuerza mayor con lo cual el contrato es explicito en cuanto a que no son eventos asignados al privado. Dicho esto, se realizaron ajustes a los plazos de declaratoria de estas fuerzas mayores como puede verse en las secciones 7.4, 8.1(h) y 8.2(i) de la parte general (y se incluyó la fuerza mayor social en la sección 8.1(i)) de manera que puedan activarse en un menor tiempo, lo que permitiría evitar interpretaciones respecto a que estas demoras puedan ser asignados al privado. 
 </t>
  </si>
  <si>
    <t>Se informa al interesado que no se acoge su observación por cuanto son los socios del Concesionario quienes pueden demostrar alguna relación e interés directo con el Concesionario, y por lo tanto tiene sentido que aporten recursos de patrimonio en nombre del Concesionario y puedan ser partícipes de los dividendos, pero no ocurre así con los beneficiarios reales. Por lo tanto se mantendrá la regulación de las secciones 1.88, 1.154 y demás relacionadas.
Con relación a la solicitud para los Prestamistas, se aclara que el contrato permite diferentes modalidades de financiación que podrá pactar el Concesionario con los Prestamistas, sin que esto implique que la ANI vaya a dar un reconocimiento diferente al de Recursos de Deuda ni a cambiar las proridades establecidas sobre el repago de los recursos. En todo caso se aclara que los recursos que aporten los Prestamistas en ningún caso podrán ser entendidos como equity sino como deuda.</t>
  </si>
  <si>
    <t>Se informa al interesado que la experiencia será tenida en cuenta a prorrata de su participación en la estructura anterior. Es decir que se aplicará exactamente el porcentaje de su participación al valor total del cierre financiero. Esto es 24% *$100 = $24 en su ejemplo.</t>
  </si>
  <si>
    <t xml:space="preserve">Se informa al interesado que su entendimiento no es correcto. El requisito de aportar el Certificado de Existencia y Representación Legal de la Cámara de Comercio es para el proponente o integrante de la Estructura Plural que acredite capacidad financiera, y en el mismo deberá constar el nombre de la persona de la firma auditora que certifica la información financiera en calidad de revisor fiscal. </t>
  </si>
  <si>
    <t xml:space="preserve">Se le informa al interesado que la ANI efectuará los ajustes correspondientes al Anexo 6 para que sea concordante con lo establecido en el Pliego de Condiciones. </t>
  </si>
  <si>
    <t xml:space="preserve">Se informa al interesado que no se acepta su observación. Dadas las reglas establecidas en el Acuerdo de Permanencia, resulta necesario que el mismo sea suscrito por todos los Integrantes de la Estructura Plural. 
En lo que respecta a la definición de Demás Integrantes Acreditantes, se informa al interesado que se realizará el ajuste correspondiente en el Anexo 4.  </t>
  </si>
  <si>
    <t>Se aclara al interesado que no se acepta su observación, la entidad considera que la regulación actual y el plazo previsto para la Fuerza Mayor general es adecuado y razonable para efectos del proyecto.</t>
  </si>
  <si>
    <t>Se informa al interesado que una vez analizada la solicitud, ésta no la encontramos procedente. 
Por otro lado, se informa que los plazos relacionados con la Fuerza Mayor Ambiental fueron ajustados, estas modificaciones se podrán evidenciar en la minuta que se publique con el pliego de condiciones definitivo.</t>
  </si>
  <si>
    <t xml:space="preserve">Se informa al interesado que la regulación observada se incluye precisamente en el contrato partiendo de la base que los eventos de Fuerza Mayor Predial no son responsabilidad del concesionario al ser Eventos Eximente de Responsabilidad. La regulación actual permite que en caso en que ocurra  lo previsto en la Sección 14.1 de la Parte General se pueda hacer el reconocimiento al concesionario de la compensación especial, la cual es equivalente a una parte de la Retribución que se hubiese causado de haberse completado totalmente la Unidad Funcional conforme a lo señalado en la Sección 14.1(b). Esto se incluye precisamente con el fin de no afectar al Concesionario por la imposibilidad de terminación de la Unidad Funcional por la ocurrencia de un Evento Eximente de Responsabilidad. 
</t>
  </si>
  <si>
    <t>Se informa al interesado que la información a la que hace referencia  la seccion observada es toda aquella información relacionada con las prácticas de gobierno corporativo y que tenga impacto en la ejecución del contrato.</t>
  </si>
  <si>
    <t>Se informa al interesado que su entendimiento es correcto, el amigable componedor deberá determinar si las causales de las secciones mencionadas dan lugar a la terminación anticipada</t>
  </si>
  <si>
    <t>Se informa al interesado que no se acepta su observación, la Entidad considera que la certificación de la entidad deudora deberá estar suscrita no sólo por el representante legal sino por el contador y/o revisor fiscal, para las sociedades que se encuentren obligadas por ley.</t>
  </si>
  <si>
    <t xml:space="preserve">Se informa al interesado que no se acepta su observación. El valor de los aportes que debe hacer el Concesionario a la Subcuenta Interventoría y Coordinación se encuentran detallados en la Sección 4.5 (d) de la Parte Especial. En todo caso, el Concesionario está obligado a realizar fondeos adicionales en el monto correspondiente al plazo adicional. Los eventos en los que el Concesionario debe cumplir con esta obligación son reducidos y razonables de acuerdo con las necesidades del Proyecto por lo que la ANI no considera necesario hacer el ajuste solicitado. </t>
  </si>
  <si>
    <t xml:space="preserve">se informa al interesado que teniendo en cuenta que el Concesionario es el principal ejecutor y representante del Proyecto, le corresponde al Concesionario con apoyo de la Entidad, adelantar la gestión social y ambiental de las consultas previas. 
Así mismo, se informa al interesado que la regulacion frente a la proporcion en que cada parte asumira este riesgo fue objeto de ajuste en la minuta, ajuste que se podrá evidenciar con la publicación de pliego de condiciones definitivo </t>
  </si>
  <si>
    <t xml:space="preserve">Se informa al interesado lo siguiente: 
1. Se ha incluido dentro del Proyecto la figura de Soporte de Ingresos, modificacion que podrá evidenciarse en el Pliego de Condiciones Definitivo
2. Se informa al interesado que no se acepta su observación. La ampliación del plazo únicamente procederá por los eventos ya previstos en el Contrato. 
3. En lo que respecta a la compensación por costos ociosos, se informa al interesado que no se acepta su observación. La sección 14.2 (g) del Contrato Parte General  contempla el unico evento en el que se pueden llegar a reconocerse costos ociosos. </t>
  </si>
  <si>
    <t xml:space="preserve">Se informa al interesado que se tendrá en cuenta su observación y se harán los ajustes correspondientes señalando que esta multa no tendrá plazo máximo de imposición. Frente la periodo de Cura sera el establecido en la Parte General (60 dias) </t>
  </si>
  <si>
    <t>El anexo 3 acuerdo de garantia es claro en establecer que:
"Los Garantes, por medio del presente documento se obligan con la Agencia Nacional de Infraestructura a
responder hasta el porcentaje correspondiente a la participación del garantizado en la conformación del oferente de manera irrevocable y no subordinada, es decir, sin beneficio de excusión, por el cumplimiento de la siguiente obligación: (i) la realización de los Giros de Equity establecidos en el Contrato de Concesión, la cual se denominará “Obligaciones Garantizadas”. (negrilla fuera de texto).
Por lo anterior, la entidad no considera necesario ajustar el modelo de acuerdo publicado, puesto que el garantizado hará parte del SPV que conformará el adjudicatario para la ejecución del proyecto, razón por la cual el Garantizado debe ser el SPV.</t>
  </si>
  <si>
    <t xml:space="preserve">Se informa al interesado que se ajustará la redacción en el documento definitivo, para dar más claridad . </t>
  </si>
  <si>
    <t xml:space="preserve">Se informa al interesado que no se acepta su observación, el Concesionario debe asumir la totalidad de los costos por concepto de GMF que se generen con ocasión a movimeintos generados por el Patrimonio Autonomo, garantizandose asi que el monto de las subcuentas nunca se vera disminuido con ocasion a la aplicación de dicho gravamen </t>
  </si>
  <si>
    <t xml:space="preserve">Se informa al interesado que la recompra de derechos económicos hace referencia a la fórmula establecida en la Sección 18.3(f), de acuerdo con lo autorizado por el artículo 32 de la Ley 1508 de 2012. </t>
  </si>
  <si>
    <t>Se informa al interesado que no se acepta su observación. La situación de control se verificará con el cumplimiento de los requisitos contenidos en la Sección 4.4.2 (a)(i), razón por la cual, se podrá expedir conjuntamente por los representantes legales del Oferente (o los Integrantes de la Estructura Plural) y de la sociedad controlante, una certificación legalizada a través de declaración hecha ante autoridad competente para recibir declaraciones juramentadas en la respectiva jurisdicción.
Por su parte, se informa que no se acepta su observación frente al ajuste de la Sección 4.4.2 (a)(iii). Deberán acreditarse ambas situaciones de control de acuerdo con lo indicado por la Sección 4.4.2(a)(ii).</t>
  </si>
  <si>
    <t>Se aclara al interesado que el CONPES 3714  de 2012 no es aplicable a este tipo de proyectos toda vez que los mismos se enmarcan en proyectos de Asociación Público Privada, los cuales están asociada al CONPES 3107 de 2001  y 3760 de 2013. 
Adicionalmente, se informa al interesado que no se acepta su observación. En el momento de presentar su oferta correspondiente al Factor de Calidad el interesado deberá evaluar el manejo de riesgos prediales, socioambientales y de redes de acuerdo con lo previsto en el Contrato Parte General. Se informa al interesado que los alcances de las obras del Factor de Calidad serán aclarados en los documentos definitivos en el sentido que son intervenciones que se realizan en vías existentes de categorías secundaria y terciaria por lo tanto los riesgos prediales, socioambientales y de redes son sustancialmente menores.</t>
  </si>
  <si>
    <t>De conformidad con lo señalado en el aparte de excepciones de los Tratados Internaciones, las entidades pueden establecer criterios para mantener o adoptar medidas relacionadas con servicios prestados por personas en condición de discapacidad, siempre y cuando estas no constituyan un medio de discriminación arbitrario o injustificable entre las Partes, o impliquen una restricción encubierta al comercio. (Tratado Libre Comercio – Corea, Artículo 14.2; Tratado de Libre Comercio – Unión Europea, Artículo 174; Tratado de Libre Comercio México, Artículo 15-16; Tratado de Libre Comercio – AELC Asociación Europea de Libre Comercio, Artículo 7.3; Tratado de Libre Comercio Alianza Pacífico, Artículo 8.20; Tratado de Libre Comercio Canadá Artículo 1402; Tratado de Libre Comercio Costa Rica, Artículo 10.2; Tratado de Libre Comercio Triángulo Norte, Artículo 11.2; Tratado de Libre Comercio USA, Artículo 9.14)
Teniendo en cuenta lo expuesto y toda vez que el Decreto 392 de 2018 deriva de una política pública de Colombia establecida en la Ley 1618 de 2013, fundamentada en el artículo 13 de la Constitución Política, que consagra la igualdad material o real a través de la discriminación positiva a favor de determinados grupos o personas en situación de vulnerabilidad, dentro de las cuales se encuentran las personas en condición de discapacidad, resultando claro que la aplicación del criterio de evaluación contenido en el Decreto 392 de 2018 no constituyen un medio arbitrario, injustificado o encubierto para restringir la participación dentro del proceso de selección, sino que por el contrario es un desarrollo de los pilares fundamentales de nuestro estado social de derecho, siendo procedente establecer el factor de evaluación de conformidad con lo señalado por Colombia Compra Eficiente a través del concepto No. 4201813000007574, en el que se indica que los proponentes extranjeros interesados en participar en Procesos de Contratación y obtener el puntaje adicional establecido en el Decreto 392 de 2018, deberán incluir en su nómina a personas en situación de discapacidad vinculadas laboralmente según el ordenamiento jurídico colombiano y solicitar el certificado en el Ministerio del Trabajo.
En esta medida, se informa al interesado que no se acepta su observación, toda vez que no existe una restricción específica para los proponentes extranjeros, toda vez que los mismos podrán acreditar este requisito de acuerdo con lo establecido por la ley.
Finalmente, se aclara al interesado que se tendrá en cuenta la planta de personal del integrante de la  Estructura Plural que acredite como mínimo el 40% de la Experiencia en Inversión. Teniendo en cuenta que el Lider es quién acredita la Experiencia en Inversión, deberá ser quien acredite  el requisito exigido de conformidad con el pliego de condiciones.</t>
  </si>
  <si>
    <t>Se informa al interesado que su entendimiento es correcto. Sin embargo, la Entidad realizará un ajuste en esta sección, la cual se verá reflejada en el  Pliego de Condiciones Definitivo.</t>
  </si>
  <si>
    <t xml:space="preserve">Se informa al interesado que no se acepta su observación. Corresponderá al Concesionario adelantar los estudios necesarios para la ejecución de las Intervenciones en el nivel de detalle requerido en el Contrato. Los documentos contenidos en el Cuarto de Información de Referencia están disponibles a título informativo y son de referencia </t>
  </si>
  <si>
    <t>Se informa al interesado que su entendimiento es correcto. En el evento en que el Oferente sea una Estructura Plural con un integrante extranjero que no cumpla con los criterios de trato nacional indicados en la Sección 5.4.5(a), la única alternativa para acceder a los 100 puntos es ofrecer la incorporación de bienes nacionales de acuerdo con lo indicado por la Sección 5.4.5(b)</t>
  </si>
  <si>
    <t xml:space="preserve">Se informa al interesado que su entendimiento es correcto. Se informa al interesado que su entendimiento es correcto. </t>
  </si>
  <si>
    <t xml:space="preserve">No se acepta la solicitud del interesado, Se informa al interesado que el plazo establecido se considera adecuado por parte de la ANI.
Frente a la referencia al año fiscal se considera que es claro señalar que se trata del año fiscal correspondiente . </t>
  </si>
  <si>
    <t xml:space="preserve">Tal y como se señala en su observacion la imposicion de multas hace parte de la potestad sancionadora con que cuenta la entidad para conminar al concesionario al cumpliminto de sus obligaciones, en ese sentido se aclara al interesado  que el acto mediante el cual se impone una multa no puede ser cometido al amigable componedor </t>
  </si>
  <si>
    <t xml:space="preserve">Se informa al intetersado que la minuta contemplará la figura de Restricción de Movilidad, la cual se podrá evidenciar en la minuta a publicar con Pliego de Condiciones definitivo </t>
  </si>
  <si>
    <t xml:space="preserve">Se informa al interesado que la sección encargada de regular la Fuerza Mayor Predial fue objeto de ajuste, el cual se podrá evidenciar en la minuta a plublicar con Pliego de Condiciones Definitivo </t>
  </si>
  <si>
    <t>Se informa al interesado que se realizará un ajuste al Contrato incluyendo un límite máximo respecto del cual los costos de las Obras Menores procedentes de nuevas consultas con las comunidades serán compartidos entre la ANI y el Concesionario. Esta modificación se podrá evidenciar en el Pliego de Condiciones Definitivo.</t>
  </si>
  <si>
    <t xml:space="preserve">Se informa al interesado que no se acepta su observación. Sin embargo, la Entidad realizará un ajuste en esta sección, la cual se verá reflejada en el  Pliego de Condiciones definitivo. </t>
  </si>
  <si>
    <t>Se informa al interesado que la Entidad realizará un ajuste en la sección observada, la cual se verá reflejada en el Pliego de Condiciones Definitivo.</t>
  </si>
  <si>
    <t xml:space="preserve">Se aclara al interesado que no se acepta su observación. Todas las obligaciones de la Fiduciaria incluidos en el Contrato de Concesión serán asumidos por dicha entidad con la firma del Contrato de Fiducia. En consecuencia, la fiduciaria responderá por los perjuicios que se causen a la ANI por el incumplimiento de sus obligaciones. En todo caso, se precisa al interesado que las obligaciones a cargo del Concesionario no están incorporadas en esta cláusula de responsabilidad. 
Así mismo, se informa que la incorporación del Contrato de Concesión al contrato de fiducia se limita a las obligaciones de la Fiduciaria que hacen parte de dicho contrato de Concesión. </t>
  </si>
  <si>
    <t xml:space="preserve">Se aclara al interesado que este concepto podrá estar detallado en el Contrato de Fiducia. Las reglas establecidas en el Contrato Parte General son los requisitos mínimos que deben estar contenidos en el Contrato de Fiducia. </t>
  </si>
  <si>
    <t>Se aclara al interesado que el CONPES 3714  de 2012 no es aplicable a este tipo de proyectos toda vez que los mismos se enmarcan en proyectos de Asociación Público Privada, los cuales están asociada al CONPES 3107 de 2001  y 3760 de 2013. 
Adicionalmente, se informa al interesado que no se acepta su observación. En el momento de presentar su oferta correspondiente al Factor de Calidad el interesado deberá evaluar el manejo de riesgos prediales, socioambientales y de redes de acuerdo con lo previsto en el Contrato Parte General. Se informa al interesado que los alcances de las obras del Factor de Calidad serán aclarados en los documentos definitivos en el sentido que son intervenciones que se realizan en vías existentes de categorías secundaria y terciaria por lo tanto los riesgos prediales, socioambientales y de redes son sustancialmente menores.</t>
  </si>
  <si>
    <t>Se informa al interesado que corresponde a la debida diligencia del Oferente evaluar la viabilidad financiera del Contrato al momento de preparar su Oferta. En esta medida, se entiende que el Oferente ha investigado plenamente las condiciones de trabajo, los riesgos, y en general, todos los factores determinantes de los costos de ejecución de los trabajos. En este sentido, se incluye una declaración por parte del Concesionario en el Contrato Parte General bajo el entendimiento que desde la presentación de la Oferta el Concesionario revisó todos los asuntos e informaciones relacionados con la celebración y ejecución del Contrato. En esta medida, no se acepta su observación.</t>
  </si>
  <si>
    <t>Se informa al interesado que no se acepta su observación.El artículo 13 de la Ley 80 de 1993 establece que “Los contratos que celebren las entidades a que se refiere el artículo 2o. del presente estatuto se regirán por las disposiciones comerciales y civiles pertinentes, salvo en las materias particularmente reguladas en esta ley”.   En concordancia con lo expuesto, al presente proceso de selección le es aplicable lo dispuesto en el Artículo 480 del Código de Comercio que señala: 
“Los documentos otorgados en el exterior se autenticarán por los funcionarios competentes para ello en el respectivo país, y la firma de tales funcionarios lo será a su vez por el cónsul Colombiano o, a falta de éste, por el de una nación amiga, sin perjuicio de lo establecido en convenios internacionales sobre el régimen de los poderes.
Al autenticar los documentos a que se refiere este artículo los cónsules harán constar que existe la sociedad y ejerce su objeto conforme a las leyes del respectivo país”.
Conforme a lo señalado en esta norma, todos los documentos otorgados en el extranjero deben contar con el trámite allí dispuesto, en concordancia con el artículo 5 del Decreto Ley 019 de 2012 que establece: “(…) las autoridades administrativas y los particulares que cumplen funciones administrativas no deben exigir más documentos y copias que los estrictamente necesarios, ni autenticaciones ni notas de presentación personal sino cuando la ley lo ordene en forma expresa, o tratándose de poderes especiales (…)” (Negrilla y subrayado fuera de texto)
Frente a lo expuesto, la Sentencia del Consejo de Estado del 25 de septiembre de 2013, radicado No. 19933 con ponencia del Dr. Mauricio Fajardo Gómez al analizar la aplicación del artículo 480 del Código de Comercio señaló: 
“En ese orden de ideas debe tenerse en cuenta, por una parte, que el artículo 480 del Código de Comercio, cuya aplicación en materia de contratación estatal se abre paso por la vía de lo normado en el inciso primero del artículo 13 de la Ley 80 de 1993, con toda claridad preceptúa, a propósito del régimen jurídico aplicable a las sociedades extranjeras, que para que los documentos otorgados en el extranjero cuenten con eficacia probatoria en Colombia, deben ser aportados, ante la instancia que corresponda, previa satisfacción de las exigencias previstas en la disposición aludida (…)
Nótese que la disposición transcrita exige a quien pretenda obtener que un documento de cualquier índole –público o privado– tenga efectos probatorios en territorio colombiano, observar unos presupuestos que no constituyen meros formalismos, sino que se trata del procedimiento que el Legislador ha consagrado para que una pieza documental que no ha sido producida u otorgada en Colombia, pueda ser valorada en este país con un mínimo de garantías para la seguridad jurídica y para los derechos e intereses de los intervinientes en el tráfico jurídico; se trata, por lo demás, de una norma que impacta el régimen de valoración de los medios de prueba, que mal podría ser desconocida en las actuaciones administrativas de naturaleza contractual, pues con ello los funcionarios intervinientes podrían ver comprometida su responsabilidad individual, a voces de lo dispuesto por el artículo 6 constitucional”. (Subraya Fuera de Texto)
Ahora bien, estas disposiciones de orden procedimental son plenamentes aplicables a las actuaciones administrativas contractuales, en virtud de lo consagrado en el inciso primero del artículo 77 de la Ley 80 de 1993 así:“En cuanto sean compatibles con la finalidad y los principios de esta ley, las normas que rigen los procedimientos y actuaciones en la función administrativa serán aplicables en las actuaciones contractuales. A falta de éstas, regirán las disposiciones del Código de Procedimiento Civil”
Con base en lo anterior, se puede afirmar que al no establecer el Estatuto de Contratación Pública ni el Código de Procedimiento Administrativo y de lo Contencioso Administrativo nada respecto al otorgamiento de documentos en el exterior, es necesario aplicar las reglas previstas en el estatuto de procedimiento civil y en el estatuto mercantil máxime cuando el artículo 13 de la ley 80 de 1993 dispone que son fuentes principales a la contratación pública el derecho civil y comercial.
Por lo expuesto, no procede la observación y se mantiene la exigencia establecida en el pliego de condiciones</t>
  </si>
  <si>
    <t xml:space="preserve">Se informa al interesado que no se acepta su observación. La definición de Fondo de Capital Privado corresponde con la definición establecida en el Decreto 2555 de 2010, en concordancia con lo señalado en el parágrafo del artículo 2.2.2.1.1.3 del Decreto 1082 de 2015. Teniendo en cuenta las diferentes reglas contenidas en el Pliego de Condiciones, la Entidad considera que se está garantizando la libre concurrencia al proceso de selección.
</t>
  </si>
  <si>
    <t>no se acepta la solicitud, se precisa que La Parte General establece en su sección 3.14 Cuentas y Subcuentas del Patrimonio Autónomo (a) Descripción de las Cuentas y Subcuentas: El Patrimonio Autónomo deberá tener al menos las siguientes Cuentas y Subcuentas, además de las subcuentas previstas en la Parte Especial, teniendo en cuenta que las Subcuentas de Deposito Especial de Recaudo" y la de "Contingencias" solo aplican para el presente proyecto su incorporacion se da en PARTE ESPECIAL</t>
  </si>
  <si>
    <t>no se acepta la solicitud, se precisa que La Parte General establece en su sección 3.14 Cuentas y Subcuentas del Patrimonio Autónomo (a) Descripción de las Cuentas y Subcuentas: El Patrimonio Autónomo deberá tener al menos las siguientes Cuentas y Subcuentas, además de las subcuentas previstas en la Parte Especial, teniendo en cuenta que las Subcuentas de Deposito Especial de Recaudo" y la de "Contingencias" solo aplican para el presente proyecto su incorporacion se da en PARTE ESPECIAL.</t>
  </si>
  <si>
    <t xml:space="preserve">Se aclara al interesado que la fecha de referencia no tiene ninguna incidencia sobre la aplicación de las variables contractuales, toda vez que como su definición misma lo indica su función es únicamente dar una fecha referencial para las indexaciones y/o deflaciones respectivas. Dicho lo anterior la fecha de Diciembre de 2018, se deriva de las fases del proceso de estructuración y sus respectivos procesos de aprobaciones ante las entidades. </t>
  </si>
  <si>
    <t>Se informa al interesado que no se acepta su observación. Es importante resaltar que la matriz de riesgos del Proyecto, es un instrumento de gestión que permite a la Entidad realizar una adecuada tipificación, estimación y asignación de riesgos que queda plasmada en el documento denominado matriz de riesgos y se replica en los apartes pertinentes en el Contrato. Teniendo en cuenta lo anterior, la Entidad reitera que el documento denominado matriz de riesgos del Proyecto, publicado en el SECOP, es un documento de referencia y no hace parte del Contrato de Concesión ni tiene carácter de vinculante.</t>
  </si>
  <si>
    <t xml:space="preserve">Se informa al interesado que su entendimiento no es correcto. Si quien acredita la experiencia tuvo como mínimo una participación del 25% al momento en que tuvo lugar el cierre financiero, obtendrá el 100% de dicha experiencia. En caso de ser inferior, la experiencia será tenida a prorrata de su participación en la estructura anterior.  </t>
  </si>
  <si>
    <t>Se le informa al interesado que se tendrá en cuenta su observación y la entidad efecturá los ajustes correspondientes en dicha sección, los cuales se verán reflejados en el Pliego de Condiciones Definitivo.</t>
  </si>
  <si>
    <t>Se informa al interesado que el parágrafo 1 de la Sección 5.6.5. hace referencia a la Sección 5.6.4 en donde se establece que "Para Estructuras Plurales, la Entidad tendrá en cuenta la planta de personal del Integrante de la Estructura Plural que aporte como mínimo el cuarenta por ciento (40%) de la experiencia requerida para el Proceso de Contratación". De acuerdo con el parágrafo del numeral 5.6.5, se entenderá por experiencia requerida, la Experiencia en Inversión. Al respecto, la Entidad realizará un ajuste en el Pliego de Condiciones Definitivo para mayor claridad.</t>
  </si>
  <si>
    <t xml:space="preserve"> Se aclara al interesado que el Deudor Garantizado por el Acuerdo de Garantía es el SPV que se constituya de acuerdo con lo previsto en el Pliego, a cuya conformación concurrirán los miembros del Oferente. De acuerdo con lo anterior, no se acepta su observación. </t>
  </si>
  <si>
    <t>Se informa al interesado que sde la redaccion de la seccion observada se entiende que aplicará de ser el caso. Por lo anterior no se acepta su observación.</t>
  </si>
  <si>
    <t>Se informa al interesado que no se acepta su observación. La ANI considera que el procedimiento establecido para efectuar las Deducciones en el Contrato es claro y no requiere la aplicación de procedimientos adicionales. Se clara al interesado que el artículo 86 de la Ley 1474 de 2011 será aplicado para la imposición de Multas y Sanciones de acuerdo con lo establecido por la Sección 10.4.</t>
  </si>
  <si>
    <t xml:space="preserve">Se informa al interesado que la ANI no considera necesario incluir la aclaración correspondiente. El Contrato es claro al indicar que el Derecho de Recaudo sobre la operación de las Estaciones de Peaje será cedido al Concesionario en la fecha de Entrega de la Infraestructura. </t>
  </si>
  <si>
    <t>Se informa al interesado que no se considera necesario hacer la aclaración solicitada. Las multas previstas en el Contrato se causarán en el evento en que exista un hecho de incumplimiento imputable al Concesionario en ejecución del Contrato y la imposición de las mismas se regirá de acuerdo con lo señalado en el artículo 86 de la Ley 1474 de 2011 o las normas que lo modifiquen, complementen o sustituyan.</t>
  </si>
  <si>
    <t xml:space="preserve">Se informa al interesado que su entendimiento es correcto en la medida en el Periodo Especial, corresponde al plazo durante el cual bajo la existencia del Evento Eximente de Responsabilidad se entenderán suspendidas la realización de los Giros de Equity, en línea con lo estipulado en la sección 3.9 (e) del Contrato Parte General. </t>
  </si>
  <si>
    <t xml:space="preserve">Se informa al interesado que la expresión observada quiere decir que una vez los recursos sean agotados, ninguna de las partes  tendrán la responsabilidad de realizar aportes nuevo. </t>
  </si>
  <si>
    <t>se entiende por entidad cooperante aquella entidad que entregue al concesionario aportes por concepto de cooperación internacional o acuerdos de cooperación para la inversión en vías adaptadas y resilientes al cambio climático por concepto de restauración ambiental e infraestructura verde aplicable al Proyecto, en el marco de lo dispuesto en la Ley 1931 de 2018 y en las condiciones dispuestas en el Apéndice Técnico 6.</t>
  </si>
  <si>
    <t>no se acepta la solicitud del interesado, la sección es clara al señalar que esta subcuenta se fondeará con los recursos que se destinen para tal fin de conformidad con este Contrato. En caso de no existir recursos suficientes para cubrir las Obras Menores que resulten, se podrán trasladar recursos desde la Subcuenta Excedentes ANI.</t>
  </si>
  <si>
    <t>Se informa al interesado que no se acepta su observación. El proceso de Consulta previa debe contar con acuerdos definitivos y protocolizados por parte del Ministerio del Interior para el inicio de la Fase de Construcción del Contrato.</t>
  </si>
  <si>
    <t>Se informa al interesado que la Entidad considera razonable y suficiente el plazo de 60 días para que tanto ésta como la Interventoría se pronuncien sobre la solicitud de plazo adicional. Por lo anterior, no se acepta su observación.</t>
  </si>
  <si>
    <t xml:space="preserve">Se informa al interesado que no se acepta su observación. El Interventor y/o la ANI podrán objetar los Estudios de Trazado y Diseño Geométrico y/o los Estudios de Detalle cuando impliquen una variación que sea desfavorable para los riesgos a cargo de la ANI. Si bien el riesgo es parcialmente asumido por la ANI, el derecho de objeción nace en el momento en que estas modificaciones impliquen una variación desfavorable. </t>
  </si>
  <si>
    <t>Se informa al interesado que no se acepta su observación. El evento en cual sea necesario iniciar un nuevo proceso de consulta previa ya se encuentra regulado en el Contrato en la Sección 8.1(d) y no debe entenderse como un Evento Eximente de Responsabilidad de Fuerza Mayor Ambiental.</t>
  </si>
  <si>
    <t xml:space="preserve">El entendimiento no es correcto, a diferencia de las Compensaciones Socioambientales que se deriven de trámites futuros, las obligaciones ambientales pendientes de cumplimiento y obligaciones por ejecutar que se definen en el Apéndice Técnico 6 en la Tabla 2, son conocidas y valorables por el Oferente. Se aclara entonces que las obligaciones ambientales pendientes de cumplimiento y obligaciones por ejecutar de la Tabla 2 del Apéndice Técnico 6 son a cuenta y riesgo del Concesionario y no se asumen con cargo a la Subcuenta Compensaciones Socioambientales. </t>
  </si>
  <si>
    <t xml:space="preserve">Se informa al interesado que la sección observada fue objeto de ajuste, el cual se podrá evidenciar en la minuta que se publicará con Pliego de Condiciones Definitivo </t>
  </si>
  <si>
    <t xml:space="preserve">Se informa al interesado lo siguiente:
1. La Ley Aplicable será la existente a la fecha de firma del Contrato, salvo que se configure algunas de las excepciones al principio de irretroactividad de la Ley.
2. Se informa al interesado que la sección observada fue objeto de ajuste, el cual se podrá evidenciar en la minuta que se publicará con Pliego de Condiciones Definitivo . 
3. En el evento planteado por el interesado, cuando existan múltiples solicitudes se tendrá en cuenta la fecha de la última radicación de información adicional. </t>
  </si>
  <si>
    <t>No se considera necesario aumentar la regulación sugerida porque esta Sección pretende que la ANI asuma el costo únicamente de obras y/o actividades no previstas en el Apéndice Técnico 1 o en la Licencia Ambiental.</t>
  </si>
  <si>
    <t xml:space="preserve">Se informa al interesado que no se acepta su observación. En línea con lo establecido por el CONPES 3760 y 3107, el riesgo regulatorio, esto es, el cambio regulatorio, administrativo y legal (incluyendo el Cambio Tributario) por regla general deben ser asumidos por el Concesionario. En esta media, la ANI considera que la asignación de riesgos incluida en el contrato es razonable y está en cumplimiento de la Ley Aplicable. </t>
  </si>
  <si>
    <t xml:space="preserve">Se informa al Interesado que:
 - Establecer un Tramo en USD: Teniendo en cuenta que para este proyecto no se considera Aportes ANI en dólares (USD), y que los recursos provenientes de las Estaciones de Peaje son en Pesos (COP), no se considera apropiado la financiación mediante un tramo en dólares (USD). 
 - Ingreso de peaje mínimos garantizados y  Estructura de Garantía de ingresos: Se aclara al interesado que a raíz de la coyuntura actual, la Entidad considera procedente regular eventos que, siendo decretado por una autoridad, impliquen la restricción vehicular. En este sentido, se incluye el Evento por Restricción de Movilidad dentro de los eventos que imposibilitan el recaudo de las estaciones de peaje de la Sección 3.3(g) de la Minuta Parte General, que se considera igualmente en la regulación respecto a su compensación.
En este sentido, para estos eventos el Concesionario contará con las figuras de Soporte de Ingreso y Evento de Restricción Vehicular que pretende cubrir aquellos eventos señalados en su observación. 
 - Derecho a un reequilibrio económico financiero por fuerte desviación en costos financieros y Evento Eximente / Causa de Terminación por Fuerza Mayor por imposibilidad de cierre financiero: la entidad considera valiosa su retroalimentación y propuesta, pero se aclara que en línea con el objetivo de la ley 1508, sus decreto reglamentarios y CONPES asociados, para Asociaciones Público Privadas, el riesgo de financiación, se considera debe ser transferido 100% al privado, por lo que será este quien asuma los efectos tanto favorables como desfavorables ante un acaecimiento del riesgo planteado en la observación. Para lo cual deberá incluir en su debida diligencia todos los análisis pertinentes respecto a este riesgo y lo mismo deberá estar contemplado en su oferta. 
 - Ajuste en fórmula de liquidación: La Entidad comparte las apreciaciones respecto a la importancia del dimensionamiento de estas fórmulas de cara a una adecuada bancabilidad y en ese sentido se aclara el interesado que las fórmulas se consideran son adecuadas y no deberían tener impacto negativos respecto a la financiación del Proyecto. </t>
  </si>
  <si>
    <t xml:space="preserve">Se inofrma al interesado que la sección observada fue objeto de ajuste, el cual se podrá evidenciar con publicacion de pliego de condiciones definitivo </t>
  </si>
  <si>
    <t xml:space="preserve">En atención a la observacion del intetresado se hace el ajuste en la definición de multas </t>
  </si>
  <si>
    <t xml:space="preserve">Se inofrma al interesado que la sección observada fue objeto de ajuste para dar claridad a la regulación de sanciones, el cual se podrá evidenciar con publicacion de pliego de condiciones definitivo </t>
  </si>
  <si>
    <t xml:space="preserve">Se informa al interesado que no se acepta su observación. La ANI considera que el concepto de Elusión previsto en el Contrato es completo y corresponde a la situación que pretende regularse. </t>
  </si>
  <si>
    <t xml:space="preserve">Se informa al interesado que la Orden de Inicio podrá ser impartida por la ANI una vez transcurran los 30 Días Hábiles siguientes a la fecha de firma del Contrato sin que se haya suscrito el Acta de Inicio. 
Se aclara al interesado que la Orden de Inicio sólo podrá impartirse previa verificación de los requisitos establecidos en la Sección 2.3(b) (i), (ii), (iii), (iv) y (v) de la Parte General. </t>
  </si>
  <si>
    <t xml:space="preserve">La Entidad considera que no es procedente la solicitud, toda vez que la redacción actual es clara en que debe tener en cuenta esta erogación.  </t>
  </si>
  <si>
    <t xml:space="preserve">Se aclara al interesado que :
i) Los movimientos que puede hacer la ANI están limitados a cuando ya se haya cumplido el objeto mismo de la subcuenta y nunca con la posibilidad de poner en riesgo el cumplimiento de la función de estas subcuentas. 
ii) No se considera procedente la observación, toda vez que la asunción de los mismos están contemplados en la retribución del Proyecto. </t>
  </si>
  <si>
    <t xml:space="preserve">Se aclara al interesado que las estipulaciones de incumplimiento son claras y explícitas a lo largo del contrato y es facultad tanto de la ANI como del Interventor determinar las mismas sin perjuicio que en cualquier momento pueda proceder la resolución de controversias, también expresamente establecida en el Contrato. 
</t>
  </si>
  <si>
    <t xml:space="preserve">La entidad considera adecuada la redacción de la seccion 3,5 (i) por lo que no se acepta la observación del interesado.
Por su parte, en lo que respecta al concepto de Sanciones, se informa al interesado que la entidad modificará la Sección 10.1 sobre Multas y Sanciones con el fin de darle mayor claridad al documento. </t>
  </si>
  <si>
    <t xml:space="preserve">Se informa al interesado que la condición precedente observada simplemente indica que deben haberse logrado los acuerdos definitivos y haber sido protocolizados por parte del Ministerio del Interior. Se aclara que esto no es una obligación del Concesionario sino una condición que debe cumplirse para el inicio de la Fase de Construcción del Contrato </t>
  </si>
  <si>
    <t xml:space="preserve">Se informa al interesado que el efecto acumulado del Plazo de Cura se refiere a la sumatoria de Plazos de Cura que se otorguen al Concesionario en la determinada Unidad Funcional. </t>
  </si>
  <si>
    <t>En atención a la observacion del intetresado se hace el ajuste en la sección señalada estableciendo la posibilida de que exista mas de un contrato de construcción.</t>
  </si>
  <si>
    <t>La solicitud no es procedente porque la regulación pretende que se ejerzan controles en los Estudios de Trazado y Diseño Geométrico y Estudios de Detalle para asegurar que estos cumplan con los objetivos del Contrato, ahora bien, debe tenerse en cuenta las disposiciones de la Sección 6.2(d) según las cuales la objeción debe sujetarse a los plazos de la sección 6.2(a) de forma similar a la solicitud.</t>
  </si>
  <si>
    <t xml:space="preserve">Respecto a la observación y las condiciones asociadas a la franja de utilidad pública definidas en la sección contractual correspondiente, se aclara al interesado lo siguiente:
 -  La intención de esta regulación es la de velar porque una modificación de este tipo no desborde de una manera desmedida los riesgos que asume la entidad (en especial lo referente a la adquisición predial, riesgos socioambientales, o de redes). 
 - En ningún aparte del contrato se plantea que sea obligatorio implementar los Trazados elaborados por la Entidad. La condición planteada en el numeral 6.3 hace referencia a la franja de utilidad pública y la variación que pueda presentarse en los Estudios y Diseños que realice el concesionario respecto a la misma. 
 - Aunque tal y como se aclara en los numerales anteriores, la redacción observada se comporta como un límite más nunca como una restricción absoluta la Entidad realizará algunos ajustes a esta regulación de manera tal que dicho límite sea más flexible.
Por lo cual las observaciones planteadas no son procedentes. </t>
  </si>
  <si>
    <t xml:space="preserve">se informa al inetersado que las secciones observadas fueron objeto de ajsute, el cual se podrá evidenciar enla minuta que se publique con Pliego de Condiciones defintivo. </t>
  </si>
  <si>
    <t xml:space="preserve">se informa al interesado que teniendo en cuenta que el Concesionario es el principal ejecutor y representante del Proyecto, le corresponde al Concesionario con apoyo de la Entidad, adelantar la gestión social y ambiental de las consultas previas. 
Así mismo, se informa al interesado que la regulacion frente a la proporcion en que cada parte asumira este riesgo fue objeto de ajuste en la minuta, ajuste que se podrá evidenciar con la publicación de pliego de condiciones definitivo. </t>
  </si>
  <si>
    <t xml:space="preserve">Se informa al interesado que no se acepta su observación. La ANI considera que la remuneración propuesta es razonable y no considera necesario ajustarla. En todo caso, se aclara al interesado que en razón a la complejidad de la controversia y/o del tiempo requerido para su solución, el Amigable Componedor podrá solicitar a las Partes para que de común acuerdo autoricen una remuneración mayor al límite propuesto. </t>
  </si>
  <si>
    <t xml:space="preserve">Se aclara al interesado que las partes deberán acudir al Amigable Componedor para que se declare la existencia de la causal que llevará a la terminación anticipada del Contrato. No es facultad del Amigable Componedor declarar la terminación anticipada. </t>
  </si>
  <si>
    <t>Se informa al interesado que no se acepta su observación. Al momento de presentar su Oferta, el Oferente debe evaluar todos los factores que pueden afectar o impactar su trabajo en el evento en que decida presentar oferta por Factor de Calidad.</t>
  </si>
  <si>
    <t xml:space="preserve">Se informa al interesado que la observación no se considera procedente, ya que la estimación de los recursos netos resultan suficientes para la ejecución adecuada del proyecto. La entidad considera que el concepto de reequilibrio económico no aplica hasta tanto no exista un contrato respecto al cual pueda aplicar un reequilibrio. Previo adjudicación del proyecto cualquier circunstancia, incluida la actual, puede ser considera para la presentación o no de la oferta. </t>
  </si>
  <si>
    <t xml:space="preserve">Se informa al interesado que no se considera necesario realizar la precisión prevista. La verificación de los requisitos establecidos  en la Sección 2.3(b)(i), 2.3(b)(ii), 2.3(b)(iii), 2.3(b)(iv) y 2.3(b)(v) de la Parte General tienen como finalidad permitir que la Orden de Inicio se imparta adecuaday unilateralmente. </t>
  </si>
  <si>
    <t>Se informa al interesado que el fondeo de Recursos de Patrimonio deben realizarse de acuerdo con lo indicado por la Sección 4.4. de la Parte Especial. Así mismo, se informa al interesado que el primer fondeo de estos recursos se realizará al momento de constitución del Patrimonio Autónomo. Por lo tanto, no se acepta su observación.</t>
  </si>
  <si>
    <t>Se informa al interesado que no se acepta su observación. Es obligación del Concesionario efectuar los eventos que pueden impactar la Retribución y hace parte de su debida diligencia determinar si la misma es suficiente para presentar Oferta. 
En todo caso, se informa al interesado que la ANI efectuará ajustes al Contrato teniendo en cuenta los escenarios que pueden presentarse ante una pandemia como el COVID-19, los cuales se podrán evidenciar en la minuta a publicar con el pliego de condiciones definitivo.</t>
  </si>
  <si>
    <t>Se informa al interesado que no se acepta su observación. Es obligación del Concesionario efectuar los eventos que pueden impactar la Retribución y hace parte de su debida diligencia determinar si la misma es suficiente para presentar Oferta. 
En todo caso, se informa al interesado que la ANI efectuará ajustes al Contrato teniendo en cuenta los escenarios que pueden presentarse ante una pandemia como el COVID-19, los cuales se podrán evidenciar en la minuta a publicar con el pliego de condiciones definitivo</t>
  </si>
  <si>
    <t xml:space="preserve">Se informa al interesado que la ANI expedirá el acto administrativo correspondiente en un plazo razonable de acuerdo con las necesidades del caso. En todo caso, se informa al interesado que la fecha en que se entiende configurada la elusion sera la que determine el mencionado acto administrativo y a partir de esta se hará el reconocimiento de la compensación por menor recaudo. </t>
  </si>
  <si>
    <t xml:space="preserve">Se informa al interesado que no se considera necesario realizar ningún ajuste en el documento. La Sección 3.9(b) se refiere a los Giros de Equity y las obligaciones dinerarias a cargo del Concesionario. No obstante lo anterior, de acuerdo con la Sección 3.9(c), esta fórmula deberá ser utilizada para actualizar otros valores cuando dicha actualización esté prevista expresamente en el Contrato. </t>
  </si>
  <si>
    <t xml:space="preserve">Se informa al interesado que la seccion fue objeto de ajuste, el cual se podrá evidcneiar en la minuta que se publicará con pliego de condiciones definitivo, en todo caso la ANI considera que los plazos alli inlcuidos son razonables de acuerdo con las circunstancias que rodean a cada uno. </t>
  </si>
  <si>
    <t xml:space="preserve">Se informa al interesado que la protocolización y trámites de acuerdos derivados de consultas previas con nuevas comunidades se encuentra debidamente regulado en el Contrato. Por lo nterior no se acepta su observación </t>
  </si>
  <si>
    <t xml:space="preserve">Se informa al interesado que la obligación observada está prevista para la Subcuenta de Ingresos por Explotación Comercial, razón por la cual se solicita copia de comprobantes de ingresos recibidos por concepto de Servicios Adicionales. En esta medida, no se acepta su observación. </t>
  </si>
  <si>
    <t xml:space="preserve">Se informa al interesado que no se acepta su observación. La evaluación sobre la solicitud de ampliación del plazo del Plan de Obras por un Evento Eximente de Responsabilidad o por causas imputables a la ANI se hará con base en la documentación que la ANI y el Interventor estimen convenientes de acuerdo con la solicitud efectuada. Para ello, contarán con un plazo razonable, que en todo caso no podrá exceder los 60 Días. </t>
  </si>
  <si>
    <t xml:space="preserve">En atención a su observacion se reduce el plazo señalado de 60 a 30 dias, esta modificacion sepodrá evidenciar en la minut que se publique con pliego de condiciones definitivo. </t>
  </si>
  <si>
    <t xml:space="preserve">Se informa al interesado que de acuerdo con lo establecido por la Sección 4.11 (f) si sobreviene un cambio de Ley Aplicable que impacte las Especificaciones Técnicas, esta modificación no le será obligatoria al Concesionario (independientemente del impacto en sus costos). En el evento en que la ANI lo considere pertinente, podrá requerirle el ajuste asumiendo los mayores costos que conlleve el cambio en las Especificaciones Técnicas. Se informa al interesado que la regulación es clara y no se considera necesario efectuar ajustes. </t>
  </si>
  <si>
    <t xml:space="preserve">Se informa al interesado que las modificaciones y/o ajustes al Estudio de Factibilidad de Trazado y Diseño Geométrico se encuentran debidamente reguladas en la Sección 6.2 del Contrato. Po rlo anterior no se acepta su solicitud </t>
  </si>
  <si>
    <t xml:space="preserve">Se informa al interesado que no se acepta su observación. La obligación del Concesionario de seguir haciendo desembolsos por los montos que son a cargo de la ANI será suspendida hasta que se apruebe la cuenta de cobro y se expida el documento correspondiente, por esta razon no se acepta su solicitud. </t>
  </si>
  <si>
    <t>Se aclara al interesado que los recursos de la Subcuenta Compensaciones Socioambientales serán destinados exclusivamente a las Compensaciones Socioambientales. Los demás gastos asociados a la Gestión Social y Ambiental, aun cuando sean ordenadas por la Autoridad Ambiental serán asumidos por el Concesionario, en su totalidad.</t>
  </si>
  <si>
    <t xml:space="preserve">Se aclara al interesado que la regulación propuesta sólo aplicará cuando el Concesionario efectúe de forma voluntaria modificaciones al Estudio de Factibilidad de Trazado y Diseño Geométrico. No se considera necesario incluir aclaraciones adicionales. </t>
  </si>
  <si>
    <t xml:space="preserve">Se informa al interesado que el sistema de bandas para la asunción de riesgos previsto en a Sección 8.2(e) se considera razonable y en línea con las necesidades del Proyecto. En el evento en que el Concesionario efectúe de forma voluntaria modificaciones al Estudio de Factibilidad de Trazado y Diseño Geométrico, se aplicará lo previsto en la Sección 6.3 del Contrato. En este sentido, no se considera necesario incluir aclaraciones adicionales. </t>
  </si>
  <si>
    <t xml:space="preserve">Se informa al interesado que no se considera necesario hacer la precisión sugerida. El procedimiento de imposición de Multas corresponderá al previsto en el artículo 86 de la Ley 1474 de 2011, situación que implica que el acto administrativo que la imponga estará debidamente motivado y se garantizará el debido proceso. </t>
  </si>
  <si>
    <t>Se informa al interesado que no se acepta su observación. Se aplicarán los intereses moratorios toda vez que consiste en una obligación dineraria no pagada. En esta medida, los intereses se calcularán desde  la exigibilidad de la Multa o Sanción hasta el momento efectivo del pago.</t>
  </si>
  <si>
    <t xml:space="preserve">Se informa al interesado que no se considera necesario hacer la precisión. La notificación de la ocurrencia de un Evento Eximente de Responsabilidad incluirá (1) la información y demás detalles que fueran pertinentes, (2) un informe en el que de manera detallada se demuestre la debida diligencia de la Parte Afectada y que la ocurrencia del Evento Eximente de Responsabilidad no correspondió a un hecho a ella imputable y (3) un estimado preliminar del tiempo durante el cual la Parte Afectada se verá afectada. </t>
  </si>
  <si>
    <t xml:space="preserve">Se informa al interesado que el plazo referido es el pazo para Notificar a la otra Parte acerca de la ocurrencia de un Evento Eximente de Responsabilidad. En todo caso, se aclarará la redacción de l sección observada fue objeto de ajuste el cual se podrá evidenciar en la minuta que se publique con el Pliego de condiciones definitivo </t>
  </si>
  <si>
    <t xml:space="preserve">Se informa al interesado que la sección observada fue objeto de ajuste el cual se podrá evidenciar en la minuta que se publique con el Pliego de condiciones definitivo </t>
  </si>
  <si>
    <t xml:space="preserve">Se informa al interesado que no se acepta su observación. Es obligación del Concesionario mantener las Garantías y Mecanismos de Cobertura del Contrato de acuerdo con lo dispuesto por el referido Contrato, independientemente de la existencia de un Evento Eximente de Responsabilidad. </t>
  </si>
  <si>
    <t xml:space="preserve">Se informa al interesado que la sección observada fue objeto de ajuste, el procedimiento  para acordar la ejecución de estas obras se incluira enla minuta que se publicara con pliego de condiciones definitivo </t>
  </si>
  <si>
    <t>Se informa al interesado que se acepta su observación y se hara la modificación pertinente en el Anexo 2 Carta de Presentación de la Oferta.</t>
  </si>
  <si>
    <t>Se precisa al interesado que bastará con una autorización general otorgada a la sociedad, que le permita participar en la presente Licitación Pública.</t>
  </si>
  <si>
    <t xml:space="preserve">Se informa la interesado que su entendimiento es correcto. El Oferente individual no requiere designar un Líder. En lo que respecta al Anexo No. 4 se informa al interesado que no es necesario efectuar ningún ajuste toda vez que el proponente individual se denomina de manera general Oferente y en dicho documento se hace referencia a los integrantes del mismo, independientemente del número de integrantes que lo compone. </t>
  </si>
  <si>
    <t xml:space="preserve">Se aclara al interesado que el Pacto de Transparencia debe ser firmado por los representantes legales de los Oferentes (de forma individual o como integrantes de una Estructura Plural) y por las personas naturales Oferentes. Para el caso de Estructuras Plurales, podrán hacerlo de forma individual o en un solo documento. </t>
  </si>
  <si>
    <t xml:space="preserve">Se informa al interesado que la Sección 4.2.2 (b) regula la acreditación de Experiencia en Inversión a través de contratos de concesión de Proyectos de Infraestructura en el momento en que tuvo lugar la financiación del mismo. Por su parte, la Sección 4.2.2.(d) regula la acreditación de experiencia adquirida mediante participación de figuras asociativas constituidas para la ejecución de contratos anteriores. 
Finalmente, la Sección 4.2.9 regula la posibilidad de acreditar Experiencia en inversión a través de vehículos de propósito especial constituidos por el Oferente o Líder para la financiación de una concesión. </t>
  </si>
  <si>
    <t xml:space="preserve">Se informa al interesado que no se acepta su observación. La Entidad considera que los requisitos exigidos en materia de Experiencia en Inversión son razonables, suficientes y se ajustan a las características del Proyecto. </t>
  </si>
  <si>
    <t>Se informa al interesado que el nombre de la persona natural que certifica la información financiera deberá constar en el Certificado de Existencia y Representación Legal de la Cámara de Comercio.</t>
  </si>
  <si>
    <t>Se informa al interesado que el requisito contenido en el numeral 5.6 correspondiente al “Puntaje Adicional Oferentes con Trabajadores en Condición de Discapacidad” se incluyó en cumplimiento de lo previsto por el Decreto 392 de 2018 que reglamenta los incentivos en procesos de contratación en favor de personas con discapacidad. 
De conformidad con lo señalado en el aparte de excepciones de los Tratados Internaciones, las entidades pueden establecer criterios para mantener o adoptar medidas relacionadas con servicios prestados por personas en condición de discapacidad, siempre y cuando estas no constituyan un medio de discriminación arbitrario o injustificable entre las Partes, o impliquen una restricción encubierta al comercio. (Tratado Libre Comercio – Corea, Artículo 14.2; Tratado de Libre Comercio – Unión Europea, Artículo 174; Tratado de Libre Comercio México, Artículo 15-16; Tratado de Libre Comercio – AELC Asociación Europea de Libre Comercio, Artículo 7.3; Tratado de Libre Comercio Alianza Pacífico, Artículo 8.20; Tratado de Libre Comercio Canadá Artículo 1402; Tratado de Libre Comercio Costa Rica, Artículo 10.2; Tratado de Libre Comercio Triángulo Norte, Artículo 11.2; Tratado de Libre Comercio USA, Artículo 9.14)
Teniendo en cuenta lo expuesto y toda vez que el Decreto 392 de 2018 deriva de una política pública de Colombia establecida en la Ley 1618 de 2013, fundamentada en el artículo 13 de la Constitución Política, que consagra la igualdad material o real a través de la discriminación positiva a favor de determinados grupos o personas en situación de vulnerabilidad, dentro de las cuales se encuentran las personas en condición de discapacidad, resultando claro que la aplicación del criterio de evaluación contenido en el Decreto 392 de 2018 no constituyen un medio arbitrario, injustificado o encubierto para restringir la participación dentro del proceso de selección, sino que por el contrario es un desarrollo de los pilares fundamentales de nuestro estado social de derecho, siendo procedente establecer el factor de evaluación de conformidad con lo señalado por Colombia Compra Eficiente a través del concepto No. 4201813000007574, en el que se indica que los proponentes extranjeros interesados en participar en Procesos de Contratación y obtener el puntaje adicional establecido en el Decreto 392 de 2018, deberán incluir en su nómina a personas en situación de discapacidad vinculadas laboralmente según el ordenamiento jurídico colombiano y solicitar el certificado en el Ministerio del Trabajo.</t>
  </si>
  <si>
    <t xml:space="preserve">Se informa al interesado que se acepta su observación y se realizarán las modificaciones correspondientes en el Pliego de Condiciones Definitivo. </t>
  </si>
  <si>
    <t xml:space="preserve">Se informa al interesado que se acepta su observación y se realizarán las modificaciones correspondientes en el documento definitivo. </t>
  </si>
  <si>
    <t>No se acepta su observación, el proponente o concesionario, deberá dirigir las notificaciones a la dependencia de la ANI que se encuentra encargada de la correspondiente gestión.</t>
  </si>
  <si>
    <t>Se informa al interesado que no se acepta su observación.  Como se indica en el documento observado la representación es connatural al cumplimiento de las obligaciones del Líder, y podrá ejercerla en el momento que lo considere necesario.</t>
  </si>
  <si>
    <t xml:space="preserve">Se informa al interesado que se tendrá en cuenta su observación y se efecturá el correspondiente ajuste en el Anexo 4 en el sentido de incluir una referencia de remisión a la cláusula de Resolución de Conflictos. </t>
  </si>
  <si>
    <t>Se informa al interesado que no se acoge su observación, pues en la columna de actividades se deberán describir aquellas que fueron ejecutadas de conformidad con el objeto relacionado.</t>
  </si>
  <si>
    <t xml:space="preserve">Se informa al interesado que se tendrá en cuenta su observación y se harán los ajustes que la ANI considere pertinentes. </t>
  </si>
  <si>
    <t>Se informa al interesado que no se acepta su observación. Las regulaciones relativas a Aportes ANI se entenderán eliminadas de la Parte General de acuerdo con lo indicado en la Parte Especial sin que sea necesario ajustar la Parte General del Contrato</t>
  </si>
  <si>
    <t xml:space="preserve">Se informa al interesado que se tendrá en cuenta su observación y se realizará el ajuste correspondiente en el documento definitivo. </t>
  </si>
  <si>
    <t xml:space="preserve">Se informa al interesado que no se acepta su observación. La definición de Fuerza Mayor será la establecida por la Ley Aplicable y reconocida por la jurisprudencia de las cortes competentes. </t>
  </si>
  <si>
    <t xml:space="preserve">Se informa al interesado que el Gerente del Proyecto podrá ser delegado por el Vicepresidente de Gestión Contractual o por el Vicepresidente Ejecutivo o quien haga sus veces. En todo caso, se ajustará el documento para mayor claridad. </t>
  </si>
  <si>
    <t xml:space="preserve">Se precisa al interesado que la definicion se refiere a diferentes personas el Gerente del proyecto  se encarga del seguimiento y control del proyecto, mientras que el lider ademas de apoyar estas funciones tambien se encarga de coordinar la interccion con entidades involucradas y dems actividades propias del manual de supervision de la ANI.  </t>
  </si>
  <si>
    <t xml:space="preserve">Se informa al interesado que no se acepta su observación. Dichos eventos se consideran necesarios para la suscripción del Acta de Inicio. en todo caso, la ANI procederá con el cumplimiento de los mismos en el plazo previsto anteriormente. 
En lo que respecta a su observación sobre el numeral (vii) se informa al interesado que se hará el ajuste correspondiente en la tabla de referencias de la Parte Especial. </t>
  </si>
  <si>
    <t xml:space="preserve">Se informa al interesado que no se acepta su observación. El Concesionario, en cumplimiento de su deber de debida diligencia, deberá evaluar todas las condiciones que podrían impactar su Retribución con el fin de determinar si la misma es suficiente al momento de presentar su Oferta. </t>
  </si>
  <si>
    <t xml:space="preserve">Se informa al interesado que el plazo previsto se considera adecuado, por esta razon no se acepta su observación </t>
  </si>
  <si>
    <t xml:space="preserve">Se informa al interesado que no se acepta su observación. Las condiciones observadas se consideran necesarias para el inicio de la Fase de Preconstrucción del Contrato. </t>
  </si>
  <si>
    <t>Se aclara al interesado que la funciones policivas son exclusivamente de la Policía de Carreteras y para eso se incluye en las obligaciones del Concesionario establecer los convenios para la coordinación de tareas y disponer de los recursos para la Subcuenta Policía de Carreteras. Siendo el Concesionario la parte de toma y gestiona la información sobre la Operación, es la parte que brinda el apoyo en información y coordinación frente a hechos de Elusión o evasión. Se aclara también que no hay restricciones de acción de la Policía de Carreteras al Corredor del Proyecto para ejercer sus funciones, y acorde con el convenio, de control de evasión y Elusión.</t>
  </si>
  <si>
    <t xml:space="preserve">se informa al interesado que teniendo en cuenta que el Concesionario es el principal ejecutor y representante del Proyecto, le corresponde al Concesionario con apoyo de la Entidad, adelantar la gestión social y ambiental de las consultas previas. 
Así mismo, se informa al interesado que la regulacion frente a la proporcion en que cada parte asumira este riesgo fue objeto de ajuste en la minuta, ajuste que se podrá evidenciar con la publicación de pliego de condiciones definitivo. Se mantiene en todo caso a cargo del concesionario el costo de realizar la consulta previa </t>
  </si>
  <si>
    <t xml:space="preserve">Se informa al interesado que la redaccion actual es clara, por esta razon no se acepta su solicitud </t>
  </si>
  <si>
    <t xml:space="preserve">Se informa al interesado que no se acepta su observación. La ANI considera que la regulación prevista en las secciones observadas es razonable y corresponde a las necesidades de este tipo de proyectos. </t>
  </si>
  <si>
    <t xml:space="preserve">Se informa al interesado que se acepta su observación y se realizarán los ajustes correspondientes en el documento definitivo. </t>
  </si>
  <si>
    <t xml:space="preserve">Se informa al interesado que no se acepta su observación. Aun cuando el Concesionario es el responsable frente a la ANI por las obligaciones del Contrato, se considera necesario regular los Contratos de Diseño, Construcción y Operación. </t>
  </si>
  <si>
    <t xml:space="preserve">Se informa al interesado que no se acepta su observación. La ANI tendrá la facultad de solicitar al Concesionario la información que considere pertinente respecto a las actividades que haya(n) realizado el(los) Contratista(s) y subcontratistas. </t>
  </si>
  <si>
    <t xml:space="preserve">Se informa al interesado que no se acepta su observación. Tanto el Concesionario como el respectivo Contrasta deberán manifestar bajo la gravedad de juramento, a través de una declaración juramentada que cumple con los requisitos respectivos y relacionen los proyectos ejecutados que les permite cumplir con el perfil indicado en la Parte Especial. </t>
  </si>
  <si>
    <t>La solicitud no es procedente porque la regulación pretende que se ejerzan controles en los Estudios de Trazado y Diseño Geométrico y Estudios de Detalle para asegurar que estos cumplan con los objetivos del Contrato, ahora bien, debe tenerse en cuenta las disposiciones de la Sección 6.2(c) sobre las características de la revisión del Interventor.</t>
  </si>
  <si>
    <t>Se informa al interesado que no se acepta su observación. En el evento en que el concesionario modifique y/o adicione los Estudios de Factibilidad de Trazado y Diseño Geométrico impliquen que se exceda el área de la franja de terreno del corredor vial del Proyecto aplicará la asignación de riesgos prevista en la Sección 6.3.</t>
  </si>
  <si>
    <t>La Sección 13.2 (v) ya es clara en definir que se trata de las acciones del Concesionario ante la Autoridad Competente, en estos términos "es obligación del Concesionario tomar las medidas necesarias previstas en la Ley Aplicable para la defensa y protección del Corredor del Proyecto ante las Autoridades Estatales competentes en la debida forma y oportunidad. "</t>
  </si>
  <si>
    <t xml:space="preserve">Se informa al interesado que no se acepta su observación. La ANI considera que la regulación observada es razonable y responde a las características de las situación que pretende regularse. </t>
  </si>
  <si>
    <t xml:space="preserve">Se informa al interesado que se realizaron ajustes en la seccion observada, estos podran evidenciarse en la minuta que se publique con pliego de condiciones defintivo </t>
  </si>
  <si>
    <t xml:space="preserve">Se informa al interesado que la entidad considera razonable y adecuada la redacción de la multa señalada, por esta razon no se acepta su observación </t>
  </si>
  <si>
    <t xml:space="preserve">De conformidad con lo señalado en el aparte de excepciones de los Tratados Internaciones, las entidades pueden establecer criterios para mantener o adoptar medidas relacionadas con servicios prestados por personas en condición de discapacidad, siempre y cuando estas no constituyan un medio de discriminación arbitrario o injustificable entre las Partes, o impliquen una restricción encubierta al comercio. (Tratado Libre Comercio – Corea, Artículo 14.2; Tratado de Libre Comercio – Unión Europea, Artículo 174; Tratado de Libre Comercio México, Artículo 15-16; Tratado de Libre Comercio – AELC Asociación Europea de Libre Comercio, Artículo 7.3; Tratado de Libre Comercio Alianza Pacífico, Artículo 8.20; Tratado de Libre Comercio Canadá Artículo 1402; Tratado de Libre Comercio Costa Rica, Artículo 10.2; Tratado de Libre Comercio Triángulo Norte, Artículo 11.2; Tratado de Libre Comercio USA, Artículo 9.14)
Teniendo en cuenta lo expuesto y toda vez que el Decreto 392 de 2018 deriva de una política pública de Colombia establecida en la Ley 1618 de 2013, fundamentada en el artículo 13 de la Constitución Política, que consagra la igualdad material o real a través de la discriminación positiva a favor de determinados grupos o personas en situación de vulnerabilidad, dentro de las cuales se encuentran las personas en condición de discapacidad, resultando claro que la aplicación del criterio de evaluación contenido en el Decreto 392 de 2018 no constituyen un medio arbitrario, injustificado o encubierto para restringir la participación dentro del proceso de selección, sino que por el contrario es un desarrollo de los pilares fundamentales de nuestro estado social de derecho, siendo procedente establecer el factor de evaluación de conformidad con lo señalado por Colombia Compra Eficiente a través del concepto No. 4201813000007574, en el que se indica que los proponentes extranjeros interesados en participar en Procesos de Contratación y obtener el puntaje adicional establecido en el Decreto 392 de 2018, deberán incluir en su nómina a personas en situación de discapacidad vinculadas laboralmente según el ordenamiento jurídico colombiano y solicitar el certificado en el Ministerio del Trabajo.
Por lo anterior no se aceptan sus observaciones.
</t>
  </si>
  <si>
    <t>Se informa al interesado que su entendimiento es correcto. Sin embargo, la Entidad realizará un ajuste en esta sección, la cual se verá reflejada en el  Pliego de Condiciones Definitivo. De iagual manera se incluirá un ajuste en el Pliego relacionada con la información de contratos celebrados con la ANI.</t>
  </si>
  <si>
    <t>Se informa al inetersado que la regulacion de Sanciones fue objeto de ajuste, estos podrán evidenciarse en la minuta que se publique con Pliego de condiciones definitivo.</t>
  </si>
  <si>
    <t xml:space="preserve">Se informa al interesado que la sección 4,9 fue objeto de ajuste, este podra evidenciarse en la minugta que se publique con el pleigo de condiciones definitivo. </t>
  </si>
  <si>
    <t xml:space="preserve">Se aclara al interesado que la seccion de Fuerza mayor ambiental fue objeto de ajuste, el cual se podrá evidenciar en la minuta que se publique con el pliego de condiicones defintivo. </t>
  </si>
  <si>
    <t xml:space="preserve">Se informa al interesado que no se acepta su observación. La regulación prevista por la Sección 11.3 (a) corresponde con lo previsto por el artículo 16 de la Ley 80 que otorga la facultad de modificación unilateral del contrato e incluye la posibilidad de renuncia a la continuación del Contrato para el Concesionario. </t>
  </si>
  <si>
    <t xml:space="preserve">Se informa al interesado que no se acepta su observación. La definición de Cambio Tributario está enfocada en la creación, variación o eliminación de tributos existentes que afecten el costo de ejecución del Contrato. Esto no incluye los impuestos que graven la renta. </t>
  </si>
  <si>
    <t xml:space="preserve">Se informa al inetresado que elprocedimiento previsto par la toma de posesion fue objeto de ajuste, dicha modificacion se podrá evidenciar en la minuta que se publicará con Pliego de condiciones defintivo. </t>
  </si>
  <si>
    <t xml:space="preserve">Se informa al interesado que no se acepta su observación. La ANI considera que la asignación de riesgos incluida en el Contrato es adecuada y responde a las necesidades del Proyecto. En todo caso, se informa al interesado que  se han incluido en la minuta las figuras de Soporte de Ingresos para el Proyecto y Restriccion de movilidad, esta regulacion se podrá evidenciar en la minuta que se publique con el pliego de condiciones definitivo. </t>
  </si>
  <si>
    <t>Se informa al interesado que su entendimiento es correcto. La no acreditación o cumplimiento de los requisitos exigidos para el factor de Apoyo a la Industria Nacional en el Pliego de Condiciones, conlleva la asignación de cero puntos, más no el rechazo de la oferta.</t>
  </si>
  <si>
    <t xml:space="preserve">Se informa al interesado que en atencion a su observacion se realizaran los ajuste de forma en la Minuta Parte Especial que se publicará con el Pliego de Condiciones defintivo. </t>
  </si>
  <si>
    <t xml:space="preserve">Se informa al interesado que no se acepta su observación. La exclusión de proyectos del concepto de Elusión se efectuó teniendo en consideración las circunstancias del Proyecto. Así mismo, se informa al interesado que la información sobre los proyectos excluidos del concepto de Elusión son públicos y podrán ser tenidos en cuenta por el interesado al momento de efectuar su Oferta. </t>
  </si>
  <si>
    <t xml:space="preserve">No se acepta la solicitud del interesado, tal y como lo señala el contrato el concesionario debe recibir la infraeestructura en el estado en que esta se encuentre y es una de sus obligaciones hacer las intervenciones que resulten necesarias para llevarla a las condiciones definidas en la minuta y sus apendices. </t>
  </si>
  <si>
    <t xml:space="preserve">Se informa al interesado que no se acepta su observación. El Contrato regula claramente los fondeos que deben continuar aún cuando se presente un Evento Eximente de Responsabilidad. Lo anterior, con el fin de poder darle continuidad al Proyecto. </t>
  </si>
  <si>
    <t xml:space="preserve">No se acepta la solicitud del interesado, tal y como se señala en la definicion las obras sociales son obras que permiten dar viabilidad al proyecto, por esta razon quine debe encargarse de su ejecucíon es el concesionario. </t>
  </si>
  <si>
    <t xml:space="preserve">Se informa al interesado que su entendimiento no es correcto. Los plazos máximos previstos para la ejecución de la Unidad Funcional deberá contarse a partir de la fecha de suscripción del Acta de Inicio de la Fase de Construcción. </t>
  </si>
  <si>
    <t xml:space="preserve">Se informa al interesado que de acuerdo con lo indicado por la Sección 3.14 (g)(iv) los rendimientos generados por la Subcuenta Compensaciones Socioambientales, la Subcuenta Predios y la Subcuenta Redes acrecerán cada una de dichas subcuentas. </t>
  </si>
  <si>
    <t xml:space="preserve">Se informa al interesado que de acuerdo con lo indicado por la Sección 3.14 (g)(iv) los recursos remanentes de la Cuenta Proyecto serán de libre disposición del Concesionario siempre que se encuentre en Etapa de Operación y Mantenimiento. Esta situación no aplicará para los recursos de  la Subcuenta Compensaciones Socioambientales, la Subcuenta Predios y la Subcuenta Redes. </t>
  </si>
  <si>
    <t>Se informa al interesado que la regulación de Explotación Comercial fue modificada en cunato a los porcentajes, dicha modificación se podrá evidenciar en la minuta que se publique con el pliego de condiciones definitivo.</t>
  </si>
  <si>
    <t xml:space="preserve">Se informa al interesado que no se acepta su observación. El Concesionario deberá hacer el fondeo del GMF de las subcuentas respectivas de acuerdo con los plazos de cada una de ellas. </t>
  </si>
  <si>
    <t>De acuerdo con lo establecido por el artículo 1 del Decreto 537 de 2020, las audiencias públicas que deban desarrollarse en procesos de selección podrán adelantarse a través de medios electrónicos durante el tiempo que dure la Emergencia Sanitaria decretada por el Ministerio de Salud y Protección Social, garantizando el acceso a los proponentes, entes de control y cualquier ciudadano interesado. Teniendo en cuenta lo anterior, y en la medida en que la Emergencia Sanitaria continúe en curso y/o se mantengan las restricciones de aglomeraciones decretadas por el Gobierno Nacional, la audiencia podrá realizarse a través de medios electrónicos.
En todo caso, aun cuando las audiencias se lleven a cabo de forma presencial, con el fin de permitir el acceso a personas que puedan verse limitadas para participar de forma directa, se informa al interesado que la audiencia será transmitida a través de un webinar cuyos datos de acceso serán publicados con la debida antelación.</t>
  </si>
  <si>
    <t xml:space="preserve">Se informa al interesado que se efectuará un ajuste en la redacción con el fin de dar mayor claridad. De igual manera, se precisa que de conformidad con el numeral 2.6.2 (a) del Pliego de Condiciones cualquier solicitud de aclaración o de modificación al Pliego de Condiciones, deberá realizarse en el formato del Anexo 16 y enviarse a la ANI en medio físico o al correo electrónico de la Licitación. </t>
  </si>
  <si>
    <t>Se informa al interesado que no se acoge su observación. De conformidad con el Aviso Modificatorio N°5 publicado en el SECOP, el plazo para la suscripción del Contrato en el cronograma del proceso es de quince (15) días hábiles siguientes a la Audiencia de Adjudicación.</t>
  </si>
  <si>
    <t xml:space="preserve">Se informa al interesado que la regulacion de Snción fue objeto de ajuste para dar mayor claridad, estos se podrán evidenciar en la minuta  publicar con el pliego de condiciones defintivo. </t>
  </si>
  <si>
    <t>Se informa al interesado que no se acepta su observación. La verificación de los requisitos establecidos  en la Sección 2.3(b)(i), 2.3(b)(ii), 2.3(b)(iii), 2.3(b)(iv) y 2.3(b)(v) de la Parte General tienen como finalidad permitir que la Orden de Inicio se imparta adecuadamente.</t>
  </si>
  <si>
    <t xml:space="preserve">Se aclara al interesado que la Parte Especial prima sobre todos los demás documentos de Contrato en lo expresamente regulado en su contenido. No obstante lo anterior, aun cuando sea la Parte Especial el documento que prima, el Contrato debe interpretarse en un todo de forma tal que exista correspondencia y armonía entre las partes. De no ser posible dicha correspondencia y/o armonía, primará la Parte Especial aplicándole la prelación de documentos prevista en la Sección 19.15 del Contrato. </t>
  </si>
  <si>
    <t xml:space="preserve">Se informa al interesado que no se acepta su observación. La condición precedente para la suscripción del Acta de Inicio es la firma del Contrato de Interventoría y no la suscripción de su acta de inicio, que se dará en los términos previstos en dicho Contrato. Así mismo, se aclara al interesado que todas las condiciones indicadas en la Sección 2.3(b) deberán cumplirse dentro de los 30 Días Hábiles siguientes a la suscripción del Contrato de Concesión. La ANI considera que la redacción es clara por lo que no se considera necesario hacer precisiones adicionales. </t>
  </si>
  <si>
    <t xml:space="preserve">Se informa al interesado que su entendimeinto no es correcto, los plazos definidos se deben entender como máximos y bo como estimados , por lo que se considera que los plazos establecidos son suficientes para la ejecución de las obligaciones asociadas específicamente a cada etapa. </t>
  </si>
  <si>
    <t xml:space="preserve">Se informa al interesado que no se acepta su observación. Este descuento aplicará únicamente cuando la imputabilidad haya sido atribuida al Concesionario en virtud de los riesgos, obligaciones, responsabilidad y, en general, el contenido y naturaleza del Contrato, haya sido reconocida por el Concesionario o definida por la aplicación de los mecanismos de solución de controversias del Contrato, no se trata de una potestad unilateral de la ANI. </t>
  </si>
  <si>
    <t>Se informa al interesado que la seccion observada fue objeto de ajuste, estas modificaciones se podrán evidenciar en la minuta que se publicara con pliego de condiiicones definitivo.</t>
  </si>
  <si>
    <t xml:space="preserve">Se informa al interesado que la sección observada fue objeto de ajuste, estas modificaciones se podrán evidenciar en la minuta que se publicará con el pliego de condiciones definitivo. </t>
  </si>
  <si>
    <t>El propósito de la Sección es la adecuada gestión de los riesgos que parcialmente asume la ANI, por cuanto es el Concesionario quien desarrolla los Estudios de Trazado y Diseño Geométrico y los Estudios de Detalle, es quien está mejor facultado para analizar los efectos en los riesgos, especialmente frente a los valores estimados en las subcuentas de riesgos compartidos.
Las condiciones de revisión de los Estudios de Trazado y Diseño Geométrico y los Estudios de Detalle se harán según lo dispuesto en la Sección 6.2, según la cual la ANI podrá objetar cuando dichos estudios impliquen una variación desfavorable para los riesgos a cargo de la ANI.</t>
  </si>
  <si>
    <t xml:space="preserve">Se informa al interesado que no se acepta su observación . La regulación propuesta en el capítulo X sobre sanciones y esquemas de apremio busca que no se afecte el normal cumplimiento del Contrato. En cualquier caso, la imposición de Multas deberá estar precedida del procedimiento indicado en el artículo 86 de la Ley 1474 de 2011. </t>
  </si>
  <si>
    <t xml:space="preserve">Se informa al interesado que no se acepta su observación los efectos derivados de los Estudios de Detalle y Estudios de Trazado y Diseño geométrico será un riesgo asignado al Concesionario. En todo caso, se recomienda al interesado verificar la regulación prevista para las modificaciones y/o adecuaciones a  los Estudios de Detalle y Estudios de Trazado y Diseño del Contrato. </t>
  </si>
  <si>
    <t xml:space="preserve">Se informa al interesado que no se acepta su observación. La ANI considera que la regulación propuesta es adecuada y responde a las necesidades del Proyecto. </t>
  </si>
  <si>
    <t xml:space="preserve">De acuerdo con las observaciones presentadas por los Interesados y con el fin de otorgar plazo prudencial para la revisión de los Documentos del Proceso de Contratación, se modificó el cronograma a través de los Avisos Modificatorios publicados en el SECOP. </t>
  </si>
  <si>
    <t>Se informa al interesado que no se acepta su observación. De acuerdo con lo previsto por la Sección 4.4.2 (a)(ii), cuando las sociedades controladas sean extranjeras y el certificado de existencia y representación legal no evidencie los presupuestos de control exigidos por el Pliego, podrá acreditarse el control: (1) a través de la presentación de un documento equivalente al certificado de existencia y representación legal según la jurisdicción de incorporación de la sociedad controlada en la cual se evidencie los presupuestos de control, siempre que en el mismo estuvieren registradas dichas circunstancias, o (2) a través de certificación expedida por autoridad competente, según la jurisdicción de incorporación de la sociedad controlada, en el que evidencie los presupuestos de control, o (3) mediante certificación expedida conjuntamente por los representantes legales del Oferente (o Integrantes de la Estructura Plural) y de la sociedad controlante, legalizada a través de una declaración hecha ante la autoridad competente para recibir declaraciones juramentadas en la respectiva jurisdicción. Esta certificación podrá presentarse en documentos separados y deberá indicar que en el país de su incorporación no existe autoridad que expida estos certificados y, en dicha certificación, deberá constar la existencia de la situación de control.</t>
  </si>
  <si>
    <t xml:space="preserve">Se informa al interesado que se acepta su observación. La información relativa al apartado 3 "Beneficiarios Reales" podrá presentarse a través de escritura pública, siempre que contenga toda la información allí requerida. </t>
  </si>
  <si>
    <t xml:space="preserve">Se informa al interesado que no se acepta su observación. La ANI considera que la definición sobre Proyectos de Infraestructura previsto en el Pliego es suficiente y completa de cara a las necesidades del Proyecto. La entidad no considera necesario restringir la definición propuesta, incluyendo la elaboración de estudios y diseños defitivinos de acuerdo con el alcance de dicha definición. </t>
  </si>
  <si>
    <t xml:space="preserve">Se informa al interesado que su entendimiento no es correcto. La sección observada pretende regular que el representante legal de cada uno de los miembros de la estructura plural cuente con facultades suficientes para representarlo. La ANI precisará la redaccion para darle mayor claridad a la Sección observada en el documento definitivo.
</t>
  </si>
  <si>
    <t xml:space="preserve">Se informa al interesado que la Entidad no considera necesaria su solicitud, teniendo en cuenta que se han proporcionado todos los medios necesarios para que los interesados puedan acceder a la información del proyecto y presentar todas sus observaciones, recibiendo respuesta oportuna por parte de la Entidad. De igual manera, es necesario indicar que dentro del procedimiento establecido para la Licitación Pública se tiene previsto la realización de la correspondiente Audiencia de Aclaración de Pliegos de Condiciones y Asignación de Riesgos, en la cual se podrán aclarar todas sus inquietudes de manera virtual o presencial, y posteriormente se continuará con los plazos establecidos para la recepción de preguntas y de solicitudes de aclaración o modificación del Pliego de Condiciones. </t>
  </si>
  <si>
    <t xml:space="preserve">Se informa al interesado que no es posible acceder a su solicitud, se le recuerda que es deber de cada interesado estudiar, conocer y aceptar el contenido del Pliego de Condiciones, sus Anexos, y demás documentos que lo conforman, incluyendo todas sus Adendas asi como las condiciones e informaciones necesarias para la presentación de la Oferta. </t>
  </si>
  <si>
    <t xml:space="preserve">Se informa al interesado que si bien es cierto que no es necesario presentar una copia de los Estados Financieros con la Oferta, la Capacidad Financiera que pretenda acreditarse deberá estar soportada en los mismos y deberán estar disponibles toda vez que, en cualquier momento, la Entidad podrá solicitar dichos Estados Financieros a los Oferentes. 
De acuerdo con la definición prevista por el Pliego de Condiciones para los Estados Financieros, estos deben haber sido debidamente aprobados por el órgano social competente y encontrarse debidamente auditados y dictaminados de conformidad con lo establecido por la legislación del país de origen. En esta medida, las formalidades exigidas para los Estados Financieros deberán coincidir con lo establecido por la Sección 1.3.25 del Pliego de Condiciones. </t>
  </si>
  <si>
    <t xml:space="preserve">Se informa al interesado que no se acepta su observación. Teniendo en cuenta que el poder otorgado al apoderado común deberá contar con presentación personal de los otorgantes y aceptantes de acuerdo con lo previsto por la ley, si este poder se otorga en el documento de constitución de la Estructura Plural, deberá contener presentación personal. Se recuerda al interesado que durante la situación ocasionada con motivo del COVID-19 las notarías continúan prestando sus servicios regularmente.  </t>
  </si>
  <si>
    <t>Se informa al interesado que la certificación de la entidad deudora a la que hace referencia la Sección 4.2.10(b) debe estar suscrita por el representante legal en conjunto con los Revisores Fiscales para aquellas sociedades que se encuentren obligadas por la ley o por el contador público en los demás casos. Al respecto la Entidad realizará un ajuste en esta Sección, la cual se verá reflejada en el Pliego de Condiciones Definitivo.</t>
  </si>
  <si>
    <t>SENDA, 02/09/2020</t>
  </si>
  <si>
    <t xml:space="preserve">El dia 24 de Agosto de 2020, la Entidad mediante Aviso Informativo No 5. compartio nueva Información en el cuarto de datos, en ese sentido y tras revisar la informacion nueva de diseño geometrico consignada en la carpeta A para la Unidad funcional 3 y al superponerla sobre los trazados originales , encontramos que los alineamientos no coinciden como se muestra en las imagenes a  continuación : 
En ese orden de ideas solicitamos que sea confirmado por la ANI cual es el trazado y alineamiento aplicable para la unidad funcional 3 de acuerdo a la estructuracion, indicando carpeta y nombre de fichero, pues el mismo  definira el punto de partida para las franjas del diseño geometrico y de adquisición predial.
</t>
  </si>
  <si>
    <t xml:space="preserve">Cuarto de Datos - Trazado y Diseño Geometrico - Carpeta A
</t>
  </si>
  <si>
    <t>De acuerdo a la pregunta anterior solicitamos se nos informe la razón por la cual se modificó el trazado respecto a la información inicial publicada en el cuarto de datos.</t>
  </si>
  <si>
    <t>Cuarto de Datos - Trazado y Diseño Geometrico - Carpeta A</t>
  </si>
  <si>
    <t>Apendice Tecnico 1 - Alcance del proyecto</t>
  </si>
  <si>
    <t>Apendice Técnico 1 - Alcance del proyecto</t>
  </si>
  <si>
    <t>Contrato Parte General Numeral 6.3</t>
  </si>
  <si>
    <t>En linea con la observación anterior, se solicita se puedan establecer los eventos en los cuales se permita al Concesionario salirse de la franja de terrenos en comento y seguir manteniendo el sistema de bandas para la asignación de riesgos, que se establezca un porcentaje de por ejemplo 20% máximo sobre la longitud total del tramo donde el Concesionario.</t>
  </si>
  <si>
    <t>En el lazo Suroccidental de la intersección del final de la UF3 con la UF4, se apreció en campo que este,  está justamente encima de un conjunto residencial de viviendas habitadas consolidadas, requiriendo la compra de la totalidad de dicho conjunto residencial afectando un número significativo de unidades de vivienda, que no se incluyeron en el presupuesto de la gestión predial de la UF3 ya que al momento de la estructuración del presente proceso de selección dichas unidades de vivienda no existían, al respecto y dada la significativa afectación predial se presume que se debe realizar un cambio buscando que la intersección no afecte el conjunto residencial. Un esquema del cambio propuesto se presenta a continuación (la línea amarilla representa el diseño del estructurador, la roja el cambio proyectado):</t>
  </si>
  <si>
    <t xml:space="preserve">
Conforme a esta modificación, se solicita pronunciamiento de la Entidad respecto a las consultas previas adelantadas en la zona en comento y al mismo cambio de trazado en este sector específico, entendiendo que la protocolización se realizó con el anterior diseño del estructurador.</t>
  </si>
  <si>
    <t xml:space="preserve">Cuarto de Datos - Trazado y Diseño Geometrico - Carpeta A / Apendice Técnico 1 / Apendice Tecnico 8 -Gestión Social
</t>
  </si>
  <si>
    <t>De acuerdo a la pregunta anterior y según el diseño geometrico publicado el pasado 24 de Agosto de 2020, se solicita informar cual fue el diseño socializado con los consejos comunitarios para la protocolización de los acuerdos de consulta previa para la unidad funcional 3, entendiendo que las compensaciones se ajustaron a un diseño socializado por parte del estructurador y cualquier riesgo por un cambio de diseño no socializado no puede ser asumido por el adjudicatario y/o por el nuevo concesionario</t>
  </si>
  <si>
    <t>Cuarto de Datos - Trazado y Diseño Geometrico - Carpeta A / Apendice Técnico 1 / Apendice Tecnico 8 -Gestión Social</t>
  </si>
  <si>
    <t>Cuarto de Datos - Información trafico y recaudo Eje cañero (E.C)</t>
  </si>
  <si>
    <t>Dentro de las resoluciones que autorizan el permiso de concesión de agua subterránea y el permiso de vertimiento no se muestran los estudios hidrogeológicos y edafológicos que validaron dicha solicitud, al respecto es importante aclarar que este insumo es fundamental para conocer la capacidad que tiene los acuíferos dentro del área de estudio y evaluar la posibilidad de aumentar el volumen de agua a solicitar, en caso de que sea necesario para el desarrollo del presente proyecto. 
Situación similar ocurre con el tema de vertimiento a suelo, puesto que no es claro las características del suelo. 
Con base en lo expuesto se solicita sean suministrados los estudios que validaron y soportaron las citadas resoluciónes.</t>
  </si>
  <si>
    <t>Cuarto de Datos Carpeta H</t>
  </si>
  <si>
    <t>Dentro de la información que reposa en el cuarto de datos, no se cuenta con mayor información de los titulos mineros propiedad de la antigua concesión. En los documentos de PAGA, de cada unidad funcional se mencionan que los materiales a utilizar se van a adquirir por compra a terceros, sin embargo es importante no descartar la opción de obtención de titulos mineros propios, asi las cosas se solicita publicar la informacion de los titulos mineros que estaban en cabeza del anterior concesionario.</t>
  </si>
  <si>
    <t xml:space="preserve">Teniendo en cuenta los informes de gestión contractual de seguimiento de proyectos, nombrados permisos ambientales bajo la estructuración y licencias ambientales numero: Res. 0745 de 1999, Res. 0747 de 1999 y Res. 0337 de 2004, los cuales dictan los pasivos ambientales en los tramos y aquellas medidas de compensación o mantenimiento que se encontraban ejecutadas o que se encontraban en ejecución, en la concesión anterior de los tramos ahora correspondientes al presente proyecto, se solicita publicar la información acerca de los actos-resoluciones administrativas, informes de cumplimiento que disponen el manejo y actividades concretas EJECUTADAS con respecto a la compensación por aprovechamiento forestal traspolado en las actuales unidades funcionales planteadas. </t>
  </si>
  <si>
    <t>Cuarto de datos - Carpeta "H": Conceción anterior H376 65. Formato GCSP-F-116 permisos ambientales Santander de Quilichao , Conceción anterior H5162 63. GCSP-F-116 Permisos ambientales
 ,Conseción anterior H71-68 69. GCSP-F-116 Permisos ambientales y Conceción anterior H81-59 61. GCSP-F-116 Permisos ambientales.</t>
  </si>
  <si>
    <t>Se solicita publicar toda la información para el componente flora, ya que en el cuarto de datos no se encontraron reportes especificos del tema concerniente a aprovechamiento forestal, tales como pronunciamientos de las autoridades ambientales de volumen maderable y manejo del aprovechamiento forestal  de las 5 unidades funcionales. Es de vital importancia saber si hay permisos tramitados para aprovechamiento forestal y el estado de los mismos a la fecha de hoy en cada uno de los tramos de las unidades funcionales y asi mismo saber si hay informes de inventarios forestales en los tramos que se construyeron los cuales segun los -PAGA- de las unidades funcionales, y los  pronunciamentos de la -ANLA-.</t>
  </si>
  <si>
    <t>Se solicita publicar toda la información para el componente flora en las unidades funcionales, ya que no hay reportes, informes especificos del tema concerniente a compensaciones ambientales por aprovechamiento forestal y/o compensaciones por perdida de biodiversidad y si se llegaron a adelantar dichas actividades, así mismo es importante saber a la fecha quien lleva el seguimiento, como se compenso, cuando y donde se hizo la compensación ambiental, y el seguimiento y estado actual de dicha compensaciones, para cada uno de los tramos de las unidades funcionales actuales.</t>
  </si>
  <si>
    <t>Los informes de gestión presentados por conjunto de tramos no tienen discriminación de obligaciones o pasivos ambientales, en la carpeta GCSP-F-116 ANI PERMISOS AMBIENTALES, para el caso del componente fauna no se evidencia entrega alguna del analisis del sistema de informacion  de biodiversidad, al igual que no se presenta evidencia de analisis y concepto tecnico para la presentacion del  documento requerido, favor publicar dicha información.</t>
  </si>
  <si>
    <t>Respecto de la fauna del proyecto se encontró una caracterización de la misma en toda el área del proyecto, realizada a través de información secundaria, al respecto se solicita publicar toda la información sobre este particular elaborada por el anterior concesionario, es decir información tomada y/o recolectada por fuentes primarias.</t>
  </si>
  <si>
    <t>Se solicita publicar los certificados de las consultas previas adelantadas con las comunidades negras de Santander de Quilichao, Puerto Tejada, Villa Rica y Vereda El Tajo, con el fin de establecer las obligaciones producto de la protocolización de acuerdos.</t>
  </si>
  <si>
    <t>Se solicita publicar las actas de cierre de las consultas previas antes mencionadas o el acta de compromiso de pasivos pendientes producto de las consultas previas</t>
  </si>
  <si>
    <t>Se solicita informar cual  es el Estado de la obligación como declaración de patrimonio cultural de la hacienda Villa Rica producto de la consulta previa con comunidades de Villa Rica.</t>
  </si>
  <si>
    <t>Se informa al interesado que no se considera necesario incluir la regulación indicada, por cuanto la Sección 3.14(g)(ii)(2) de la parte general del contrato establece que los recursos de la cuenta proyecto tienen como uno de sus propósitos "Atender los gastos del Patrimonio Autónomo, sin importar si pertenecen a la Cuenta ANI o Cuenta Proyecto, tales como los impuestos, gravámenes y/o gastos de transacción que se realicen sobre todas las subcuentas del Patrimonio Autónomo..." por lo cual ya está explícitamente regulada esta restricción en otro aparte del contrato.</t>
  </si>
  <si>
    <t>reina el 3 de septiembre</t>
  </si>
  <si>
    <t>Se aclara al interesado que no se acepta su observación. Esa Sección indica que incluye las indemnizaciones mutuas por concepto de perjuicios derivados de la Terminación Anticipada y por lo tanto se convierte en un acuerdo entre las partes con la firma del contrato.</t>
  </si>
  <si>
    <t>En primer lugar, se aclara al interesado que el riesgo de financiación está asignado al concesionario y en este sentido no es procedente que se otorgue una garantía al respecto inclusive ante la terminación anticipada.
De la misma manera, se informa al interesado que el diseño de las fórmulas de liquidación por terminación anticipada, al considerar explícitamente en un componente los desembolsos de deuda para cada periodo y actualizarlos con la tasa TE e inflación hasta la Reversión, permite que el valor estimado de liquidación permita cubrir el servicio de la deuda estimado, sin que la ANI esté otorgando una garantía al respecto.  Vale la pena mencionar que las tasas TE fueron determinadas bajo este criterio frente a las estimaciones del modelo financiero de estructuración.</t>
  </si>
  <si>
    <t xml:space="preserve">Se informa al interesado que aplicará el concepto de Elusión cuando los usuarios no pasen por las Estaciones de Peaje con ocasión del uso legítimo de Nuevas Vías Públicas que no fueron contempladas durante la etapa de estructuración y hasta la apertura del Proceso de Selección del Proyecto.
De acuerdo con el numeral 13.3 (i), los efectos desfavorables derivados de la Elusión por parte de los usuarios de peajes cuando se habilite el uso de Nuevas Vías Públicas no contempladas durante la fase de estructuración es un riesgo asignado a la ANI. </t>
  </si>
  <si>
    <t>Se informa al interesado que los oferentes que no resultaron adjudicatarios, luego de finalizado el proceso de selección y perfeccionado el contrato de concesión, ya no tienen obligación de mantener vigentes los cupos de crédito pues no concretaron la relación contractual con la ANI y se han extinguido los compromisos pactados a través de su oferta.</t>
  </si>
  <si>
    <t>Se informa al interesado que no se acoge su observación por cuanto los compromisos derivados de nuevas consultas previas corresponden a un riesgo compartido de acuerdo con las Secciones 13.2(a)(iii) y 13.3(c) y por lo tanto la sección referida es consistente. Se aclara igualmente al interesado que la Sección 13.3(c) de la Parte General se refiere de manera independiente a las Obras Menores no previstas y a los acuerdos que resulten de nuevas consultas previas, y por lo tanto no es posible equiparar ambos como Obras Menores aunque se encuentren mencionados en la misma Sección pues son eventos diferentes.  Sin perjuicio de lo anterior se informa al interesado que se ha modificado la distribución de este riesgo entre las Partes tal como se presentará en la minuta que acompañará los pliegos definitivos.</t>
  </si>
  <si>
    <t xml:space="preserve">Se informa al interesado que se ha ajustado el valor de la variable FAE para poder reconocer en la fórmula los montos de equity adicional que podrían resultar de la materialización de algunos riesgos flexibilizando así la restricción. Este ajuste se podrá encontrar en la minuta que acompañará los pliegos definitivos.
</t>
  </si>
  <si>
    <t>Se informa al interesado que en la definición de Giro Equity (Sección 1.90) se indica que "...El Giro de Equity podrá ser deuda subordinada de socios al Proyecto..." por lo cual no es correcta su apreciación.
En segundo lugar se reitera lo indicado en la respuesta a la observación #326 sobre el ajuste al valor de la variable FAE y el caso en que las fuentes sean mayores a los montos invertidos.</t>
  </si>
  <si>
    <t>Se informa al interesado que se ha ajustado el plazo de pago de la comisión de éxito en la sección 3.5 de la parte especial del contrato con el fin de permitir que se realice luego de la constitución del patrimonio autónomo, de manera tal que sea posible efectuarlo con los recursos allí depositados.
Se aclara al interesado que el fragmento citado en su observación indica que el pago de la factura per se no podrá ser contabilizado como aporte de equity pues esto equivaldría a validar un aporte en especie, lo cual está estrictamente prohibido de acuerdo con la Sección 3.9(a) de la parte general. Por lo tanto el Concesionario deberá realizar el Giro de Equity y luego con esos recursos podrá pagar la(s) factura(s) correspondientes a la comisión de éxito.</t>
  </si>
  <si>
    <t>Se informa al interesado que no se acepta su observación. Como lo establece el Contrato los recursos disponibles en la Subcuenta Tiquetes Prepagados se destinarán única y exclusivamente a sufragar las tarifas de peaje de los usuarios de la vía que hayan aportado previamente las sumas depositadas y, en consecuencia, el único beneficiario de dicha Subcuenta será la ANI. En la medida en que se genere la obligación de pago de la tarifa correspondiente, el monto será transferido a la subcuenta Recaudo Peaje y se contabilizará dentro del VPIP.</t>
  </si>
  <si>
    <t>Se aclara al interesado que bajo los parámetros establecidos en el contrato, el primer giro deberá contener los 12 meses correspondientes a la fase de preconstrucción, el segundo giro los primeros 12 meses de la fase de construcción, el tercer giro los siguientes 12 meses de la fase de construcción, y así sucesivamente. Sin perjuicio de lo anterior se reitera que en la misma Sección existe una regulación independiente para el caso en el que esas Fases tengan una duración superior a la establecida inicialmente, pues en ese caso deberán hacer fondeos adicionales para garantizar los valores faltantes.</t>
  </si>
  <si>
    <t>Se informa al interesado que la definición correcta de Vz en la sección referida es la siguiente: "Es el valor de la Oferta Económica de la Oferta Hábil No Rechazada inmediatamente por debajo de la mediana". En los pliegos definitivos se ajustarán a singular las palabras "las" y "Rechazadas" en la definición de esta variable, considerando que el valor de Vz debe ser un solo valor para cualquiera de las propuestas evaluadas.</t>
  </si>
  <si>
    <t>Se informa al interesado que la definición correcta de V_Mín en la sección referida es la siguiente: "Valor de la Oferta Económica de la Oferta Hábil No Rechazada de menor valor". En los pliegos definitivos se ajustará a singular la palabras "las" en la definición de esta variable, considerando que el valor de V_Mín debe ser un solo valor para cualquiera de las propuestas evaluadas.</t>
  </si>
  <si>
    <t>Se informa al interesado que se amplió el plazo del cierre financiero y se modificó la forma de acreditación así: 3.8 (b) En el caso que el Concesionario opte por presentar en el plazo del Cierre Financiero la certificación emitida por el(los) Prestamista(s) indicada en la Sección 3.8(a)(i) de esta Parte General, el Concesionario contará con el plazo establecido en la Parte Especial contando desde la fecha de suscripción del Acta de Inicio de la Fase de Construcción para presentar el contrato de crédito suscrito o una certificación emitida por el(los) Prestamista(s) en la que conste que el contrato de crédito fue suscrito, que contenga al menos lo siguiente: (i) valor del crédito; (ii) acreedor; (iii) garantías; (iv) plazo para el pago; (v) tasa; (vi) condiciones para el desembolso.</t>
  </si>
  <si>
    <t>Se informa al interesado que la entidad acoge su observación. El nuevo valor requerido de cupo de crédito específico se presentará en los pliegos definitivos.</t>
  </si>
  <si>
    <t>Se informa al interesado que no se acoge su observación por cuanto los valores y fechas de estos fondeos fueron considerados en la ingeniería financiera del proyecto como parte del costo base y por lo tanto determinan la rentabilidad estimada. Además al tratarse de una obligación y no de un riesgo deben cumplirse en las fechas y montos indicados independientemente del saldo de las subcuentas respectivas. Sin perjuicio de lo anterior se informa al interesado que el valor y fecha de los fondeos de algunas de las subcuentas ha sido modificado considerando el cronograma de ejecución de los recursos, como se podrá observar en el contrato que se presentará con los pliegos definitivos.</t>
  </si>
  <si>
    <t xml:space="preserve">Se informa al interesado que la entidad ha decidido utilizar el mecanismo de Soporte de Ingresos para este proyecto, para los periodos y en los montos que se presentarán en la parte especial del contrato, así como una regulación para contemplar el riesgo a cargo de la ANI en caso de presentarse una Restricción de Movilidad como se definirá en la parte general del contrato. Estos cambios se podrán observar en la minuta que se publicará con los pliegos definitivos.
</t>
  </si>
  <si>
    <t>Se informa al interesado que teniendo en cuenta la envergadura del proyecto y que este requisito ha sido usado en los procesos de selección de este tipo de proyectos, el cupo de crédito específico se considera pertinente y adecuado para este proceso de licitación. Dicho lo anterior, la entidad ha disminuido el valor requerido de este cupo de cara a los Pliegos definitivos.</t>
  </si>
  <si>
    <t>Se aclara al interesado que los pasivos ambientales derivados del contrato de concesión que se desarrolló anteriormente sobre la infraestructura existente, de acuerdo con lo estipulado en la Sección 3.6(h) de la parte especial y el Apéndice Técnico 6 del contrato, deberán ser asumidos por el nuevo concesionario. Estos deberán ser estimados y contemplados  dentro de la debida diligencia de los proponentes toda vez que están plenamente identificados y limitados en los alcances del proyecto, y por esta razón no se consideran como riesgo constructivo sino que son una obligación cierta a cargo del concesionario.</t>
  </si>
  <si>
    <t>Se aclara al interesado respecto a la Subcuenta de Cambio Climático lo siguiente:
(i) Esta subcuenta será fondeada únicamente si el concesionario  obtiene recursos externos para la inversión en vías adaptadas y resilientes al cambio climático por concepto de restauración ambiental e infraestructura verde, según lo establece la sección 3.14(h)(ix), por lo cual será optativo por parte del Concesionario y condicionado a la suscripción de esos acuerdos de cooperación. 
(ii) Se entiende por fuentes de financiación externa los recursos de Cooperación internacional, convenios o acuerdos de cooperación con otras partes, diferentes a los fondeos realizados por el Concesionario o la ANI dentro del marco contractual y diferentes a las señaladas en la sección 3.1(b) del Contrato Parte General que son fuentes para la retribución.
(iii) Se informa al interesado que se han incluido dos numerales sobre el manejo de los rendimientos y remanentes de esta subcuenta así:
"(6) Salvo que la entidad cooperante disponga lo contrario, los rendimientos de las operaciones de tesorería que se efectúen con cargo a los recursos de la Subcuenta Cambio Climático acrecentaran dicha Subcuenta.
(7) En caso de liquidación, los recursos disponibles en esta Subcuenta serán destinados según lo dispuesto por la entidad cooperante." 
Estos ajustes se encontrarán en la versión de la minuta del contrato que se presentará con los pliegos definitivos.
(iv) La razón para exceptuar estos recursos en la sección 18.2(a)(i) es que se trata de recursos con destinación específica y no pueden ser utilizados para el pago de otras obligaciones contractuales en el momento de la liquidación.</t>
  </si>
  <si>
    <t>Se informa al interesado que se acoge su observación y en consecuencia el valor y fecha de los fondeos de algunas de los aportes de equity ha sido modificado considerando el cronograma de ejecución de los recursos, como se podrá observar en el contrato que se presentará con los pliegos definitivos.</t>
  </si>
  <si>
    <t>Se aclara al interesado que la Matriz de Riesgos se encuentra en línea con los  CONPES 3760, 3107 y 3800, y por lo tanto no es necesario expedir un nuevo documento CONPES para este contrato.</t>
  </si>
  <si>
    <t>Se informa al interesado que:
(i) La entidad considera que el riesgo de variaciones macroeconómicas es inherente a cualquier proyecto de inversión y la esencia de la Ley 1508, precisamente busca incluir al privado como un socio para poder distribuir este tipo de riesgos. Este riesgo está considerado en el CONPES 3107 en el cual se asigna al privado por lo cual no se acoge su observación. Adicionalmente se considera que el contrato ya contempla la regulación necesaria dentro de un Evento Eximente de Responsabilidad para el que se estipula lo siguiente: "cualquier evento, circunstancia o combinación de eventos o circunstancias fuera del control razonable de la Parte que lo invoca, que afecte en forma sustancial y adversa el cumplimiento de las obligaciones derivadas del Contrato respecto de las cuales se invoca, después de que la Parte que lo invoca haya efectuado todos los actos razonablemente posibles para evitarlo" por lo cual no es correcto decir que el riesgo asumido sea ilimitado.
(ii) El texto citado del CONPES 3760 se enmarca en el riesgo comercial por tratarse específicamente de consideraciones sobre el tráfico y por lo tanto no es aplicable al riesgo de condiciones macroeconómicas, el cual pertenece al área de riesgo soberano sobre la cual no se pronunció el CONPES en este documento y por lo tanto se mantiene lo indicado en el CONPES 3107. Ahora bien, frente al riesgo comercial las disposiciones establecidas en los CONPES no excluyen que el riesgo pueda ser compartido o asignado al privado, como se ha presentado en proyectos de iniciativa privada en el marco de la Ley 1508. En este sentido la entidad ha dado una asignación compartida a este riesgo considerando los 8 peajes del proyecto que permite realizar un manejo adecuado del riesgo por parte del concesionario, de manera que es asumido por la parte pública únicamente bajo el mecanismo de Soporte de Ingresos, el cual se ha decidido utilizar en este proyecto para los periodos y en los montos que se presentarán en la parte especial que acompañará los pliegos definitivos.</t>
  </si>
  <si>
    <t>Se aclara al interesado que la regulación observada regula precisamente que el uso de cualquier vía distinta a las reguladas en el contrato será considerado Elusión y hará parte del riesgo asumido por el Estado. No ocurre así con las vías identificadas en la etapa de estructuración y hasta la apertura del proceso de selección por cuanto estas deben estar incorporadas en las estimaciones que ha realizado el proponente como resultado de su debida diligencia.</t>
  </si>
  <si>
    <t>No se acoge su observación. Se informa al observante que las modalidades previstas para los Prestamistas en la sección 3.8 (d) y el registro que establece la sección 3.10 de la Parte General son suficientes y necesarios teniendo en cuenta las modalidades de financiación que se acostumbra usar en el mercado para este tipo de proyectos.</t>
  </si>
  <si>
    <t xml:space="preserve"> Se informa al interesado que dicha disposición se eliminó teniendo en cuenta que con anterioridad al inicio de la fase de construcción no es usual que existan desembolsos de deuda, especialmente teniendo en cuenta que una de las condiciones precedentes para los desembolsos es precisamente haber iniciado la fase de construcción, y por lo tanto no es lógico reconocer comisiones ni otros pagos a los prestamistas cuando no se han dado los desembolsos pues esto generaría sobrecostos a la Nación ante una posible terminación anticipada en fase de preconstrucción sin haber iniciado las intervenciones previstas.</t>
  </si>
  <si>
    <t>Se informa al interesado que estas disposiciones se han incluido para salvaguardar los intereses de la Nación en caso de terminación anticipada ante el reconocimiento de valores artificialmente altos, que se hayan ejecutado sin relación al cumplimiento del contrato o que no satisfagan los intereses del concedente por ser gastos infructuosos realizados por el concesionario, considerando las experiencias que se han presentado en terminaciones anticipadas de contratos de concesión. El valor a reconocer resultante luego de la evaluación de estos criterios para cada erogación se considera razonable y en línea con las necesidades del Proyecto. 
Así mismo, se recuerda al interesado que la figura de la confiscación no resulta aplicable al caso propuesto de acuerdo con la respuesta brindada por la Entidad a su anterior observación.</t>
  </si>
  <si>
    <t>Se informa al interesado que no se acepta su observación. Frente a la primera parte de la observación se informa que  la regulación actual precisa que las personas naturales pueden participar como Prestamistas únicamente bajo esta modalidad, pero no indica que los tenedores de bonos puedan ser únicamente personas naturales como lo infiere el observante.
Frente a la segunda parte de la observación, se aclara que  la Sección 3.8(d) PG establece diferentes tipos de Prestamista que puede participar del proyecto entre los cuales están, entre otros, los inversionistas institucionales extranjeros, categoría que cobija los tipos de sociedades que refiere la observación. Sin perjuicio de lo anterior, estos Prestamistas deberán aportar los recursos a través de alguna de las modalidades previstas en la sección 3.7(c) PG y aportar los documentos mencionados en la sección 3.8(a) PG para que sus recursos sean reconocidos como Deuda del proyecto.</t>
  </si>
  <si>
    <t>Se informa al interesado que no se acoge su observación por cuanto son los socios del Concesionario quienes pueden demostrar alguna relación e interés directo con el Concesionario, y por lo tanto tiene sentido que aporten Recursos de Patrimonio para que puedan ser partícipes de los dividendos, pero no ocurre así con los Beneficiarios Reales. Por lo tanto se mantendrá la regulación de las secciones 1.88, 1.154 y demás relacionadas.</t>
  </si>
  <si>
    <t>Se aclara al interesado que el concesionario no puede solicitar el reintegro de los costos incurridos previos a la constitución del Patrimonio Autónomo.</t>
  </si>
  <si>
    <t xml:space="preserve">Se informa al interesado que el traslado indicado en esta Sección se realizará a través de la comunicación en la que el Concesionario solicite el mismo en cumplimiento de lo indicado en la sección referida en el momento en el que la ANI lo determine. No deberá existir cuenta de cobro ni factura de la ANI por cuanto la entidad no será la destinataria final de estos recursos sino que como lo indica esta Sección, estos servirán como fuente de pago de otro proyecto de infraestructura, y considerando que en todo caso estos no provienen de recursos de deuda ni de equity sino de la explotación económica de la infraestructura.
En ningún caso este traslado será tenido en cuenta como un ingreso para la ANI o el Estado. </t>
  </si>
  <si>
    <t>La libre destinación permitirá que la ANI disponga de los recursos en otros proyectos, sin que esto implique que deban ser incorporadas en su propio presupuesto por tratarse de recursos derivados de la explotación económica de la infraestructura y no será la ANI la destinataria de tales recursos.</t>
  </si>
  <si>
    <t>Se aclara al interesado que de acuerdo con los numerales (3) y (5) de la Sección 3.14(h)(xii) de la parte general, será el Concesionario quien dará las instrucciones sobre los ingresos y salidas de esta subcuenta (únicamente hacia la subcuenta Recaudo Peaje) aunque el beneficiario de la cuenta sea la ANI. Considerado lo anterior se estima que dentro del Contrato de Fiducia Mercantil que suscriba el Concesionario con la Fiduciaria, o dentro del marco del comité fiduciario se deberá determinar el mecanismo operativo para que se dé cumplimiento a esta Sección.</t>
  </si>
  <si>
    <t>Se informa al interesado que la ANI al momento de ordenar los traslados informará cual es el plan de aportes vigente a ese momento y aprobado por el Ministerio de Hacienda, siendo este soporte y el contrato mismo soportes suficientes para determinar que el traslado esté acorde con lo indicado en dicha Sección.</t>
  </si>
  <si>
    <t>Se aclara al interesado que de acuerdo con la Sección observada, las inversiones se definirán por parte de la ANI en el marco del Comité Fiduciario cumpliendo siempre con lo indicado en dicha Sección. La entidad considerará en cada periodo las alternativas disponibles y el riesgo asociado a cada alternativa considerando además que los rendimientos de la subcuenta Aportes ANI deberán ser transferidos a la Dirección General de Crédito Público y Tesoro Nacional del Ministerio de Hacienda y Crédito Público, según la Sección 3.14(h)(iii)(6).</t>
  </si>
  <si>
    <t>Se aclara al interesado que por tratarse de una obligación a cargo del concesionario este será el responsable de calcular el reajuste de los fondeos incumplidos, y será la interventoría quien deba monitorear y reportar el incumplimiento, así como validar el cálculo realizado por el concesionario con el fin de emitir concepto sobre el subsanamiento y/o tasar las multas cuando procedan, de acuerdo con las obligaciones contractuales y legales de cada uno de ellos.</t>
  </si>
  <si>
    <t>Se informa al interesado que en efecto esta cuenta solo será usada en caso de suscribir acuerdos de cooperación, y en consecuencia es lógico que la subcuenta se materialice operativamente hasta cuando el concesionario indique que ha logrado tales acuerdos. Se aclara también que esta subcuenta no tiene relación alguna con las fuentes de retribución como lo implica su observación.</t>
  </si>
  <si>
    <t>Se aclara al interesado que en caso de existir un valor mayor de las fuentes frente a los usos a reconocer dentro de la fórmula, como lo plantea el interesado, se infiere que éste se reflejará en el saldo disponible en la cuenta proyecto al momento de concluir la Reversión. De acuerdo con la Sección 18.2(c) de la parte general del contrato, si se determina que constituye un excedente de esta cuenta el saldo le será entregado al Concesionario en las condiciones allí indicadas y por lo tanto no debe ser incluido en la fórmula de liquidación.</t>
  </si>
  <si>
    <t>Se aclara al interesado que esta sección se refiere a que en caso de darse las condiciones allí descritas (es decir, que la entrega de la infraestructura anteriormente descrita no ocurra en los plazos máximos previstos), el Concesionario no deberá ejecutar las obras asociadas a dichas intervenciones, y por lo tanto a manera de compensación deberá fondear la subcuenta Excedentes ANI los montos y plazos establecidos en dicha sección, calculando primero la equivalencia a pesos corrientes usando la misma fórmula de la Sección 3.9(b) de la parte general que se utiliza para la actualización a pesos corrientes de los Giros de Equity. Lo anterior es consistente con lo indicado frente a esta fórmula en la sección 3.9(c) PG: "La anterior fórmula deberá ser utilizada para actualizar otros valores cuando dicha actualización esté expresamente prevista en el presente Contrato..."</t>
  </si>
  <si>
    <t>Se informa al interesado que para cada uno de los riesgos que tenga asignación compartida existe una Sección del Contrato donde se indica cual es la porción del riesgo que está cubierta por parte de la parte pública (por ejemplo, Sección 7.2(d) PG para el riesgo de adquisición de predios,  Sección 8.1(c) para el riesgo de compensaciones socioambientales, etc). Se invita al observante a revisar nuevamente los riesgos de cara a las Secciones 13.2 y 13.3 de la Parte General, así como a las Secciones donde se establecen los procedimientos y parámetros del aspecto del cual se trata cada riesgo.</t>
  </si>
  <si>
    <t xml:space="preserve">Se aclara al interesado que no se considera procedente la solicitud, en tanto es obligación del Concesionario tomar las medidas necesarias previstas en la Ley Aplicable para la defensa y protección del Corredor del Proyecto ante las Autoridades Estatales competentes en la debida forma y oportunidad. </t>
  </si>
  <si>
    <t>La  entidad considera que el riesgo de variaciones macroeconómicas es inherente a cualquier proyecto de inversión y la esencia de la Ley 1508, precisamente busca incluir al privado como un socio para poder distribuir este tipo de riesgos. Además este riesgo está considerado en el CONPES 3107 en el cual se asigna al privado. Por lo anterior no se acepta su observación.</t>
  </si>
  <si>
    <t>Se aclara al interesado que los riesgos dentro del área regulatoria de la matriz están asignados al público, con excepción del riesgo de cambios en la normatividad tributaria el cual está asignado como compartido, y la asunción resulta de un monto ya determinado en la Sección 3.16 PG del contrato. Por lo anterior no es pertinente su observación.</t>
  </si>
  <si>
    <t>Se informa al interesado que la asignación compartida del riesgo tributario es comprensible en el entendido que un cambio tributario tiene implicaciones en cualquier proyecto de inversión y por lo tanto es lógico que el privado asuma parte del riesgo. Por lo anterior no es procedente su observación. Se aclara igualmente que se exceptúan de esta definición los cambios que se presenten en impuestos que graven la renta, los cuales serán asumidos por el Concesionario.</t>
  </si>
  <si>
    <t>No se considera procedente su solicitud. En primer lugar porque en la medida en que existen eventos de fuerza mayor asegurables, para los cuales el concesionario tendrá la capacidad de contratar las garantías respectivas, estos deben ser asignados al Concesionario. En segundo lugar, se aclara al interesado que la palabra "parcialmente" se incluyó dentro de la redacción de los riesgos de fuerzas mayores para indicar que la cobertura de las compensaciones a cargo del público se limitan a lo indicado en el contrato de concesión, pues hay efectos que están explicitamente excluidos de las compensaciones (por ejemplo lucro cesante) y otros efectos que pueden generar las fuerzas mayores que no están previstos, los cuales no pueden ser cubiertos por el público.</t>
  </si>
  <si>
    <t xml:space="preserve">Se informa al interesado que no se considera procedente la observación, toda vez que una de las obligaciones explicitas del contrato es contar con todas las garantías y pólizas requeridas en el contrato. </t>
  </si>
  <si>
    <t>Se informa al interesado que se acoge su observación y en la minuta parte especial sección 4,5 se hicieron los ajustes correspondientes en los documentos definitivos para incluir el mecanismo de soporte de ingresos en este proyecto.</t>
  </si>
  <si>
    <t>Se informa al interesado que se ha incluido una definición de un evento por Restricción de Movilidad y se ha enmarcado dentro de los riesgos de menor recaudo a cargo de la ANI para que se puedan compensar los efectos sobre el recaudo de peaje dejado de percibir. Sobre los demás efectos no se concederá ningún tipo de amparo. Esta nueva redacción se podrá encontrar en la minuta de contrato que se publicará con los pliegos definitivos.</t>
  </si>
  <si>
    <t>Se aclara al interesado que:
   - Los recursos provenientes de refinanciaciones se podrán consideran como Recursos de Deuda si se logra demostrar que corresponden a la sustitución exacta de una deuda para la cual se logre demostrar a su vez que se dio cumplimiento a dichas condiciones. Lo anterior por supuesto sin que sea posible reconocer tanto la deuda original como la deuda de la refinanciación al mismo tiempo. En este sentido no se considera necesario realizar ajustes a la definición.
 - La entidad considera pertinente mantener la regulación observada por cuanto los desembolsos de recursos al patrimonio autónomo, diferentes a las fuentes de la retribución, necesariamente deben cumplir con la definición de Recursos de Deuda o de Recursos de Patrimonio con todo lo que ello implica. Por ejemplo en el caso que refiere de un desembolso de una carta de crédito, el emisor debe haber cumplido con los requisitos de Banco Aceptable de acuerdo con el pliego de condiciones, de manera que podrá acreditar estas calidades para solicitar ser reconocido como Prestamista, mientras que en el caso hipotético del acreedor que financia al accionista se precisa que éste no resulta ser un agente del contrato de concesión, sino que de acuerdo al ejemplo está facilitando que el accionista pueda realizar los giros de equity que le corresponden, razón por lo cual los recursos estarían sujetos a su reconocimiento como Recursos de Patrimonio siempre que hayan sido transferidos por parte del accionista al patrimonio autónomo en las condiciones establecidas para tal efecto y por lo tanto harían parte del componente de equity sin que este acreedor sea reconocido de manera alguna por la ANI.</t>
  </si>
  <si>
    <t>Se informa al interesado que:
 - Mínimo entre C y F; Fórmula F: La entidad considera que tomando como base las experiencias en terminaciones anticipadas de contratos se considera necesario incluir un límite para las fórmulas de liquidación, por lo que no es procedente la observación. Dicho esto, es importante resaltar que se considera que la aplicación de la fórmula F no genera una exposición a la financiación de la inversión del proyecto toda vez que las variables asociadas a la misma están directamente relacionadas con la fórmula C previamente desarrollada en contratos 4G. 
De manera general y con el fin de ejemplificar el entendimiento de la fórmula, las variables Uh y Eh por defecto deberían ser consistentes con la variable ARh (en la medida en que éstas son las únicas fuentes posibles de financiación en etapa preoperativa), en el mismo sentido la variable Rh es la fuente de recursos con la cual se atienden las variables Amorth, Inth y Divh  (amortizaciones de capital, intereses y repago de dividendos) con lo cual el resultado de ambas fórmulas debería ser consistente a lo largo del ejercicio. 
-  Costo de Inversión mediante el concepto AR: no se considera procedente lo observado, toda vez que la causación y pago efectivo de la retribución se considera una medida adecuada de amortización del activo y que estos recursos fueron entregados al Concesionario previamente por lo cual no procede reconocerlos dos veces.
- Conceptos AR: 
    - Tercer párrafo: se aclara al interesado que la redacción observada aplica para la etapa de reversión independientemente del evento que active dicha etapa. La intención de esta redacción es aclarar que si se cuenta con recursos de peaje durante la etapa de reversión, el porcentaje RP será la fuente de pago de cualquier actividad asociada a esta etapa y por lo mismo no se contemplarán dichos costos dentro del AR (puesto que los mismos serán pagados contra el porcentaje RP, el cual tampoco entra a computar dentro de la variable Rh).
   - Gastos financieros: Se considera que estos costos financieros se encuentran contenidos en la TE. 
   -  Pagos de estudios: La redacción indica "de haberse efectivamente pagado dicho valor" por lo cual este condicional ya permite evitar confusiones en el caso en que no proceda, como ocurre en este proyecto.
   -  Estudios: No se considera pertinente incluir más categorías dentro de este concepto.
   - Precios de mercado:  la Entidad no acepta su observación, con esto se pretende limitar que se incluyan en la fórmula costos ociosos o precios superiores a los que se encuentran en el mercado, esto da transparencia al cálculo de esta variable al considerar los precios del mercado. 
   - TE: No se considera procedente la observación. Las TE indicadas permiten alinear los incentivos entre las partes.
 - Variables fórmula F:
    - Equity:  De acuerdo con lo indicado previamente, se considera necesario dotar a la fórmula de un límite sobre el reconocimiento de sobrecostos, que se materializa a través de la combinación del monto mínimo contractual con el factor FAE. Por lo tanto no es procedente un cambio en otro sentido. Dicho lo anterior se considerará un valor de FAE que permita viabilizar una estructura de financiación más flexible, que se dará a conocer en los pliegos definitivos.
    -  Uh: Respecto al elemento de los costos de los derivados, se informa al interesado que la Entidad no considera pertinente la inclusión de los mismos, dado que quedaría expuesta a riesgo cambiario y/o variación de tasas de interés  y en este contrato los efectos de las variaciones del Peso en relación con cualquier otra moneda, así como el riesgo de financiación son del concesionario, tal como está previsto en documentos Conpes que aplican para este sector. . 
   - Int: la premisa planteada no corresponde con el enfoque de estas fórmulas. De manera análoga al reconocimiento del Rh en la fórmula de C, es necesario descontar los valores ya pagados a los Prestamistas, tanto capital como intereses del valor computable en la F.
   - Amort y DIV: El F es un límite que recoge las fuentes de financiación del proyecto aún no saldadas, y por lo tanto en términos generales debería guardar relación con la ejecución de obras y actividades que recoge el AR menos la retribución pagada. Existe una armonía entre las fuentes y los usos del proyecto, así como entre la retribución y el servicio de la deuda más los dividendos o pagos de deuda subordinada. De esta manera no es coherente una situación hipotética como la que plantea el interesado, donde se haya amortizado una gran cantidad de deuda y/o deuda subordinada con la retribución que generó un proyecto, pero aún así se pretenda que la ANI deba pagar nuevamente el valor total del activo intervenido desconociendo los valores que le han sido transferidos durante la ejecución al Concesionario. Dicho lo anterior, las fórmulas actuales capturan la esencia de lo que se considera adecuado compensar al Concesionario, si es el caso, por la terminación anticipada del contrato de concesión.
   - TE: No se considera procedente la observación. Las TE indicadas permiten alinear los incentivos entre las partes.</t>
  </si>
  <si>
    <t>Se informa al interesado que la Subcuenta de Contingencias será fondeada durante la Etapa Preoperativa del Contrato a partir de la orden de la ANI a la Fiduciaria sobre el traslado de recursos hasta la suma indicada en la Sección 4.5(i) de la Parte Especial y siguiendo el orden señalado en la Tabla de Referencias a la Parte General Sección 3.14(h)(iv)(2)(iv). De acuerdo con lo dispuesto por el contrato, la fiduciaria fondeará hasta el monto máximo indicado en la referida Sección o hasta llegar a la Fecha Máxima del Aporte definida en la Parte Especial. Sin perjuicio de lo anterior, en el evento en que los recursos provenientes del Recaudo de Peaje no sean suficientes para realizar el aporte indicado, la ANI podrá utilizar los recursos disponibles en la subcuenta Excedentes ANI y si aún es insuficiente deberá gestionar la inclusión en su propio presupuesto de los recursos necesarios. De esta manera quedan asegurados los recursos que establezca el plan de aportes para los riesgos a cargo de la ANI.
Finalmente se confirma al interesado que la regulación propuesta está en línea con la Ley Aplicable y que las obligaciones contingentes junto con el mecanismo propuesto han sido objeto de revisión del Ministerio de Hacienda y Crédito Público.</t>
  </si>
  <si>
    <t>La Entidad informa al Interesado que: 
- Se ha definido un nuevo valor para el cupo de crédito específico, valor que se publicará en los pliegos definitivos.
- El pliego de condiciones indica que la vigencia debe ser "no inferior a un año y medio contado a partir de Cierre de la presente Licitación, y/o hasta que se realicen los Giros de Equity de que trata la Sección 4.4 de la Parte Especial del Contrato de Concesión, previstos para los primeros doce meses de ejecución del mismo." por lo cual no es procedente su observación y en todo caso la vigencia ya está condicionada al cumplimiento de los Giros de Equity pues podrá disminuirse en la medida en que se cumplan tales Giros, de acuerdo con el parágrafo 2 de este mismo numeral.
- La naturaleza del posible incumplimiento de la obligación de Giros de Equity requiere una cobertura más liquida, expedita y específica que la reclamación sobre la póliza de garantía, razón por la cual se considera adecuado este requisito y no resulta procedente eliminarlo.</t>
  </si>
  <si>
    <t>Se aclara al interesado que efectivamente estas inversiones harán parte de la variable AR toda vez que independientemente de que hayan revertido o no, la inversión realizada sobre las mismas en cada periodo h será reconocido por defecto en las fórmulas siempre que cumpla con los criterios allí establecidos. No se considera necesario realizar ajustes adicionales.</t>
  </si>
  <si>
    <t>Se informa al interesado que de acuerdo con la regulación prevista será la ANI quien ordene a la Fiduciaria el traslado de recursos a esta subcuenta hasta la suma indicada en la Sección 4.5(i) de la Parte Especial y deberá seguir el orden señalado en la Tabla de Referencias a la Parte General Sección 3.14(h)(iv)(2)(iv), por lo tanto este no será definido por el Concesionario.</t>
  </si>
  <si>
    <t>Se aclara al interesado que la palabra "parcialmente" se incluyó dentro de la redacción de los riesgos de fuerzas mayores para indicar que la cobertura de las compensaciones a cargo del público se limitan a lo indicado en el contrato de concesión, pues hay efectos que están explicitamente excluidos de las compensaciones (por ejemplo lucro cesante) y otros efectos que pueden generar las fuerzas mayores que no están previstos, los cuales no pueden ser cubiertos por el público.</t>
  </si>
  <si>
    <t>Se aclara al interesado que la Resolución de peaje vigente a la fecha de celebración del contrato debe ser la misma resolución al momento de presentación de la oferta, pues no existe razón para que se altere la estructura tarifaria entre un momento y otro. Por lo anterior no se considera necesario realizar ajustes en este sentido.</t>
  </si>
  <si>
    <t>Se informa al interesado que cuando se implemente el procedimiento para elaborar el "informe de proyección de ingresos y egresos de las Subcuentas asociadas a los riesgos de sobrecostos a cargo de la ANI", al cual refiere esta Sección se dará a conocer a quien resulte adjudicatario. En todo caso se informa que el procedimiento se referirá a los insumos, supuestos, parámetros y metodología a partir de los cuales se debe realizar esta proyección y el plazo y forma de presentación.</t>
  </si>
  <si>
    <t>luz elena el 3 de septiembre</t>
  </si>
  <si>
    <t xml:space="preserve">Antes de atender su observación se informa al interesado que el documento que regula la toma de posesión es la minuta y no el Pliego.
Se informa al interesado que la Notificación Derecho de Toma supone el acaecimiento de una causal de Terminación Anticipada, por lo que culquier participacion  del Concesionario ya se encuentra regulada en la Sección 17.2 del Contrato. En ese orden de ideas  la entidad no considera necesario realizar las aclaraciones sugeridas. </t>
  </si>
  <si>
    <t xml:space="preserve">Se informa al interesado que la Sección 15.2 establece que el ejercicio de las potestades sancionatoria y facultades ajenas al derecho común y exorbitantes de que disponga la ANI conforme al Contrato y la Ley Aplicable no será inhibido por el inicio del procedimiento arbitral. No obstante lo anterior, si con ocasión de dicho procedimiento se decreta una medida cautelar específica, la entidad acatará lo decretado de acuerdo con lo establecido por la Ley, en ese orden de ideas no es correcto afirmar que la potestad sancionadora de la entidad desconocera la competencia del Tribunal </t>
  </si>
  <si>
    <t>Se informa al interesado que no se acepta su observación. La entidad considera que el mecanismo de amigable composición regulado en el Contrato es razonable y se ajusta a las necesidades de este tipo de proyectos.</t>
  </si>
  <si>
    <t>Se informa al interesado que la seccion observada fue objeto de ajuste, estos cambios se podrán evidenciar en la minuta que se publicará con el Pliego de condiciones definitivo</t>
  </si>
  <si>
    <t xml:space="preserve">Se informa al interesado que no se acepta su observación. La ANI considera que el Plazo de Cura establecido para sanear el incumplimiento en la terminación de las Unidades Funcionales establecido es razonable y corresponde con las necesidades del Proyecto y se señala que puede ser hasta del 20% del plazo inicalmente previsto para la terminacion de UF teniendo en cuenta que el concesionario puede requerir un plazo menor para subsanar el incumplimiento </t>
  </si>
  <si>
    <t xml:space="preserve">Se informa al interesado que de acuerdo con lo establecido por la Sección 3.12 del Contrato Parte General, el derecho a tomar posesión del Proyecto nace cuando : (i) El Concesionario incumpla con sus obligaciones financieras de conformidad con lo establecido en los documentos de crédito (o reglamento de colocación –o similar– cuando se trate de colocación de títulos en el mercado de capitales) suscritos con los Prestamistas, o (ii) Cuando la ANI les notifique que pueden ejercer tal derecho antes de que se declare la Terminación Anticipada cuando se verifique cualquiera de las causales que puedan dar lugar a las declaratorias previstas en las Secciones 17.2(a)(i), 17.2(a)(ii) y 17.2(a)(iii) de esta Parte General
Adicionalmente, se informa al interesado que no se acepta su observación toda vez que la Notificación para Toma sólo aplica en el evento en que la causal de toma de posesión sea por el incumplimiento de las obligaciones financieras del Concesionario con los Prestamistas de acuerdo con lo indicado por la Sección 3.12(d)(ii). </t>
  </si>
  <si>
    <t xml:space="preserve">Se informa al interesado que no se acepta su observación. La Parte General y Parte Especial del Contrato regulan de forma detallada la imposición de Multas por la no obtención del Cierre Financiero en los plazos, condiciones y montos establecidos por el Contrato, así como la acreditación del Cierre Financiero con Compromisos en Firme. En esta medida, se solicita al interesado que informe qué aspecto no le genera claridad. 
De igual manera se informa al interesado que se realizaron ajustes para el cumplimiento de la obligación respecto al Cierre Financiero, estos ajustes se podrán evidenciar en la minuta que se publicara con el Pliego de condiciones definitvo </t>
  </si>
  <si>
    <t xml:space="preserve">Se informa al interesado que no se considera necesario hacer la aclaración propuesta. La Sección 3.12 (d)(i) indica que cuando se verifique una cualquiera de las causales para la Toma de Posesión, se generará de manera automática en cabeza de los Prestamistas el derecho a tomar posesión del Proyecto, derecho que prevalecerá sobre el derecho de la ANI a terminar el Contrato. </t>
  </si>
  <si>
    <t xml:space="preserve">Se informa al interesado que el procedimiento de toma de posesión fue objeto de ajuste, estos cambios se podrán evidenciar en la minuta que se publicará con el pliego de condicines defintivo </t>
  </si>
  <si>
    <t xml:space="preserve">Se informa al interesado que no se acepta la observación. La solicitud correspondiente es cuando exista mora en el pago de cualquier obligación dineraria a cargo de la ANI, situación que se configurará de acuerdo con lo previsto en la Sección 3.6 del Contrato. </t>
  </si>
  <si>
    <t xml:space="preserve">Se informa al interesado que la información que el Concesionario debe aportar a la ANI e Interventoría corresponderá a los actos administrativos que imponen la obligación de compensación y cualquier otro documento que la soporte. Posteriormente, deberá solicitar a la Fiduciaria el desembolso de recursos con cargo a la Subcuenta Compensaciones Socioambientales con los mismos soportes. Para el efecto, se aclarar al interesado que el deber aquí establecido únicamente consiste en la notificación y no requiere una no objeción. </t>
  </si>
  <si>
    <t>Se informa al interesado que de conformidad con el Pliego y la minuta, es responsabilidad del interesado visitar e inspeccionar los sitios en los cuales se desarrollará el proyecto y así mismo la realización de la debida diligencia.</t>
  </si>
  <si>
    <t>Se infiorma al interesado que los Plazos máximos señalados en la Sección 5.2 incluye el tiempo de la Verificación de las Unidades Funcionales</t>
  </si>
  <si>
    <t>Se informa al interesado que no se acepta su observacón. La ANI no llevará a cabo reuniones individuales con los interesados en el Proyecto. En todo caso, se informa al interesado que puede acudir al consorcio estructurador del Proyecto con el fin de solicitar un espacio para resolver inquietudes y preocupaciones frente al Proyecto.</t>
  </si>
  <si>
    <t xml:space="preserve">Se informa al interesado que la definición observada fue objeto de ajuste el cual se podrá evidenciar en la minuta que se publica con el pliego de condiciones definitivo </t>
  </si>
  <si>
    <t>luz elena el 3</t>
  </si>
  <si>
    <t xml:space="preserve">Se informa al interesado que no se acepta su observación. La ANI considera que la definición prevista es completa y razonable de cara a las particularidades del Contrato. Así mismo, se aclara al interesado que la Información Financiera no servirá de criterio de interpretación del Contrato toda vez que contiene datos de referencia proveídos por el Concesionario y no genera obligatoriedad alguna para la ANI. No obstante lo anterior, el Concesionario tendrá la facultad de aportar cualquier información que considere pertinente para efectos de interpretar el Contrato al Tribunal de Arbitramento, el Amigable Componedor o cualquier otro mecanismo de solución de controversias, a través de los medios de prueba permitidos por la ley. </t>
  </si>
  <si>
    <t>Se informa al interesado que no se acepta su observación. La ANI considera que la definición prevista es completa y razonable de cara a la regulación prevista por el Contrato. Así mismo, se aclara al interesado que la definición observada no está asignando al Concesionario riesgos imprevistos e imprevisibles de acuerdo con lo señalado por la Sección 13.1(b). Así mismo, se clara al interesado que la regulación observada no trae como consecuencia la asunción de obligaciones adicionales a las establecidas en el Contrato por parte del Concesionario.</t>
  </si>
  <si>
    <t xml:space="preserve">Se informa al interesado que la regulacion de Sanciones fue ajustada en Parte General y especial para dar mayor claridad, estas modificaciones se  podrán evidenciar en la minuta que se publicará con el pleigo de condiciones definitivo </t>
  </si>
  <si>
    <t xml:space="preserve">Se informa al interesado lo siguiente: 
1. De acuerdo con lo establecido por el artículo 3 de la Ley 1508 de 2012, los procesos de selección y las reglas para la celebración y ejecución de contratos para esquemas de Asociación Público Privada se regirán por lo dispuesto en la Ley 80 de 993 y la Ley 1150 de 2007, salvo en las materias particularmente reguladas en dicha Ley. Por su parte, el Decreto 1082 de 2015 en su artículo 2.2.1.2.4.2.6 establece las reglas específicas sobre el otorgamiento de puntaje adicional a aquellos proponentes con trabajadores con discapacidad que logren acreditar esta situación en los procesos de Selección.
Teniendo en cuenta que la Ley 1508 de 2012 no regula de forma específica el otorgamiento de puntaje adicional a aquellos proponentes con trabajadores con discapacidad, resulta necesario aplicar las reglas previstas para el efecto en el Decreto 1082 de 2015. Analizando de forma detenida el referido artículo 2.2.1.2.4.2.6, dicho artículo señala que "se tendrá en cuenta la planta de personal del integrante del proponente plural que aporte como mínimo el cuarenta por ciento (40%) de la experiencia requerida para la respectiva contratación". En esta medida, si bien el artículo 2.2.1.2.4.2.6. se refiere a ofertas presentadas por consorcios, uniones temporales o promesas de sociedad futura, debe entenderse que dichas figuras corresponden a proponentes plurales y, en esta medida, para efectos del presente proceso de selección, los proponentes plurales (como es el caso de la Estructuras Plurales) que deseen obtener puntaje adicional por este concepto, deberán acreditar al menos el 40% de la experiencia. Las condiciones particulares para el otorgamiento de puntaje adicional en procesos de selección por este concepto están reguladas expresamente por la ley y no le es dado a la entidad hacer ninguna modificación en este sentido. En esta medida, se informa al interesado que no se acepta su observación. 
2. En lo que respecta al compromiso de mantenimiento de este número de trabajadores con discapacidad, se informa al interesado que no se acepta su observación. El artículo 2.2.1.2.4.2.7 del Decreto 1082 de 2015 establece claramente que las entidades estatales deberán verificar durante la ejecución del contrato "que los proponentes que resultaron adjudicatarios mantienen en su planta de personal el número de trabajadores con discapacidad que dio lugar a la obtención del puntaje adicional de la oferta". 
No obstante,  se informa al interesado que la sección de cesion de la minuta Parte General fue objeto de ajuste, y este se podrá evidenciar en el contrato que se publique con el pliego de condiciones defintivo </t>
  </si>
  <si>
    <t xml:space="preserve">Se aclara al interesado que su entendimiento no es correcto. De acuerdo con el artículo 2.2.1.2.4.2.7 del Decreto 1082 de 2015, los proponentes que resultaron adjudicatarios deben mantener en su planta de personal el número de trabajadores con discapacidad que dio lugar a la obtención del puntaje adicional de la oferta. En línea con este mismo artículo la reducción del número de trabajadores con discapacidad acreditado para obtener el puntaje adicional constituye incumplimiento del contrato por parte del contratista. En esta medida, los proponentes deben estar en facultad de acreditar durante toda la ejecución del contrato, el número de trabajadores en situación de discapacidad que acreditaron con su oferta para obtener el puntaje adicional.No obstante,  se informa al interesado que la sección de cesion de la minuta Parte General fue objeto de ajuste, y este se podrá evidenciar en el contrato que se publique con el pliego de condiciones defintivo </t>
  </si>
  <si>
    <t xml:space="preserve">De acuerdo con el artículo 2.2.1.2.4.2.7 del Decreto 1082 de 2015, los proponentes que resultaron adjudicatarios deben mantener en su planta de personal el número de trabajadores con discapacidad que dio lugar a la obtención del puntaje adicional de la oferta. No obstante lo anterior, se informa al interesado que la sección de cesion de la minuta Parte General fue objeto de ajuste, y este se podrá evidenciar en el contrato que se publique con el pliego de condiciones defintivo </t>
  </si>
  <si>
    <t>Los contratos comerciales suscritos por el concesionario anterior en ejecución de sus derechos no son conocidos por la Entidad, sin embargo, se aclara al interesado en caso de que lo considere pertinente deberá negociar las condiciones de estas relaciones comerciales con las personas ubicadas en el área del Proyecto ya que la ANI no tiene relación con esos contratos</t>
  </si>
  <si>
    <t>respuesta enviada por juan camilo el 3 de septiembre</t>
  </si>
  <si>
    <t>Se aclara al interesado que los proyectos contemplados por el estructurador en su estudio de tráfico fueron los siguientes: Buga - Loboguerrero - B/ventura, Concesión Covimar (Mulaló - Loboguerrero), Concesión Conexión Pacífico 3, Concesión Nuevo Cauca (Popayán – Santander de Quilichao) y Autopista Pasto – Rumichaca , tal como se incluye en la tabla de referencias.
Se aclara que considerando el tiempo de análisis que requieren los proyectos que puedan tener efectos de redistribución y elusión, se ajusta la redacción para que se tome la fecha de registro o de aprobación o estructuración de esas nuevas vías al momento de la apertura del Proceso de Selección del Proyecto.
Respecto a la segunda parte de su observación se informa que se acoge y por lo tanto se ha ajustado la redacción de esta condición indicando que se excluyen del concepto los proyectos "que se encuentran registrados en el RUAPP y su prefactibilidad ha sido aprobada o se hayan contratado la estructuración pública por parte de entidades estatales al momento de la apertura del Proceso de Selección del Proyecto</t>
  </si>
  <si>
    <t>Tal y como se plantea en la definición del riesgo geológico, esta será asignado únicamente al privado siempre que este cumpla con las condiciones estipuladas en la sección 13.2 (xi) del Contrato Parte General.
Se aclara que dicha Sección 13.2(xi) tiene modificaciones, en primer lugar en el caso general en el que se determinen condiciones para expresamente prever coberturas del riesgo a cargo de la ANI se deja abierta esa posibilidad en el marco 5G, sin embargo se aclara que para este Proyecto en específico no se comparten riesgos geológicos. Esta condición específica se determina conociendo que la infraestructura existente construida con anterioridad y dentro de la Concesión 005 de 1999, tal como se presenta actualmente no presenta fenómenos geológicos complejos que indiquen la necesidad de modificar la asignación de riesgos.
En segundo lugar se aclara al interesado que la definición del riesgo se enmarca en los eventos relacionados por las Intervenciones, por lo cual existen condiciones para que el Concesionario lo gestione tanto en los Estudios de Trazado y Diseño Geométrico y Estudios de Detalle como en el desarrollo mismo de las Intervenciones. Para tal efecto la definición de los eventos geológicos se ajusta en los documentos definitivos quedando como el conjunto de amenazas o peligros para la infraestructura, recursos y las actividades humanas, provocados por la ejecución de las Intervenciones en desarrollo del Proyecto, que afecten la dinámica de diversos procesos geológicos naturales.</t>
  </si>
  <si>
    <t>Se aclara al interesado que el objetivo de la regulación consiste en establecer que cualquier corredor vial contemplado en el proceso de estructuración, los cuales se listan de forma explícita en la Tabla de Referencias, y también aquellos asociados a el/los Plan/es de Ordenamiento Territorial o Departamental pertinentes, así como los que se encuentran registrados en el RUAPP y su prefactibilidad ha sido aprobada o se hayan contratado la estructuración pública por parte de entidades estales previo al cierre del Proceso de Selección del Proyecto, sobre los cuales deberán realizarse un análisis en la Debida Diligencia por parte del interesado al momento de realizar su oferta. 
Se aclara que considerando el tiempo de análisis que requieren esos proyectos, se ajusta la redacción para que se tome la fecha de registro o de aprobación o estructuración de esas nuevas vías al momento de la apertura del Proceso de Selección del Proyecto.</t>
  </si>
  <si>
    <t>Se aclara al interesado que de acuerdo con la Sección 3.14(g)(ix) las fuentes de la Subcuenta Camio Climático tienes las siguientes características:
- Es una fuente que proviene de acuerdos de cooperación o cooperación internacional.
- Es distinta de las fuentes de la Sección 3.1(b) es decir, que es distinta a los Aportes ANI, al Recaudo de Peaje, a los Ingresos por Explotación Comercial y las otras fuentes definidas en la Parte Especial.
En razón a que dicha Subcuenta requiere que el Concesionario obtenga dichas fuentes por acuerdos con una entidad cooperante, además de los destinos de la inversión definidos en la Sección 3.14(g)(ix), el detalle de los usos dependen de lo definido por la entidad cooperante. En cualquier caso el marco de usos debe corresponder a vías adaptadas y resilientes al cambio climático por concepto de restauración ambiental e infraestructura verde aplicable al Proyecto, en el marco de lo dispuesto en la Ley 1931 de 2018 y en las condiciones dispuestas en el Apéndice Técnico 6.</t>
  </si>
  <si>
    <t xml:space="preserve">Se informa al interesado que de acuerdo con lo establecido por la Sección 1.143, el Plazo Máximo de la Etapa de Reversión al término de ciento ochenta (180) Días contados a partir de la Fecha de Terminación de la Etapa de Operación y Mantenimiento. En caso de Terminación Anticipada este plazo podrá ampliarse por decisión autónoma y exclusiva de la ANI en cualquier término adicional, hasta un máximo de quinientos cuarenta (540) Días. 
En esta medida, el plazo establecido para la Etapa de Reversión es un Plazo Máximo que dependerá de las circunstancias de cada caso. </t>
  </si>
  <si>
    <t>Se puede consultar la información de ubicación y predios de los puentes peatonales existentes en la carpeta H y el inventario en la carpeta D61 del Cuarto de Información de Referencia. Respecto a los puentes de nueva construcción, se incluyen los diseños conceptuales e información disponible en la carpeta D6 del Cuarto de Información de Referencia.  Finalmente, se aclara que esta información estará disponible a título meramente informativo acorde con las condiciones de la Sección 1.7 Cuarto de Información de Referencia del Pliego de Condiciones.</t>
  </si>
  <si>
    <t>En los diseños conceptuales de estribos se contemplan terraplenes reforzados que se describen en los informes de las carpetas CI, en el caso de las Intersecciones Sameco y Versalles se incluyen los diseños en las carpetas G1 y G2 del Cuarto de Información de Referencia. Finalmente, se aclara que esta información estará disponible a título meramente informativo acorde con las condiciones de la Sección 1.7 Cuarto de Información de Referencia del Pliego de Condiciones.</t>
  </si>
  <si>
    <t>Los estudios de geotecnia y fundaciones se encuentran en la carpeta CI. en el caso de las Intersecciones Sameco y Versalles se incluyen los diseños en las carpetas G1 y G2 del Cuarto de Información de Referencia. Finalmente, se aclara que esta información estará disponible a título meramente informativo acorde con las condiciones de la Sección 1.7 Cuarto de Información de Referencia del Pliego de Condiciones.</t>
  </si>
  <si>
    <t>Los predimensionamientos se encuentran sobre índices para la estimación de los peraltes de las vigas metálicas, que se incluyen en los anexos "FICHA DE ACTUACIONES EN PUENTE NUEVO" en los informes de las carpetas D. Se aclara que esta información estará disponible a título meramente informativo acorde con las condiciones de la Sección 1.7 Cuarto de Información de Referencia del Pliego de Condiciones.</t>
  </si>
  <si>
    <t>Se aclara que la cuantificación de dimensiones en las nuevas calzadas de las Unidades Funcionales 3 y 4 se hicieron con 11.90 metros dentro de los informes incluidos en el Cuarto de Información de Referencia. No obstante la definición del ancho depende de los Estudios de Trazado y Diseño Geométrico y Estudios de Detalle que desarrolle el Concesionario.</t>
  </si>
  <si>
    <t>Se informa que no existe nueva información relativa a los suelos de la Intersección Versalles, no obstante se aclara que la cuantificación de obras de la estructuración contemplan que el paso inferior requiere refuerzos y proceso constructivo con condiciones de potencial de licuefacción.</t>
  </si>
  <si>
    <t>Se aclara que en la información de referencia existe información parcialmente repetida en las UF1 y UF2 al contener ambas los tramos existentes de la Concesión 005 de 2009, sin embargo, la carpeta D1 contiene información de los corredores de Palmira (existentes, puesto que las obras del Paso Nacional Palmira está en la carpeta G1), y la carpeta D2 contiene el corredor Cali-Candelaria. Finalmente, se aclara que esta información estará disponible a título meramente informativo acorde con las condiciones de la Sección 1.7 Cuarto de Información de Referencia del Pliego de Condiciones.</t>
  </si>
  <si>
    <t>juan camilo el 3 de septiembre</t>
  </si>
  <si>
    <t xml:space="preserve">En el capítulo IV - Compensaciones Ambientales del Apéndice Ambiental está descrito el procedimiento y los requisitos para el pago de los ítems que serán objeto de reconocimiento por la subcuenta Socioambiental, el cual varía desde el momento en que el riesgo supere el 120% tal como está descrito en el numeral 4.4. del citado documento. </t>
  </si>
  <si>
    <t>El Concesionario deberá realizar e implementar el Programa de Aporte Sostenible el cual es de obligatorio cumplimiento, según lo establecido en el Apéndice Técnico 6, independientemente de que obtenga, o no, recurso por parte de la Banca Multilateral para el desarrollo de proyectos sostenibles en los contratos de concesión.</t>
  </si>
  <si>
    <t>Se informa al interesado que la ANI no considera necesario incluir la aclaración correspondiente pues el Contrato es claro al indicar que el Derecho de Recaudo sobre la operación de las Estaciones de Peaje será cedido al Concesionario en la fecha de Entrega de la Infraestructura.</t>
  </si>
  <si>
    <t>Se aclara al interesado que no es procedente la observación toda vez que cualquier costo asociado a obras adicionales (adiciones en el marco de la ley, nuevas consultas previas, entre otras) serán compensadas o pagadas según los mecanismos establecidos para las mismas. En ese sentido se aclara que el porcentaje de RP, estará destinado exclusivamente al reconocimiento de las actividades de operación y mantenimiento con base en el alcance original del Proyecto.</t>
  </si>
  <si>
    <t>Se informa al interesado que la entidad considera que no es necesario hacer precisiones adicionales, dado que las Obras Menores son obras no previstas en el alcance inicial del contrato por definición, y que al ser definidas por la ANI se convierten en un riesgo a su cargo bajo las condiciones reguladas en la Sección 13.3(c) y por lo tanto al activarse será la ANI la encargada de evaluar y asignar la fuente de los recursos para su ejecución o para su compensación al concesionario.</t>
  </si>
  <si>
    <t>Se aclara al interesado que durante la Etapa Preconstructiva no se realizarán Aportes ANI en ningún contrato y por lo tanto no es procedente la observación.</t>
  </si>
  <si>
    <t xml:space="preserve">Se informa al interesado que no se acepta su observación. La ANI considera que los eventos  previstos como eventos de Fuerza Mayor Ambiental en la Sección 8.1(h) son suficientes y razonables de acuerdo con las necesidades del Proyecto. </t>
  </si>
  <si>
    <t>Se aclara al interesado que no se acoge su observación teniendo en cuenta que  las obligaciones del contrato se orientan a la debida diligencia del Concesionario, al respecto la Sección 13.2(v) dice de forma explícita frente a este riesgo "... en tanto es obligación del Concesionario tomar las medidas necesarias previstas en la Ley Aplicable para la defensa y protección del Corredor del Proyecto ante las Autoridades Estatales competentes en la debida forma y oportunidad". En forma coordinada se desarrollan las obligaciones de la Sección 5.2.2.5.4.3 Recuperación de Espacio Público del Apéndice Técnico 8, y la Sección 8.1 Restitución de Bienes de Uso Público del Apéndice Técnico 7.</t>
  </si>
  <si>
    <t xml:space="preserve">Se informa al interesado que no se acepta su observación. En línea con lo establecido por el CONPES 3760 y 3107, el riesgo regulatorio, esto es, el cambio regulatorio, administrativo y legal (incluyendo el Cambio Tributario) por regla general deben ser asumidos por el Concesionario. Por lo anterior la asignación de riesgos incluida en el contrato es razonable y está en cumplimiento de la Ley Aplicable. </t>
  </si>
  <si>
    <t xml:space="preserve">Se informa al interesado que en los eventos en que la asignación de riesgo es parcial a la ANI se debe a que la regulación referenciada en cada uno de los casos presenta variaciones que hacen que la asignación del riesgo sea compartida. En esta medida, se invita al interesado a verificar cada una de las condiciones previstas en las secciones observadas relacionando la correspondiente regulación del Contrato con el fin de identificar a qué se debe la parcialidad de la asignación del riesgo. En todo caso, se informa al Interesado que la ANI considera que la asignación del riesgo es adecuada y razonable de acuerdo con las características de este tipo de proyectos. </t>
  </si>
  <si>
    <t>Se informa al interesado que el porcentaje %RP que aplica durante la fase de reversión fue calculado respecto a la estimación de ingresos del proyecto para que sea suficiente para cubrir los gastos de esa fase, sin que por ello se otorgue garantía sobre los costos incurridos en esa fase. En todo caso debe considerarse que la fase de reversión contempla un periodo corto y las obligaciones son menores a las de las demás etapas.</t>
  </si>
  <si>
    <t>Se informa al interesado que en el evento descrito los montos que de acuerdo con el contrato deban ser asumidos por la ANI, se encontrarán dentro de la variable OANI (Obligaciones pendientes de pago por parte de la ANI)</t>
  </si>
  <si>
    <t>Se aclara al interesado que esta sección se refiere a que en caso de haberse cumplido las condiciones o los eventos allí descritos, el Concesionario no deberá ejecutar las obras asociadas a dichas intervenciones, y por lo tanto, a manera de compensación, deberá fondear la subcuenta Excedentes ANI en los montos y plazos establecidos en dicha sección.</t>
  </si>
  <si>
    <t xml:space="preserve">Se informa al interesado que los aportes a la Subcuenta Contingencias se encuentran debidamente identificados en la Sección 4.7(i) de la Parte Especial. </t>
  </si>
  <si>
    <t>En línea con las disposiciones generales establecidas en la Ley 1508 de 2012 y sus Decretos reglamentarios y los documentos CONPES asociados, uno de los elementos principales de las Asociaciones Públicos Privadas es la transferencia de riesgos del público al privado y enmarcada en esta transferencia el riesgo de financiación, el cual se considera un elemento crítico del proyecto, y por esta razón la obligación del Concesionario abarca procurar la totalidad de recursos necesarios para llevar a cabo todas las obligaciones del Contrato. La no consecución del Cierre Financiero será un riesgo a evaluar por parte de cada interesado en el proceso por lo que no se considera procedente su observación.</t>
  </si>
  <si>
    <t xml:space="preserve">Se aclara al interesado que no se considera procedente su observación teniendo en cuenta que los cambios de diseño solicitados por la ANI no hacen parte del riesgo indicado pues se encuentran explícitamente tipificados en la sección 13.3(f) del contrato parte general y por tanto ya están asignados a la ANI, sin que esto implique modfificar la asignación del riesgo para los demás casos.
En todo caso se aclara al interesado que el CONPES 3714 no es aplicable a este tipo de proyectos toda vez que por tratarse de contratos de Asociación Público Privada, están asociados a los CONPES 3107 y 3760. </t>
  </si>
  <si>
    <t>Se aclara al interesado que no es procedente su observación teniendo en cuenta que este es precisamente uno de los aspectos clave de transferencia de riesgos del público al privado en el esquema APP respecto a un contrato de obra pública, en virtud de la asignación de riesgos que implica este tipo de contratos. Se reitera que los riesgos asignados al privado deben ser evaluados por cada proponente de manera previa a la presentación de sus ofertas. En todo caso se invita al interesado a revisar la regulación particular aplicable para los eventos de fuerza mayor y obras menores no previstas solicitadas por la ANI, debido a que al estar tipificados independientemente se pueden separar del riesgo constructivo general.</t>
  </si>
  <si>
    <t>Se aclara al interesado que no es procedente su observación teniendo en cuenta que este es precisamente uno de los aspectos clave de transferencia de riesgos del público al privado en el esquema APP respecto a un contrato de obra pública, en virtud de la asignación de riesgos que implica este tipo de contratos. Se reitera que los riesgos asignados al privado deben ser evaluados por cada proponente de manera previa a la presentación de sus ofertas.</t>
  </si>
  <si>
    <t>Se aclara al interesado que no es procedente su observación teniendo en cuenta que este es precisamente uno de los aspectos clave de transferencia de riesgos del público al privado en el esquema APP, en virtud de la asignación de riesgos que implica este tipo de contratos. Se reitera que los riesgos asignados al privado deben ser evaluados por cada proponente de manera previa a la presentación de sus ofertas. En todo caso se invita al interesado a revisar la regulación particular aplicable para los eventos de fuerza mayor y obras menores no previstas solicitadas por la ANI.</t>
  </si>
  <si>
    <t>Se aclara al interesado que no es procedente su observación teniendo en cuenta que este es precisamente uno de los aspectos clave de transferencia de riesgos del público al privado en el esquema APP, en virtud de la asignación de riesgos que implica este tipo de contratos. Se reitera que los riesgos asignados al privado deben ser evaluados por cada proponente de manera previa a la presentación de sus ofertas.</t>
  </si>
  <si>
    <t>Se informa al interesado que se presentará un cambio en la versión que se publicará con los pliegos definitivos en el sentido de dar una asignación compartida al riesgo comercial, a partir del mecanismo de soporte de ingresos incorporado en la parte general. Aparte de esta garantía parcial se considera que el privado está en capacidad de prever y asumir las variaciones en los ingresos por cambios en el tráfico.</t>
  </si>
  <si>
    <t xml:space="preserve">Se informa al interesado que no es procedente su observación, pues la asignación de este riesgo al privado es coherente con la asignación del riesgo de financiación y del riesgo comercial. La falta de liquidez por efecto de los ingresos es un efecto perfectamente mitigable y previsible por parte del Concesionario por lo cual es lógico que esté asignado al privado. </t>
  </si>
  <si>
    <t xml:space="preserve">Se informa al interesado lo siguiente:
1. La ANI asumirá parcialmente los efectos favorables y/o desfavorables derivados de los eventos de Fuerza Mayor Predial dentro del proceso de expropiación en los términos de la Sección 7.4(a)(iv). Así mismo, la ANI asumirá parcialmente estos efectos en lo relacionado con predios faltantes, de acuerdo con lo dispuesto por la Sección 7.4(a)(i)(ii) y (iii). De acuerdo con lo anterior, la asignación del riesgo es parcial, toda vez que se da únicamente cuando se cumplen los supuestos de las referidas secciones. 
2. Se informa al interesado que los riesgos que se encuentran asignados parcialmente están debidamente detallados en las Secciones del Contrato a las que hace referencia. 
3. Se informa al interesado que la asignación de los riesgos contenida en la matriz  y replicada en las Secciones 13.2 y 13.3 de la ANI es vinculante para las partes. Es importante resaltar que la matriz de riesgos del Proyecto, es un instrumento de gestión que permite a la Entidad realizar una adecuada tipificación, estimación y asignación de riesgos que queda plasmada en el documento denominado matriz de riesgos y se replica en los apartes pertinentes en el Contrato. Así mismo, se aclara al interesado que la asignación de riesgos fue efectuada por la Entidad teniendo en cuenta las necesidades concretas de este tipo de proyectos y, en consideración a las mismas, se decidió asignar parcialmente algunos de ellos, situación que no está prohibida por las disposiciones legales aplicables. 
4. Se aclara al interesado que las Secciones 13.2 y 13.3 del Contrato incluyen el listado detallado de los riesgos asignados a las partes y es vinculante para las mismas. </t>
  </si>
  <si>
    <t>Se aclara al interesado que el CONPES 3714 no es aplicable a este tipo de proyectos toda vez que por tratarse de contratos de Asociación Público Privada, están asociados a los CONPES 3107 y 3760. En el CONPES 3107 se tipifica el riesgo soberano y se asigna al privado por lo cual su observación no es procedente.
Se reitera asímismo que como parte de su debida diligencia los interesados deben evaluar todos los riesgos a su cargo y considerarlos dentro de sus presupuestos previo a la presentación de las ofertas.</t>
  </si>
  <si>
    <t>Se informa al interesado que la entidad ha decidido utilizar el mecanismo de soporte de ingresos para este proyecto. Esta regulación se presentará con la minuta de contrato que acompañe los pliegos definitivos.</t>
  </si>
  <si>
    <t>Se informa al Interesado que:
 - Establecer un Tramo en USD: Teniendo en cuenta que este proyecto no contempla Aportes ANI y que los recursos provenientes de las Estaciones de Peaje son en Pesos (COP) no existe manera de cubrir el riesgo de variación en tasas de cambio frente a la financiación en dólares (USD) que podría obtener el concesionario. 
 - Ingreso de peaje mínimos garantizados y  Estructura de Garantía de ingresos: Se aclara al interesado que a raíz de la coyuntura actual la Entidad considera procedente regular eventos que, siendo decretados por una autoridad estatal, impliquen una restricción vehicular. En este sentido se incluirá el Evento por Restricción de Movilidad dentro de los eventos asociados con la imposibilidad de recaudo de las estaciones de peaje de la Sección 3.3(g) de la Minuta Parte General. De la misma manera, se ha decidido activar el mecanismo de Soporte de Ingresos regulado en la parte general de contrato. Estas modificaciones se presentarán en la minuta del contrato que se publicará con los pliegos definitivos.
En este sentido, para estos eventos el Concesionario contará con las figuras de Soporte de Ingreso y evento de Restricción Vehicular que pretende cubrir aquellos eventos señalados en su observación. 
 - Derecho a un reequilibrio económico financiero por fuerte desviación en costos financieros y Evento Eximente / Causa de Terminación por Fuerza Mayor por imposibilidad de cierre financiero: la entidad considera valiosa su retroalimentación y propuesta, pero se aclara que en línea con el objetivo de la ley 1508, sus decreto reglamentarios y CONPES asociados, para Asociaciones Público Privadas el riesgo de financiación debe ser transferido 100% al privado, por lo que será este quien asuma los efectos tanto favorables como desfavorables ante un acaecimiento del riesgo planteado en la observación. Por ello deberá incluir en su debida diligencia todos los análisis pertinentes respecto a este riesgo.
 - Ajuste en fórmula de liquidación: La Entidad comparte las apreciaciones respecto a la importancia del dimensionamiento de estas fórmulas de cara a una adecuada bancabilidad y en ese sentido se aclara el interesado que las fórmulas se consideran  adecuadas y no deberían tener impactos negativos respecto a la financiación del Proyecto.
- Límite a la deducción por índice de cumplimiento predial: En la versión de minuta que se presentará con los pliegos definitivos la deducción por este índice computa dentro del límite de deducciones junto con las demás deducciones. En este sentido se da por atendida su observación.</t>
  </si>
  <si>
    <t xml:space="preserve">Se informa al interesado que:
La entidad considera que tomando como base las experiencias en terminaciones de contratos 4G es necesario incluir un límite para las fórmulas de liquidación en terminación anticipada, por lo que no es procedente la observación.
Se informa al interesado que ambas fórmulas son consistentes con la evolución del proyecto. De manera general y con el fin de ejemplificar el entendimiento de la fórmula,  las variables Uh y Eh de la fórmula F por defecto deberían ser consistentes con la variable ARh de la fórmula C, en la medida en que éstas son las únicas fuentes posibles de financiación en etapa preoperativa y en el mismo sentido la variable Rh es la fuente de recursos con la cual se atienden las variables Amorth, Inth y Divh  (amortizaciones de capital, intereses y repago de dividendos) con lo cual el resultado de ambas fórmulas debería ser consistente a lo largo del ejercicio generando un límite asociado únicamente a las restricciones que se definan sobre la fórmula F, lo cual genera únicamente un límite específico sobre la estructura de capital. Para el ejemplo que considera el interesado respecto a los intereses de la deuda en el periodo siguiente al cierre financiero, se precisa por un lado que el reconocimiento de la tasa TE y la inflación sobre los desembolsos de capital simulan el efecto de causación de intereses, y por otro lado al no contar en ese periodo con retribución el pago de intereses al que aduce su ejemplo se realizaría necesariamente con mayores requerimientos de capital, por lo cual no es cierto que se reduzca el valor a reconocer de las fuentes en tal caso.
Sin perjuicio de lo anterior, respecto al equity se informa al interesado que se presentará un ajuste sobre el valor del FAE para que permita reconocer cierta flexibilidad en la estructura de capital, dentro de un margen que se considera adecuado para un esquema Project Finance, pues no resulta lógico ni saludable para un proyecto obtener 100% de los recursos a través de equity como lo indica su observación.  En cuanto a la interpretación sobre la variable FDiv el contrato ya indica que la misma solo se aplicará "en caso de no contar con soportes suficientes aportados por la Fiduciaria que administra el Patrimonio Autónomo..."
</t>
  </si>
  <si>
    <t xml:space="preserve">Se informa al interesado que la Entidad considera que el procedimiento establecido es de adecuado manejo por parte de cualquier concesionario y por lo tanto no se considera procedente la observación. </t>
  </si>
  <si>
    <t>Se informa al interesado que en la regulación del componente ARh de la fórmula C dentro de las fórmulas de liquidación por terminación anticipada se indica que "Para determinar este valor máximo de reconocimiento durante la ejecución del Contrato, el Interventor remitirá la respectiva certificación de los valores registrados, a la ANI y al Concesionario, dentro de los treinta (30) Días siguientes a la presentación de los estados financieros auditados del Patrimonio Autónomo, conforme con lo previsto en las Secciones 3.15(l)(xi) y 9.2(m) de esta Parte General...". En contexto este valor máximo se refiere a que para cada rubro examinado "su valor no podrá ser superior al consignado en los registros contables del Patrimonio Autónomo para estos rubros, registrados en los estados financieros y certificados por el Interventor, ni superior al valor de mercado, de acuerdo con las condiciones particulares del Proyecto". En este sentido se indica que se ha incluido una certificación por parte del interventor, que sirva de insumo para que los intervinientes en una eventual terminación anticipada puedan realizar una estimación general, sin que esto pueda entenderse de ninguna manera como el valor a reconocer, pues es claro que la certificación no apunta al valor definitivo sino a un valor máximo considerando que el valor definitivo solo podrá establecerse luego de surtido un riguroso análisis y auditoría a cada una de las facturas que se pretendan reconocer y sus soportes contractuales, contables y comerciales respectivos que permitan evaluar cada uno de los criterios de reconocimiento establecidos en esa sección, cuando se presente efectivamente dicha terminación. Por lo anterior la entidad considera que no es pertinente realizar ajustes adicionales sobre esta cláusula.</t>
  </si>
  <si>
    <t>Se informa al interesado que no se acepta su observación pues se considera que el Privado está en la capacidad de gestionar el riesgo toda vez que hace parte de su debida diligencia contemplarlo e incluirlo dentro de su presupuesto.</t>
  </si>
  <si>
    <t>Se informa al interesado que no se acoge su observación por cuanto la obtención del VPIP ha sido asignada como riesgo del privado en este proyecto. Se aclara al interesado que las disposiciones establecidas en los CONPES mencionados respecto al riesgo comercial no excluyen que la asignación del riesgo se realice al Privado, como se ha presentado en proyectos adjudicados de iniciativa privada en el marco de la ley 1508. En este sentido, se considera que la estabilidad histórica de los 8 peajes del proyecto, permiten realizar un manejo adecuado del riesgo por parte del concesionario y los mismos son considerados una fuente de pago adecuada para la consecución de las fuentes de financiación del proyecto. Dicho lo anterior, se informa al interesado que se ha incluido el Soporte de Ingresos para el Proyecto.</t>
  </si>
  <si>
    <t>Se informa al interesado que se ha incluido el Soporte de Ingresos para el Proyecto como se encontrará en la minuta que se presentará con los pliegos definitivos.</t>
  </si>
  <si>
    <t xml:space="preserve">Se informa al interesado que la observación no es procedente, ya que con base en la estimación de los recursos netos para el proyecto (descontando el porcentaje mencionado) se considera que los mismos resultan suficientes para la ejecución del proyecto incluyendo el repago adecuado de su financiación. </t>
  </si>
  <si>
    <t>No se acoge su observación por las razones ya expuestas en la respuesta a su observación #2752</t>
  </si>
  <si>
    <t xml:space="preserve">Se informa al interesado que la Entidad considera la entidad modificó estos porcentajes,  los ajustes en los Pliegos Definitivos. </t>
  </si>
  <si>
    <t xml:space="preserve">Los porcentajes para el cálculo de retribución, hacen parte de la manera en como se irá asignando el recaudo en la medida en que se dé inicio al proyecto. A diferencia de la unidad 0, que retribuirá desde el primer mes del contrato, estos porcentajes acumularán en las respectivas unidades funcionales, y dichos montos acumulados serán retribuidos únicamente con la firma  del Acta de Terminación de la Unidad Funcional Correspondiente.  
Finalmente, cabe resaltar que los porcentajes no necesariamente están relacionados al fin de la construcción de cada unidad funcional, puesto que como previamente se mencionó los mismos corresponden a la distribución del recaudo en la Subcuenta respectiva de cada unidad funcional, mas no a la retribución inmediata como sería el caso de la UF0, y simplemente irán aumentando un acumulado hasta la firma del Acta de Terminación de UF. </t>
  </si>
  <si>
    <t xml:space="preserve">Se aclara la interesado que la Resolución del Pejes mencionada en el aparte contractual será expedida en el marco de éste contrato, es decir únicamente cuando se haya adjudicado y suscrito el mismo. Dicho lo anterior, esta resolución mantendrá las disposiciones de las resoluciones vigentes las cuales son de público acceso. Es decir, la información solicitada se encuentra disponible en dichas resoluciones vigentes. </t>
  </si>
  <si>
    <t xml:space="preserve">Se aclara al interesado que estas disposiciones son facultativas del Ministerio de Transporte y una vez se hagan publicas normativamente, el contrato plantea que se articulara con dichas disposiciones en ese momento. </t>
  </si>
  <si>
    <t>Se entiende que el interesado hace referencia a lo dispuestso en la sección 13,3 (k), en la medida que el Concesionario debe realizar los fondeos en el evento que sean insuficientes los recursos en lassubcuenta de Soporte Contractual y la Subcuenta Interventoría y Coordinación, la ANI de pagará al Concesionario en las condiciones establecidas en el Contrato de Concesión, estos mayores valores no se encuentran dentro de la Retribución, dado que este evento es considerado un riesgo.</t>
  </si>
  <si>
    <t>Se informa al interesado que la Entidad considerpa pertinente mantener la redacción actual, por lo cual no es procedente sui observación. Respecto a la distinción entre las Gestiones y como aplican dentro de la variable Arh, se debe considerar lo regulado para cada componente dentro del Contrato Parte General. En estos costos se verificará que el bien y/o servicio efectivamente se haya prestado y/o recibido y será establecido por las Partes de mutuo acuerdo, es decir que el Concesionario podrá presentar los costos que consideré se encuentran conforme a los criterios mencionados, tanto en el literal A como en los siguientes literal de la misma sección.</t>
  </si>
  <si>
    <t>Se aclara al interesado que no se presenta un cronograma de aportes para fondear la Subcuenta de Obras Menores, considerando que para determinar los fondeos necesario se debe seguir lo dispuesto en la Sección 19.1, esto aunado a que  son obras o actividades no previstas ni en las Especificaciones Técnicas de este Contrato ni en la Licencia Ambiental y/u otros permisos o concesiones ambientales, solicitadas por las Autoridades Estatales del orden nacional, departamental o municipal incluyendo las derivadas de los acuerdos protocolizados en desarrollo de la(s) nueva(s) consulta(s) previa(s) con las comunidades étnicas y/o afrodescendientes descritas en la Sección 8.1(d) de esta Parte General</t>
  </si>
  <si>
    <t xml:space="preserve">Se aclara al concesionario que es su responsabilidad realizar la debida diligencia para que se reduzca la incertidumbre, tanto al momento de ofertar durante dicho proceso, como al momento de realizar sus estudios y diseños durante la etapa preconstructiva antes de realizar el Cierre Financiero, respecto al tema puntual del riesgo asociado a la Entrega de Infraestructura, el contrato provee los insumos necesario para que cada proponente evalue el riesgo y su capacidad de administrarlo. </t>
  </si>
  <si>
    <t>Respecto al literal (A) sobre las as actividades hayan sido ejecutadas para contribuir a satisfacer el interés público, se precisa que este va en línea con los demás criterios siguientes, en el sentido de que se van a verificar los costos directos asociados con las actividades en los cuales se verifique que el bien y/o servicio efectivamente se haya prestado y/o recibido y será establecido por las Partes de mutuo acuerdo, es decir que el Concesionario podrá presentar los costos que consideré se encuentran conforme a los criterios mencionados, tanto en el literal A como en los siguientes literal de la misma sección.
Respecto del literal (C) mencionado, la Entidad no acepta su observación, con esto se pretende limitar que se incluyan en la fórmula sobrecostos o precios superiores a los que se encuentran en el mercado, esto da transparencia al cálculo de esta variable al considerar los precios del mercado. 
Por lo anterior la Entidad se permite precisar que no se acepta su observación</t>
  </si>
  <si>
    <t xml:space="preserve">Se aclara al interesado que no es procedente su observación, los únicos costos o gastos permitidos son: Comisiones de disponibilidad y de estructuración del Cierre Financiero o de la emisión de bonos (commitment fee y upfront fee) pagadas a los Prestamistas en el Mes h, los cuales serán verificados por la interventoría. No se reconocerán los pagos realizados por servicio de la deuda (intereses y principal) ni penalizaciones, cualquiera que sea la modalidad de financiación utilizada por el Concesionario. Esto aunado a que el Riesgo de Financiación es del Concesionario y los costos y gastos mencionados por el interesado se entienden que van por cuenta y riesgo del privado.  Respecto a las coberturaas con derivados, se informa al interesado que la Entidad no considera pertinente la inclusión de los mismos, dado que quedaría expuesta a riesgo cambiario y/o variación de tasas de interés  y en este contrato los efectos de las variaciones del Peso en relación con cualquier otra moneda, así como el riesgo de financiación son del concesionario, tal como está previsto en documentos Conpes que aplican para este sector. </t>
  </si>
  <si>
    <t>La entidad considera que tomando como base las experiencias en terminaciones anticipadas de contratos se considera necesario incluir un límite para las fórmulas de liquidación, por lo que no es procedente la observación. Dicho esto, es importante resaltar que se considera que la aplicación de la fórmula F no genera una exposición a la financiación de la inversión del proyecto toda vez que las variables asociadas a la misma están directamente relacionadas con la fórmula C previamente desarrollada en contratos 4G. 
De manera general y con el fin de ejemplificar el entendimiento de la fórmula, las variables Uh y Eh por defecto deberían ser consistentes con la variable ARh (en la medida en que éstas son las únicas fuentes posibles de financiación en etapa preoperativa), en el mismo sentido la variable Rh es la fuente de recursos con la cual se atienden las variables Amorth, Inth y Divh  (amortizaciones de capital, intereses y repago de dividendos) con lo cual el resultado de ambas fórmulas debería ser consistente a lo largo del ejercicio. 
Adicionalmente se aclara al interesado que tampoco es procedente l aobservación en el sentido de incluir los intereses pagados en etapa de construcción , los únicos costos o gastos permitidos son: Comisiones de disponibilidad y de estructuración del Cierre Financiero o de la emisión de bonos (commitment fee y upfront fee) pagadas a los Prestamistas en el Mes h, los cuales serán verificados por la interventoría. No se reconocerán los pagos realizados por servicio de la deuda (intereses y principal) ni penalizaciones, cualquiera que sea la modalidad de financiación utilizada por el Concesionario, ya que se considera que estos costos financieros se encuentran implicitamente contenidos en la TE. Esto aunado a que el Riesgo de Financiación es del Concesionario y los costos y gastos mencionados por el interesado se entienden que van por cuenta y riesgo del privado.
Se informa al interesado que se ha ajustado el valor de la variable FAE para poder reconocer en la fórmula los montos de equity adicional que podrían resultar de la materialización de algunos riesgos flexibilizando así la restricción. Este ajuste se podrá encontrar en la minuta que acompañará los pliegos definitivos.</t>
  </si>
  <si>
    <t xml:space="preserve"> La entidad considera que tomando como base las experiencias en terminaciones anticipadas de contratos se considera necesario incluir un límite para las fórmulas de liquidación, por lo que no es procedente la observación. Dicho esto, es importante resaltar que se considera que la aplicación de la fórmula F no genera una exposición a la financiación de la inversión del proyecto toda vez que las variables asociadas a la misma están directamente relacionadas con la fórmula C previamente desarrollada en contratos 4G. 
De manera general y con el fin de ejemplificar el entendimiento de la fórmula, las variables Uh y Eh por defecto deberían ser consistentes con la variable ARh (en la medida en que éstas son las únicas fuentes posibles de financiación en etapa preoperativa), en el mismo sentido la variable Rh es la fuente de recursos con la cual se atienden las variables Amorth, Inth y Divh  (amortizaciones de capital, intereses y repago de dividendos) con lo cual el resultado de ambas fórmulas debería ser consistente a lo largo del ejercicio. 
Se informa al interesado que se ha ajustado el valor de la variable FAE para poder reconocer en la fórmula los montos de equity adicional que podrían resultar de la materialización de algunos riesgos flexibilizando así la restricción. Este ajuste se podrá encontrar en la minuta que acompañará los pliegos definitivos.</t>
  </si>
  <si>
    <t>Se informa al interesado que la entidad considera necesario que los rendimientos de esta Subcuenta acrecenten la misma, teniendo en cuenta que en todo caso se debe garantiza que dicha subcuenta cuente en todo momento con recursos que garanticen el desarrollo permanente de la interventoría durante la ejecucion del proyecto</t>
  </si>
  <si>
    <t>Se aclara al interesado que la expresion usuarios correspondientes se refiere a aquellos usuarios que prepagando el tiquete no hicieron uso del mismo, por lo que una vez estos los soliciten seran devueltos</t>
  </si>
  <si>
    <t>Se aclara al interesado que ambas secciones regulan lo relacionado con la acreditación de experiencia a través de figuras asociativas anteriores. Al respecto, la entidad realizará un ajuste en la Sección 4.2.10. (d) para mayor claridad, el cual se verá reflejado en el Pliego de Condiciones Definitivo .</t>
  </si>
  <si>
    <t>Se informa al interesado que la definición de elusion fue Objeto de ajuste, el cual se podrá evindenciar con la publicacion de pliego de condiciones definitivo .</t>
  </si>
  <si>
    <t xml:space="preserve">La Entidad se permite aclarar al interesado que se ajustó la destinación de los rendimientos de las Subcuentas Predial, Ambiental y Redes de manera que acrecienten las mismas subcuentas lo cual implica una compartición del uso de estos rendimientos. </t>
  </si>
  <si>
    <t xml:space="preserve">Se informa al interesado que en caso de presentarse un cupo de crédito en moneda extranjera, la ANI verificara el cumplimiento del monto establecido en el numeral 4.3.6.(a)(i) de acuerdo con el procedimiento establecido en el numeral 6.5. No es necesario que el Oferente aporte información adicional. </t>
  </si>
  <si>
    <t>La Entidad se permite aclarar al interesado que incluye en el  Contrato las figuras de Soporte de Ingreso y Evento de Restricción Vehicular que pretenden cubrir aquellos eventos señalados en su observación.
Dicho lo anterior no se considera procedente su observación.</t>
  </si>
  <si>
    <t>En cuanto al proceso de verificación por parte del interventor para el cálculo  del ARh , se aclara al interesado que la Entidad considera que lo mismos  son  adecuados y cumplen con las condiciones del proyecto.  Por tal motivo no procede su observación.</t>
  </si>
  <si>
    <t>Se informa al interesado que la atención de inestabilidades no se excluye del alcance del Contrato. La definición de este riesgo corresponde con el Apéndice Técnico 1 en la Sección 6.3 (ii) "Construcción, rehabilitación, repotenciación o mantenimiento de las obras de estabilización, revegetalización y mantenimiento de taludes y muros de contención que comprenda, en general, toda la infraestructura necesaria para garantizar la estabilidad de la obra. Debe garantizarse la estabilidad geotécnica y geológica de todos los taludes y cortes durante la construcción, operación y mantenimiento. Dentro de todas las Intervenciones se incluyen para todo el Proyecto, todas las soluciones en ingeniería que se deban implementar para el tratamiento y estabilización geotécnica y geológica de taludes."</t>
  </si>
  <si>
    <t>SENDA, 3/08/2020</t>
  </si>
  <si>
    <t>Se solicita incluir en el cuarto de datos los planos en formato editable Cad (.dwg), archivos shape o Geodatabase y (.mxd) de la cartografía y tiras topográficas de las Unidades Funcionales 3, 4 y 5.</t>
  </si>
  <si>
    <t>Pliego de condiciones / Cuarto de datos de información de referencia</t>
  </si>
  <si>
    <t>Se solicita incluir en el cuarto de datos los planos en formato editable Cad (.dwg), archivos shape o Geodatabase y (.mxd) de la cartografía de las zonas homogéneas y geoeconómicas de las Unidades Funcionales 3,4 y 5.</t>
  </si>
  <si>
    <t>Se solicita incluir en el cuarto de datos los estudios de mercado, zonas y/o costos y valoración de componentes de la Unidad Funcional 1, sector Intersección Versalles y Parque del Azúcar.</t>
  </si>
  <si>
    <t xml:space="preserve">Referente al volumen predial de la Unidad Funcional 2, sector Variante el BOLO, se solicita incluir en el cuarto de datos: 
1) Información técnica y jurídica de los predios que hacen parte de la Variante el Bolo 
2) Sabana Predial y Tira Predial 
3) Estado actual e información de los predios que están pendientes de culminar el proceso de adquisición predial y sobre los cuales no hay disponibilidad predial. </t>
  </si>
  <si>
    <t>Se solicita incluir en el cuarto de datos, toda la información referente a volúmenes prediales de los tramos o sectores que están catalogados en el apéndice técnico 1 como Reversión:
1) UF1, Reversión, Construcción Doble Calzada, Salida Palmira Pradera
2) UF1, Reversión, Mejoramiento Intersección Bulldozer
3) UF5, Reversión, Construcción Intersección A Desnivel, Intersección Sameco</t>
  </si>
  <si>
    <t xml:space="preserve">Apendice Predial </t>
  </si>
  <si>
    <t>En el evento de que el formato de Sabana Predial que se va implementar en este proyecto sea el GCSP-F-052 del 13-01-2014 citado en la observación anterior, se solicita aclarar si es posible modificar y/o anexar dicho formato a efectos de complementar la informacion alli registrada.</t>
  </si>
  <si>
    <t>En el Capítulo IV, numeral 4.6, literal (g), párrafo (xi) se establece que para llevar un seguimiento de los avalúos comerciales corporativos, se debe presentar mensualmente al concesionario, o cuando se le solicite, con copia a la Interventoría y la ANI, un informe (sábana de avalúos), conforme el formato establecido por la ANI. 
Teniendo en cuenta lo anterior, se solicita aclarar cuál es el formato de Sabana de Avalúos que se va implementar en el presente proyecto, toda vez que el último que se encuentra publicado en la página web de la ANI, identificado con código GCSP-F-186 tiene fecha del 19-02-2015.</t>
  </si>
  <si>
    <t xml:space="preserve">En el evento de que el formato de Sabana Predial que se va implementar en este proyecto sea el GCSP-F-186 del 19-02-2015 citado en la observación anterior, se solicita aclarar si es posible modificar y/o anexar dicho formato a efectos de complementar la informacion alli registrada. </t>
  </si>
  <si>
    <t>El Capítulo II, numeral 2.24, establece que la tira topográfica se deberá entregar mensualmente en formato dwg, PDF y una Geodatabase; teniendo en cuenta que los planos prediales se elaboran partir de esa tira topográfica, se solicita a la Entidad definir el tipo de formato de entrega para estos planos prediales y si se debe hacer entrega de la información para los planos prediales en formato .dwg (AutoCAD) o Geodatabase (ArcGIS, QGIS).</t>
  </si>
  <si>
    <t>En línea con la observación anterior, se solicita la Entidad publicar el formato definido por la misma para el "Plano Predial", ya que no se encuentra publicado en la página web de la ANI ni en el cuarto de datos del proyecto.</t>
  </si>
  <si>
    <t>El Capítulo II, numeral 2.24, establece que la tira topográfica se deberá entregar mensualmente en formato dwg, PDF y una Geodatabase; teniendo en cuenta que los planos prediales se elaboran partir de esa tira topográfica, al respecto se solicita a la Entidad definir el tipo de formato de entrega para estos planos prediales y si se debe hacer entrega de la información para los planos prediales en formato .dwg (AutoCAD) o Geodatabase (ArcGIS, QGIS).</t>
  </si>
  <si>
    <t>A través de la Resolución 471 del 14-05-2020, el Instituto Geográfico Agustín Codazzi (IGAC) simplifica y flexibiliza el proceso de producción cartográfica mediante la aplicación de un único origen para el país, estableciendo las especificaciones técnicas mínimas que deben tener los productos de la cartografía básica oficial de Colombia y que el ámbito de aplicación es de obligatorio cumplimiento para todo aquel que produzca cartografía básica para fines oficiales.
Teniendo en cuenta lo anterior y que actualmente el origen en el cual se ha trabajado la información cartográfica para el proyecto es el referenciado al Sistema Sirgas Origen Oeste (Occidente), se solicita a la Entidad confirmar si se debe continuar empleando el origen de referencia actual (Oeste) para no generar reprocesos, desajustes o modificaciones o si por el contrario se debe implementar la migración de la cartografía actual y generación de la nueva a este único y nuevo origen de referencia.</t>
  </si>
  <si>
    <t>Teniendo en cuenta que el Apéndice técnico en el Numeral 4.6, determina que los profesionales que elaboraran los Informes de Avalúo, deberán ser peritos avaluadores certificados, tener una experiencia mínima de cinco (5) años en la elaboración de Avalúos Comerciales Corporativos rurales y urbanos y estar registrados en una Entidad Autorreguladora de Avaluadores, además de cumplir con los requisitos contenidos en la Ley 1673 de 2013, el Decreto 556 de 2014 y en las normas que las modifiquen o sustituyan, se solicita a la Entidad aclarar si los profesionales del consorcio interventor que estarán encargados de revisar estos informes de avalúos, deben acreditar la misma experiencia, así como contar con el debido registro ante una entidad autorreguladora de avalúos. En caso contrario se solicita aclarar para los profesionales de la interventoria como deberán acreditar su idoneidad y/o experiencia para que puedan realizar la respectiva revisión y aprobación de los avalúos comerciales corporativos.</t>
  </si>
  <si>
    <t xml:space="preserve">Dentro de las resoluciones que autorizan el permiso de concesión de agua subterránea y el permiso de vertimiento no se muestran los estudios hidrogeológicos y edafológicos que validaron dicha solicitud, razón por la cual se solicita a la Entidad publicar dichos estudios, puesto que la misma sirve como insumo fundamental para conocer la capacidad que tienen los acuíferos dentro del área de estudio con el objetivo de evaluar la posibilidad de aumentar el volumen de agua a solicitar, en caso de que sea necesario para el desarrollo del presente proyecto. </t>
  </si>
  <si>
    <t>Se solicita publicar la información de los titulos mineros propiedad de la antigua concesión a efectos de poder analizar su viabilidad para ser utilizados por el futuro concesionario adjudicatario de la licitación, con independencia de lo indicado en los documentos de PAGA que mencionan que los materiales a utilizar se obtendrán por medio de por compra de terceros.</t>
  </si>
  <si>
    <t xml:space="preserve">Teniendo en cuenta los informes de gestión contractual de seguimiento de proyectos y las Resoluciones No. 0745 de 1999, 0747 de 1999 y 0337 de 2004, que establecen los pasivos ambientales en los tramos de la concesión anterior, así como las medidas de compensación o mantenimiento, se solicita publicar toda la informaciónreferente a los actos-resoluciones administrativas, informes de cumplimiento que disponen el manejo y actividades concretas ejecutadas con respecto a la compesación por aprovechamiento forestal traspolado en las actuales unidades funcionales. </t>
  </si>
  <si>
    <t>Cuarto de datos de información de referencia: Carpeta "H": Conceción anterior.</t>
  </si>
  <si>
    <t>Se solicita publicar en el cuarto de datos toda la información existente para el componente flora, junto con los reportes especificos del tema concerniente a aprovechamiento forestal, incluidos los pronunciamientos de las autoridades ambientales de volumen maderable y manejo del aprovechamiento forestal en todo el proyecto, puesto que es de vital importancia conocer si hay permisos tramitados para aprovechamiento forestal y el estado de los mismos a la fecha.</t>
  </si>
  <si>
    <t>Se solicita publicar en el cuarto de datos los informes especificos del tema concerniente a compensaciones ambientales por aprovechamiento forestal y/o compensaciones por perdida de biodiversidad, si se llegaron a adelantar dichas actividades y quien lleva el seguimiento.</t>
  </si>
  <si>
    <t>Se solicita publicar los informes de gestión de cada tramo, discriminando las obligaciones y/o pasivos ambientales de cada uno, en donde se pueda evidenciar para el componente fauna el analisis del sistema de informacion  de biodiversidad, así como el analisis y concepto tecnico para la presentacion del  documento requerido.</t>
  </si>
  <si>
    <t>Se solicita publicar la información primaría elaborada por el anterior concesionario y/o por el estructurador con la cual se caracteriza el área del proyecto, a nivel de la fauna silvestre allí presente.</t>
  </si>
  <si>
    <t>Se solicita publicar en el Cuarto de Datos los certificados de las consultas previas adelantadas con las comunidades negras de Santander de Quilichao, Puerto Tejada, Villa Rica y Vereda El Tajo, con el fin de establecer las obligaciones producto de la protocolización de acuerdos.</t>
  </si>
  <si>
    <t>Se solicita publicar las actas de cierre de las consultas previas antes mencionadas o el acta de compromiso de pasivos pendientes producto de las consultas previas realizadas .</t>
  </si>
  <si>
    <t>Pliego de condiciones / Cuarto de datos de información de referencia/Apendice Social</t>
  </si>
  <si>
    <t>Se solicita publicar la información relacionada con el Estado de la obligación como declaración de patrimonio cultural de la hacienda Villa Rica producto de la consulta previa con comunidades de Villa Rica.</t>
  </si>
  <si>
    <t>Se solicita publicar la información relacionada sobre el Estado en el que se encuentra la adquisición predial de la Hacienda de la Bolsa en el Municipio de Villa Rica como compromiso de la consulta previa con el consejo comunitario de Villa Rica.</t>
  </si>
  <si>
    <t>Se solicita aclarar en que estado se encuentran los compromisos adquiridos con las comunidades del sector del paso de la bolsa, las cuales se encuentran asentadas en el sector del puente valencia sobre el rio cauca</t>
  </si>
  <si>
    <t>Se solicita aclarar en que estado se encuentran los compromisos adquiridos con los vendedores ambulantes del Peaje de Villa Rica</t>
  </si>
  <si>
    <t>Los seguimientos administrativos de las licencias ambientales se encuentran publicados en la carpeta E3 del Cuarto de Información de Referencia._x000D_
Se indica, a título informativo que el proyecto licenciado bajo la Resolución 1496 de julio del 2006 y todas las demás licencias obtenidas antes del año 2012, no se impuso la obligación relacionada con la compensación por pérdida de biodiversidad, ya que la licencia ambiental fue expedida previamente a la Resolución 1517 del 31 de agosto de 2012, por la cual se adoptó el manual para la asignación de Compensaciones por Pérdida de Biodiversidad. No obstante la gestión de verificación del estado de compensaciones corresponde a la debida diligencia del interesado para la presentación de la oferta.</t>
  </si>
  <si>
    <t xml:space="preserve">Se informa al interesado que la definicion de Elusión fue ajustada, especialmente frente alos plazos que se mencionan en su comentario  estas modificación se podrá evidenciar en la minuta que se publique con el pliego de condiciones definitivo </t>
  </si>
  <si>
    <t xml:space="preserve">Se informa al interesado que de acuerdo con lo previsto en la Sección 5.5.4(a) del Contrato, para efectos de la asignación del puntaje, los Oferentes deberán presentar el Anexo 19 con la Oferta debidamente diligenciado. Su entendimiento es correcto,no es necesario adjuntar información adicional. </t>
  </si>
  <si>
    <t>Se aclara al interesado que la regulación está orientada a que en el evento en que se adviertan prácticas colusivas dentro del proceso de selección, se adelantará el trámite establecido en las normas legales vigentes sobre la materia. En todo caso, será la autoridad competente la encargada de determinar la responsabilidad que le asiste a los investigados y las consecuencias jurídicas que deberán asumir. De acuerdo con lo anterior, la decisión relacionada con la colusión afectará a quienes participaron en esta situación, sin perjuicio de las cargas que deberán asumir todos los investigados directa o indirectamente como consecuencia del procedimiento correspondiente.</t>
  </si>
  <si>
    <t xml:space="preserve">Se informa al interesado que no  se acepta su observación la regulación actual sobre es adecuada y razonable respecto de los requisitos que deben cumplirse como condiciones precedentes para el inicio de la fase de construcción </t>
  </si>
  <si>
    <t xml:space="preserve">Se informa al interesado que la sección observada fue eliminada, este ajuste se podrá evidenciar en la minuta que se publicará con el pliego de condiciones definitivo </t>
  </si>
  <si>
    <t>Se acepta la observación y se elimina la expresión "Las garantías, cualquiera que sea su naturaleza, deberán estar constituidas con Bancos Aceptables. "</t>
  </si>
  <si>
    <t>La Entidad considera que no es procedente su observación, tal y como se señala en la minuta los recursos disponibles en esta Subcuenta se destinarán única y exclusivamente a la atención de los pagos de las Compensaciones Socioambientales</t>
  </si>
  <si>
    <t xml:space="preserve">Se aclara al interesado que el compromiso en firme, tal y como su nombre lo indica es un compromiso por parte de los financiadores que aunque usualmente esté sujeto al cumplimiento de ciertas condiciones ya habrá implicado el proceso de aprobaciones con los financiadores a diferencia de la certificación anterior la cual únicamente implica una intención de financiación. </t>
  </si>
  <si>
    <t xml:space="preserve">Se informa al interesado que no se acepta su observación, para la entidad es razonable y adecuado mantener la expresion observada </t>
  </si>
  <si>
    <t xml:space="preserve">Se informa al interesado que no se acepta su observación. Se tendrá en cuenta la modificación que altere el Valor del Contrato en el porcentaje allí indicado para que el Concesionario tenga la facultad de renunciar a la continuación de su ejecución. La ANI considera que este es un valor de referencia razonable para dicha facultad. </t>
  </si>
  <si>
    <t xml:space="preserve">Teniendo en cuenta que el Concesionario es el principal ejecutor y representante del Proyecto, le corresponde al Concesionario con apoyo de la Entidad, adelantar la gestión social y ambiental de las consultas previas. </t>
  </si>
  <si>
    <t>Se informa al interesado que no se acepta su observación. La definición de Fondo de Capital Privado corresponde con la definición establecida en el Decreto 2555 de 2010, en concordancia con lo señalado en el parágrafo del artículo 2.2.2.1.1.3 del Decreto 1082 de 2015. Teniendo en cuenta las diferentes reglas contenidas en el Pliego de Condiciones, la Entidad considera que se está garantizando la libre concurrencia al proceso de selección.</t>
  </si>
  <si>
    <t xml:space="preserve">Se informa al interesado que la sección observada fue objeto de ajuste, estas modificaciones se evidenciaran en la minuta que se publique con el pliego de condiciones definitivo </t>
  </si>
  <si>
    <t xml:space="preserve">Se informa al interesado que no se acepta su observación. Cada integrante de la estructura plural podrá aportar hasta 1 cupo de crédito. </t>
  </si>
  <si>
    <t xml:space="preserve">Solamente seria procedente la revisión en paraleloen los casos excepcionales que son llevados a comités de seguimiento predial, en donde se toman decisiones entre las partes. Los ajustes los podrá consultar en la versión publicada con el Pliego Definitivo Condición. </t>
  </si>
  <si>
    <t>Se aclara al interesado que los Indicadores definidos para la Unidad Funcional 0 y los valores de aceptación y plazos de corrección para la Etapa Preoperativa, han sido establecidos de modo que sea viable su aplicación en los plazos definidos, por ejemplo a partir del cuarto mes en los indicadores de estado. Con la publicación del Pliego de Condiciones Definitivo, se dará mayor claridad sobre su obligación.  
De otra parte, se aclara que la Puesta a Punto es una de las intervenciones para llevar a cabo durante la Fase de Construcción, por lo que el resto de los indicadores de estado y demás obligaciones fijadas en el apéndice técnico 2 se medirán una vez se suscriba el Acta de Terminación de la UF o Acta de Termianción Parcial de UF.</t>
  </si>
  <si>
    <t>Se informa al interesado que se realizarán los ajustes correspondientes en el Apéndice Técnico 1 sobre las condiciones mínimas de las estaciones de peaje, por lo que podrá consultar el ajuste con la Publicación de los documentos del Pliego de Condiciones Definitivo. Lo anteior con el fin de que se presente alguna interpretación que derive en la aplicación del numeral 19,15 de la Parte General.</t>
  </si>
  <si>
    <t>(i) Se refiere a obtener otras fuentes de recursos y no se restringe a Recursos de Deuda, en este contexto se explica que se haga referencia a la Sección 3.1(b). Estos recursos, tal como lo expresa la misma Sección 3.14(g)(ix) son "para la inversión en vías adaptadas y resilientes al cambio climático por concepto de restauración ambiental e infraestructura verde aplicable al Proyecto..." e implican "una fuente de financiación externa por conceptos de cooperación internacional o acuerdos de cooperación...". Esta regulación busca facilitar esas cooperaciones o acuerdos, y no se enmarca en las condiciones de los Recursos de Deuda
ii) - (iii) -(iv) El entendimiento no es correcto, las obligaciones de la Sección 5.3 del Apéndice Técnico 6 respecto al Programa de Aporte Sostenible – Mitigación del Cambio Climático son obligatorias para el Concesionario, a su cuenta y riesgo de ejecución en términos de tiempo y recursos (humanos, técnicos y económicos), así como las consecuencias de su incumplimiento. Se aclara que en este apartado no se hace referencia a la Subcuenta Cambio Climático.
En línea con lo aclarado anteriormente estos recursos no se consideran recursos de Deuda por lo que tendrán la implicación mencionada.
En línea con lo aclarado anteriormente estos recursos no se consideran recursos de Deuda ni Equity por lo que tendrán la implicación mencionada.</t>
  </si>
  <si>
    <t>SENDA, 4/08/2020</t>
  </si>
  <si>
    <t>El inciso (iv) del literal (c) del numeral 4.2.10 del pliego de condiciones establece que la certificación emitida por la Entidad Contratante para la acreditación de la Experiencia en inversión deberá indicar:
"Que el contrato no haya sido objeto de terminación por caducidad o incumplimiento del contratista ni haber hecho efectivas las garantías de cumplimiento otorgadas por el contratista respectivo. En este último evento, si el contrato está en ejecución la certificación no podrá tener una fecha de expedición mayor de tres (3) meses contados desde la publicación de la presente Licitación Pública en el SECOP." (Negrita y subraya fuera de texto)
Teniendo en cuenta que la ANI pretende sacar a licitación la contratación de once (11) proyectos que también harán parte del programa de 5G, así como que dicha Entidad a discreción ha prorrogado en tres (3) oportunidades y por un periodo de cinco (5) meses el presente proceso de selección, consideramos que el requisito resaltado en el párrafo anterior es desproporcional e inconveniente, toda vez que demanda a que el proponente de forma repetitiva e innecesaria solicite la expedición de la certificación de su experiencia en inversión, con las formalidades que le son inherentes como su legalización y/o apostilla, tramites que vale la pena aclarar son de difícil gestión, más ahora considerando la emergencia sanitaria que atraviesa el mundo derivada del COVID 19.
Teniendo en cuenta lo anterior, se solicita a la Entidad de manera atenta eliminar el texto resaltado, permitiendo que las certificaciones expedidas por las Entidades Contratantes para la acreditación de la experiencia en inversión, no tengan un límite en su vigencia.</t>
  </si>
  <si>
    <t xml:space="preserve">En el evento de que la observación anterior no sea tenida en cuenta, se solicita a la Entidad modificar el texto del inciso (iv) del literal (c) del numeral 4.2.10 del pliego de condiciones así:
"Que el contrato no haya sido objeto de terminación por caducidad o incumplimiento del contratista ni haber hecho efectivas las garantías de cumplimiento otorgadas por el contratista respectivo. En este último evento, si el contrato está en ejecución la certificación no podrá tener una fecha de expedición mayor de un (1) año contados desde la publicación de la presente Licitación Pública en el SECOP." 
</t>
  </si>
  <si>
    <t>Se informa al interesado que si se considera necesario establecer un límite al Equity con el fin evitar costos asociados a ineficiencias y/o riesgo que deben ser asumidos 100% por el Concesionario. 
En cuanto a los intereses de la deuda, de manera general y con el fin de ejemplificar el entendimiento de la fórmula,  las variables Uh y Eh por defecto deberían ser consistentes con la variable ARh (en la medida en que éstas son las únicas fuentes posibles de financiación en etapa preoperativa), en el mismo sentido la variable Rh es la fuente de recursos con la cual se atienden las variables Amorth, Inth y Divh  (amortizaciones de capital, intereses y repago de dividendos) con lo cual el resultado de ambas fórmulas debería ser consistente a lo largo del ejercicio generando un límite asociado únicamente a las restricciones que se definan sobre la fórmula f, lo cual genera únicamente un límite específico. 
Nota: sin perjuicio de lo planteado en esta respuesta, solamente serán vinculantes las regulaciones efectivamente publicadas en los Pliegos del proceso licitatorio.</t>
  </si>
  <si>
    <t>Se aclara al interesado que tal y como está explícito en la redacción de la cláusula el monto de Deuda no se encuentra limitado y corresponderá al total de los recursos de este tipo que sean desembolsados. Se informa al interesado que se ha ajustado el valor de la variable FAE para poder reconocer en la fórmula los montos de equity adicional que podrían resultar de la materialización de algunos riesgos flexibilizando así la restricción. Este ajuste se podrá encontrar en la minuta que acompañará los pliegos definitivos.</t>
  </si>
  <si>
    <t xml:space="preserve">Se informa al interesado que no se acepta su observación. El Anexo 10A deberá ir suscrito   por: (i) el representante legal del proponerte individual o representante legal del Integrante de una Estructura Plural que acredite Capacidad Financiera;  y (ii) por el contador público y/o Revisor Fiscal, para las sociedades que se encuentren obligadas por ley    
</t>
  </si>
  <si>
    <t xml:space="preserve">Se aclara al interesado lo siguientes:
 - La variable ARh incorpora los costos necesarios para la ejecución del proyecto en sus distintas etapas, para lo cual tieneintegra dicha variable en las 3 fórmulas de liquidación según la etapa en donde pudiese presentarse la terminación anticipada del proyecto. 
 - En cuanto a los precios de mercado  mencionado, se aclara al interesado que no se considera procedente su observación, toda vez que el concepto de precios de mercado, tal y como se plantea anteriormente, busca que el pago del Estado no sea superior a lo razonablemente ejecutado tal y como se habría dado en condiciones normales del proyecto.
De igual forma, con relación y al proceso de certificación del ARh la Entidad considera que la regulación del contrato es clara ysuficiente y acoge las condiciones propias del proyecto,  por lo que no se considera  que proceda su observación.
</t>
  </si>
  <si>
    <t>Se aclara al interesado lo siguientes:
- La variable ARh incorpora los costos necesarios para la ejecución del proyecto en sus distintas etapas, para lo cual tieneintegra dicha variable en las 3 fórmulas de liquidación según la etapa en donde pudiese presentarse la terminación anticipada del proyecto. 
 - En cuanto a los precios de mercado  mencionado, se aclara al interesado que no se considera procedente su observación, toda vez que el concepto de precios de mercado, tal y como se plantea anteriormente, busca que el pago del Estado no sea superior a lo razonablemente ejecutado tal y como se habría dado en condiciones normales del proyecto.
Respecto al elemento de los costos de los derivados, se informa al interesado que la Entidad no considera pertinente la inclusión de los mismos, dado que quedaría expuesta a riesgo cambiario y/o variación de tasas de interés  y en este contrato los efectos de las variaciones del Peso en relación con cualquier otra moneda, así como el riesgo de financiación son del concesionario, tal como está previsto en documentos Conpes que aplican para este sector. 
De igual forma, con relación y al proceso de certificación del ARh la Entidad considera que la regulación del contrato es clara ysuficiente y acoge las condiciones propias del proyecto,  por lo que no se considera  que proceda su observación.</t>
  </si>
  <si>
    <t>Se aclara al interesado que para la presentación del cupo de crédito se deben seguir los lineamientos establecidos en la cláusula 4.3.6.(ii)</t>
  </si>
  <si>
    <t>La Entidad se permite aclarar al interesado que no es procedente su observación. El concesionario debera pactar dentro de su contrato de fiducia las condiciones que le permitan un adecuado manejo de sus recursos y riesgo, siempre que no contravenga lo establecido en el contrato de concesión.</t>
  </si>
  <si>
    <t xml:space="preserve">Se aclara la interesado que la Resolución del Pejes mencionada en el aparte contractual será expedida en el marco de éste contrato. Dicho lo anterior, esta resolución mantendrá las disposiciones de las resoluciones vigentes las cuales son de público acceso y no contendrá ningún tipo de incremento en términos reales para ninguno de los peajes del Proyecto. </t>
  </si>
  <si>
    <t xml:space="preserve">Se informa al interesado que no se acepta su observación, la entidad considera que la definición de Cambio Tributario es completa y suficiente para el desarrollo del Proyecto. </t>
  </si>
  <si>
    <t xml:space="preserve">Se informa al interesado que no se acepta su observación. El modelo de estructuración del Proyecto tuvo en cuenta las obligaciones de Gestión Ambiental e implementación de programas sociales, situación que también se tuvo en cuenta para las variables económicas del Contrato </t>
  </si>
  <si>
    <t>Se informa al interesado que la Entidad realizó ajustes sobre la destinación de los remanentes Predial, Ambiental, y Redes, los cuales serán distribuidos entre la ANI (56%) y el Concesionario (44%) lo cual es consistente con las consideraciones de asignacion de riesgo mencionadas en la observación.
Nota: sin perjuicio de lo planteado en esta respuesta, solamente serán vinculantes las regulaciones efectivamente publicadas en los Pliegos del proceso licitatorio.</t>
  </si>
  <si>
    <t>La calificación de Reacoex es el mínimo legal que hasta la fecha no ha sido modificado y sigue siendo el requerido para los reaseguros automáticos. Para los reaseguros facultativos se hace una exigencia diferente, como quiera que son colocaciones específicas y sin que necesariamente tengan la tradición de llevar varios años de experiencia en el mercado colombiano de manera sostenida, como suele ocurrir con los reaseguros automáticos. Por este motivo se hace una exigencia de mejor calificación de riesgo. Así las cosas se acepta la observación parcialmente, para dejar establecido que si se trata de un reasegurador con vigencia inferior a dos años en el REACOEX, se exigirá que su nivel de riesgos esté en el siguiente nivel por encima de lo requerido en el REACOEX.</t>
  </si>
  <si>
    <t xml:space="preserve">De manera general la Entidad aclara que, en cuanto a la propuesta de inclusión de la fórmula F, la Entidad realizó este ajuste tomando como base las experiencias en terminaciones de contratos y la  necesidad de incluir un límite para las fórmulas de terminación C. La estimación de la misma aun bajo su condición de límite, no  genera una exposición a la financiación de la inversión del proyecto, toda vez que las variables asociadas a la misma están directamente relacionadas con la fórmula c previamente desarrollada en contratos 4G. 
En este sentido y con el fin de ejemplificar el entendimiento de la fórmula,  las variables Uh y Eh por defecto deberían ser consistentes con la variable ARh, en el mismo sentido la variable Rh es la fuente de recursos con la cual se atienden las variables Amorth, Inth y Divh  (amortizaciones de capital, intereses y repago de dividendos) con lo cual el resultado de ambas fórmulas debería ser consistente a lo largo del ejercicio generando un límite asociado únicamente a las restricciones que se definan sobre la fórmula f, lo cual genera únicamente un límite específico. Sobre este último punto conviene señalar que la Entidad se encuentra estudiando la posibilidad de realizar un ajuste al factor del límite del Equity (FAE). 
Con relación a los precios de mercado en el evento de una liquidación, el Estado deberá pagar al concesionario con base en unos precios de referencias (precios de mercado) de modo que los montos reconocidos dentro del AR no sean superiores  a lo razonablemente ejecutado bajo condiciones normales para un proyecto.  
Finalmente, en cuanto al proceso de certificación del ARh mencionado, se aclara al interesado que la Entidad considera que lo regulado en el contrato de concesión es adecuado y suficiente y cumple con las condiciones del proyecto.
</t>
  </si>
  <si>
    <t xml:space="preserve">Respecto a los intereses la entidad no considera incluirlos dentro del AR, y no ofrece garantías respecto a su pago en caso de una liquidación, aunque se estima que el valor de la liquidación será suficiente para su pago. 
Respecto al elemento de los costos de los derivados, se informa al interesado que la Entidad no considera pertinente la inclusión de los mismos, dado que quedaría expuesta a riesgo cambiario y/o variación de tasas de interés  y en este contrato los efectos de las variaciones del Peso en relación con cualquier otra moneda, así como el riesgo de financiación son del concesionario, tal como está previsto en documentos Conpes que aplican para este sector. 
S - Certificaciones AR en contratos de interventoría: La Entidad considera que la periodicidad y metodología actualmente contenidas en el contrato, respecto a que el Interventor remitirá la respectiva certificación de los valores registrados, a la ANI y al Concesionario, dentro de los treinta (30) Días siguientes a la presentación de los estados financieros auditados del Patrimonio Autónomo, es adecuada y cumple con los propósitos de la misma.
No se considera procedente su observación, puesto que en el evento de una liquidación, el Estado deberá pagar al concesionario con base en unos precios de referencias (precios de mercado) de modo que los montos reconocidos dentro del AR no sean superiores  a lo razonablemente ejecutado bajo condiciones normales para un proyecto. 
La entidad ha considerado pertinente por la conyuntura actual incorporar un evento asociado a la restricción de la movilidad, este se encuentra en el Contrato Parte General sección 13,3 (y) con la respectiva compensación al concesionario en caso de que se active el riesgo.
Las fórmulas están diseñadas para que la Tasa TE se exprese en términos efectivo mensual.
</t>
  </si>
  <si>
    <t xml:space="preserve">Será obligación y forma parte de la debida diligencia de cada interesado realizar los cálculos  y estimación de los riesgos para este proyecto. </t>
  </si>
  <si>
    <t>Las garantías de seriedad de la oferta se liberan al momento de aprobar la garantía de cumplimiento del oferente seleccionado con el que se suscriba el contrato. Esta devolución se hará a petición del interesado. No se acepta la observación.</t>
  </si>
  <si>
    <t xml:space="preserve">Se trata de dos garantías con coberturas diferentes, de acuerdo con lo normado en el decreto 1082 de 2015 artículos 2.2.1.2.3.1.6. Garantía de los Riesgos derivados del incumplimiento de la oferta, 2.2.1.2.3.1.7. Garantía única de cumplimiento, así como lo reglado para la suficiencia en los artículos 2.2.1.2.3.1.9 y siguientes. 
De otra parte, ocurre que sin la aprobación de la garantía única de cumplimiento no se puede dar curso a la ejecución del contrato estatal, según lo establecido en el segundo inciso del artículo 41 de la ley 80 de 1993
Por lo tanto, no se acepta la observación.
</t>
  </si>
  <si>
    <t>Sea lo primero anotar que las toma de posesión regulada en el numeral 3.12 tiene una motivación y dinámica diferente a la Reversión regulada en el capitulo IX numeral 9.7 del contrato parte general. y no exime al concesionario de mantener las garantías vigentes en todo momento, mientras se tengan obligaciones exigibles a su cargo. En caso de ser necesario acudir a la Toma de Posesión, hasta tanto esta no se haga efectiva y se surta el proceso previsto para ello, es el concesionario el responsable de mantener las garantías y seguros del caso y no hay forma de prestablecer el tiempo que será necesario, sin ser posible de ninguna manera limitar a un determinado número de días la vigencia de la garatia, sin saber cuáles serán las particularidades del caso. Por lo anterior no se acepta la observación.</t>
  </si>
  <si>
    <t>Los únicos sublímites que se aceptan están claramente anotados en la sección 12.7, sin que sea aceptable dejar un criterio subjetivo como el que sugiere la observación, máxime cuando no hay condiciones de mercado estándar y hay diversas ofertas en el mercado asegurador colombiano, dando lugar a una variedad dispar de ofertas por sublímites. esta condición no es nueva en las pólizas de los proyectos de la ANI y no se han tenido dificultades en la adecuada suscripción. no se acepta la observación</t>
  </si>
  <si>
    <t>La póliza de obnras civiles ANI en su sección IV Amparos adicionales para las secciones: I  AMPARO DE OBRAS CIVILES Y OTROS BIENES EXISTENTES ASEGURADOS , II  AMPARO DE CONSTRUCCIÓN, REPARACIÓN, REHABILITACIÓN Y/O MEJORAMIENTO. y III  AMPARO DE EQUIPO Y MAQUINARIA DE CONSTRUCCIÓN  incliuye el amparo de  huelga, motín, asonada, conmoción civil y/o popular, actos malintencionados de terceros, actos terroristas y terrorismo. por lo anto no hay lugar a aceptar la obnervación.</t>
  </si>
  <si>
    <t>El valor  asegurado  corresponde con la suma de $115.151 millones de pesos del mes de referencia, de forma que se da cumplimiento al criterio de excepción al principio de indivisibilidad contenido en el Decreto 1082 de 2015, artículo 2.2.1.2.3.1.3, que admite la división por periodos contractuales. se hará la corrección de la suma asegurada para cada quinquenio. Se acepta y se crregirá.
En cuanto a la Suficiencia de la garantía de seriedad de la oferta, El Decreto 1082 de 2015, Artículo 2.2.1.2.3.1.9. . Numeral 1 admite que para presupuestos entre 1 y 3 millones de SMMLV, como lo es este proyecto, la entidad admita garantías de seriedad de al menos el 2,5% y la cifra de 79.900 millones cumple con el requisito de ley. No se acepta la observacion.
El valor asegurado para el seguro de responsabilidad civil tendrá un valor de 75.000 SMMLV.  Es del caso anotar que el valor del riesgo por responsabilidad civil no tiene proporcionalidad ni hay estadísticamente un factor de correlación para vincular el valor de las etapas con el valor asegurado necesario, máxime cuando se trata de actividades peligrosas en desarrollo de construcción pesada. así las cosas se hará la corrección para establecer un valor único para el seguro de responsabilidad civil en el valor de 75.000 SMMLV en todos los momentos de la vigencia del contrato. Se acepta la observacion y se corregirá.</t>
  </si>
  <si>
    <t>Se acepta la observación, y se hará el ajuste para fijar el límite en el maximo que establece el Decreto 1082 de 2015, Artículo 2.2.1.2.3.1.17. Suficiencia del seguro de responsabilidad Civil  Numeral 5 para fijarlo en un máximo valor de 75.000 SMMLV. Es del caso anotar que el valor del riesgo por responsabilidad civil no tiene proporcionalidad ni hay estadísticamente un factor de correlación para vincular el valor de las etapas con el valor asegurado necesario, máxime cuando se trata de actividades peligrosas en desarrollo de construcción pesada. así las cosas se hará la corrección para establecer un valor único para el seguro de responsabilidad civil en el valor de 75.000 SMMLV en todos los momentos de la vigencia del contrato.</t>
  </si>
  <si>
    <t xml:space="preserve">Se le remite al observador a la cobertura 1.3 que en el Seguro De Responsabilidad Civil ANI anota de forma expresa la cobertura por el uso de máquinas y equipos de trabajo, de cargue y descargue y transporte dentro de los predios asegurados.
 La exclusión 35 se refiere a secuestro y desaparición de personas. 
Otra similar que pude confundir es la 37 , pero debe advertirse que lo excluido allí es el daño a la obra misma de construcción, instalación o montaje así como a otras propiedades del dueño de la obra, los aparatos, equipos, materiales y maquinaria de construcción empleados para la ejecución de la obra.
No se requiere hacer modificaciones con base en la observación. 
</t>
  </si>
  <si>
    <t xml:space="preserve">Los proyectos ANI son bien conocidos por las aseguradoras reaseguradores e intermediarios, y se han socializado oportunamente.
En cuanto a las sumas aseguradas exigidas, están son concordantes y coherentes con los eventuales perjuicios y sanciones que pueden imponerse en caso de incumplimiento. Hasta el día de hoy las capacidades de marcado ha acompañado a Los proyectos ANI son bien conocidos por las aseguradoras reaseguradores e intermediarios, y se han socializado oportunamente.
En cuanto a las sumas aseguradas exigidas, están son concordantes y coherentes con los eventuales perjuicios y sanciones que pueden imponerse en caso de incumplimiento. Hasta el día de hoy las capacidades de marcado ha acompañado a todos los proyectos de la ANI sin mayores dificultades.
No debe perder de vista el observador que el proceso de suscripción es un ejercicio que también contemplan un análisis subjetivo y en ello cada aseguradora hace las evaluaciones de respaldo y solidez de las empresas que demandan la garantías, sin que necesariamente sean las características del proyecto como riesgo objetivo lo que pude derivar en el rechazo a la expedición de las garantías. </t>
  </si>
  <si>
    <t>Se le precisa al observador que los criterios para determinar la forma de aplicar la excepción al principio de indivisibilidad de las garantías no se aplican sobre las fases de cada etapa, sino sobre las etapas y se ha tenido la precaución de que en ningún caso una etapa corra por un lapso mayor a cinco años. En este proyecto se distinguen dos etapas: pre operativa por cinco años y operativa por 25 años más.  La primera contempla dos fases pre construcción y construcción mientras que la segunda etapa, por superar 5 años se divide en 5 quinquenios.  Así las cosas, lo establecido en la sección 12.6 (a) (ii) a la letra señala: "(ii) La prórroga o renovación de este amparo para las fases subsiguientes estará cubierta por el mismo amparo de cumplimiento, que además cubrirá la renovación y prórroga de los demás que componen la Garantía Única, así como la constitución y prórroga de las demás garantías exigidas en este Contrato." así las cosas, dado que ninguna etapa  supera 5 años, lo que claramente señala la cláusula es que las dos fases se amparan en una misma garantía, y no se esta solicitando que el garante de una etapa se comprometa mas allá de la etapa que se ha comprometido a garantizar. no se acepta la observación ( las palabras subrayadas en negrilla no están en el texto original)</t>
  </si>
  <si>
    <t>Las garantías son exigibles hasta la liquidación del contrato según lo reglado por el articulo Artículo 2.2.1.2.3.1.12. Suficiencia de la garantía de cumplimiento. La garantía de cumplimiento del contrato debe tener una vigencia mínima hasta la liquidación del contrato. Y dado que el plazo de 180 días para liquidación contempla una excepción aplicable cuando el contrato se termine en forma anticipada, señalada en el mismo numeral 1.143 y puede llegar  a ser de 540 días. así las cosas es evidente que hay un limite máximo establecido y no es posible establecer otra limitación diferente para el seguro</t>
  </si>
  <si>
    <t>La Entidad acoge la observación.  Para el amparo de cumplimiento en la etapa operativa detallado en el numeral 7.1. (b) (ii). El valor  asegurado corresponde con la suma de $115.151 millones de pesos del mes de referencia, de forma que se da cumplimiento al criterio de excepción al principio de indivisibilidad contenido en el Decreto 1082 de 2015, artículo 2.2.1.2.3.1.3, que admite la división por periodos contractuales.
En cuanto a la Suficiencia de la garantía de seriedad de la oferta, El Decreto 1082 de 2015, Artículo 2.2.1.2.3.1.9. . Numeral 1 admite que para presupuestos entre 1 y 3 millones de SMMLV, como lo es este proyecto, la entidad admita garantías de seriedad de al menos el 2,5% y la cifra de 79.900 millones cumple con el requisito de ley.  Se hará la corrección de la suma asegurada para cada quinquenio.</t>
  </si>
  <si>
    <t>Se acepta la observación y el valor asegurado para la etapa de operacion y mantenimineto por cada quinquenio se corregirá y será de 17.673 millones de pesos del mes de referencia. Con ello se da cumplimiento a lo reglado por los artículos 2.2.1.2.3.1.3 y 2.2.1.2.3.1.13 del Decreto 1082 de 2015.</t>
  </si>
  <si>
    <t xml:space="preserve">La infraestructura que desarrolla y opera el concesionario corresponde con los denominados bienes de uso público universal o bienes públicos del territorio y su uso pertenece a todos los habitantes del territorio. El titular del derecho de dominio es la Nación y, en general, las entidades estatales correspondientes ejercen facultades especiales de administración, protección, control. Se encuentran determinados por la Constitución o por la ley (art. 63 Superior).4° Están sujetos a un régimen jurídico por virtud del cual gozan de privilegios tales como la inalienabilidad, inembargabilidad e imprescriptibilidad, que los colocan por fuera del comercio. por esta razón no es legal que la indemnización sea subrogada a cosa hipotecada o dada en prenda para radicar en ella derechos de un acreedor del concesionario, que no tiene titularidad del bien como lo exige el artículo 1101 del Código de Comercio, con ocasión de eventuales indemnizaciones derivadas del daño amparado por el seguro, que en todo caso debe destinarse a su reconstrucción y recuperación y jamás al pago de las deudas del concesionario con sus prestamistas. </t>
  </si>
  <si>
    <t xml:space="preserve">Adicional a las obras civiles, el concesionario también puede recibir, instalar u operar otros bienes tales como equipos, maquinas y otros que no hacen parte de la infraestructura física, pero si son bienes de la concesión y como tales hacen parte de los bienes objeto de cobertura obligatoria, por lo que esta sección no se reduce a las obras civiles. </t>
  </si>
  <si>
    <t xml:space="preserve">Las pólizas ANI pueden ser objeto de aclaraciones mediante endosos, pero estos no pueden lleva a la reducción del alcance de las coberturas, por dispsicion expresa en el contrarto parte general, numeral 12.3  Reglas Generales Aplicables a las Garantías, linterla m)
</t>
  </si>
  <si>
    <t xml:space="preserve">Se acepta la observación y se hace la corrección para dar a la garantía de seriedad el carácter de sanción  </t>
  </si>
  <si>
    <t>El texto hace referencia al clausulado de polizas ANI: AF POLIZA DE OBRAS CIVILES,  AF Póliza RCE Y AF GARANTIA UNICA DE CUMPLIMIENTO.</t>
  </si>
  <si>
    <t xml:space="preserve">Se le precisa al observador que los criterios para determinar la forma de aplicar la excepción al principio de indivisibilidad de las garantías no se aplican sobre las fases de cada etapa, sino sobre las etapas y se ha tenido la precaución de que en ningún caso una etapa corra por un lapso mayor a cinco años. En este proyecto se distinguen dos etapas: pre operativa por cinco años y operativa por 25 años más.  La primera contempla dos fases pre construcción y construcción mientras que la segunda etapa, por superar 5 años se divide en 5 quinquenios.  Así las cosas, lo establecido en la sección 12.6 (a) (ii) a la letra señala: "(ii) La prórroga o renovación de este amparo para las fases subsiguientes estará cubierta por el mismo amparo de cumplimiento, que además cubrirá la renovación y prórroga de los demás que componen la Garantía Única, así como la constitución y prórroga de las demás garantías exigidas en este Contrato." así las cosas, dado que ninguna etapa  supera 5 años, lo que claramente señala la cláusula es que las dos fases se amparan en una misma garantía, y no se esta solicitando que el garante de una etapa se comprometa mas allá de la etapa que se ha comprometido a garantizar. no se acepta la observación ( las palabras subrayadas en negrilla no están en el texto original) </t>
  </si>
  <si>
    <t xml:space="preserve">Todas las obligaciones del contratista hacen parte del alcance de la cobertura y no está previsto modificar las condiciones generales de la póliza ANI para hacerlas mas restrictivas, es del caso anotar que todos los proyectos de la ANI han sido desarrollados con esta cobertura sin presentarse ningún inconveniente en la suscripción, no hacer mas densa la suscripción de las pólizas. </t>
  </si>
  <si>
    <t>Las obligaciones de relativas a la constitucion del SPV se le precisa al observador que esta es una obligación que es exigible antes de la presntacion de la póliza de cumplimiento y requsito necesario para inicar la ejecución, por lo tanto es un riesgo cierto y que debe ser cubierto por la poliza de seriedad de la oferta, como quiera que el dferectro 1082 de 2015, Artículo 2.2.1.2.3.1.1. Riesgos que deben cubrir las garantías en la contratación. El cumplimiento de las obligaciones surgidas en favor de las Entidades Estatales con ocasión de: (i) la presentación de las ofertas, y por lo tanto debe quedar cubierto.
No se acepta la observación.</t>
  </si>
  <si>
    <t>Se informa al interesado que los giros de equity totales son superiores a los aportes de las subcuentas totales en la etapa de Preconstrucción (12 meses) y asimismo no se considera inconsistente toda vez que los giros de equity son montos mínimos.  De igual manera se aclara que los giros de equity en la fórmula de liquidación se encuentran afectados por una factor multiplicador FAE, que incrementa el monto a ser reconocido en una eventual terminación anticipada del contrato.
De igual manera, realizó un ajuste en el factor que limita el Equity (FAE), para flexibilizar entre otros la estructura de financiación.
Nota: sin perjuicio de lo planteado en esta respuesta, solamente serán vinculantes las regulaciones efectivamente publicadas en los Pliegos del proceso licitatorio.</t>
  </si>
  <si>
    <t>Se le aclara al observador que las condiciones son mejorables y se han señalado las mínimas de la póliza de obras civiles, que opera con dos secciones: la sección I para obras civiles existentes, bajo la modalidad de riesgos nombrados, excepto para otros bienes existentes, que de acuerdo con el numeral 1.7. se esa misma sección para estos bienes las coberturas operan bajo modalidad  todo riesgo. La sección II  opera también bajo amparo todo riesgo. Las pólizas de formato ANI admiten mejoras en sus condiciones, y esta que se propone por el observador puede ser incluida sin incumplir lo reglado en el contrato parte general numeral 12.3 Reglas Generales Aplicables a las Garantías, literal m) establece que no se podrá, mediante condición particular, reducir o modificar el alcance y las condiciones de los amparos, cláusulas y coberturas de cualquiera de los seguros y garantías expedidos conforme a lo previsto en el Contrato. Por lo tanto, si la reducción o modificación la solicitare el Concesionario sin consentimiento escrito por parte de la ANI la aseguradora no modificará la póliza y si lo hiciere, la reducción o modificación se tendrá por no escrita. De esta forma, si las cláusulas sugeridas por el observador, llegaren a incumplir este literal, no tendrán aplicación.</t>
  </si>
  <si>
    <t>Se informa al Interesado que la Entidad no considera procedente la observación. La ANI considera que la distribución de riesgos incluida en el Contrato es suficiente y las obligaciones a cargo de cada una de las Partes regula estas gestiones.</t>
  </si>
  <si>
    <t>Se informa al interesado que no se acepta su observación. Se tendrá en cuenta la modificación que altere el Valor del Contrato en le porcentaje allí indicado para que el Concesionario tenga la facultad de renunciar a la continuación de su ejecución. La ANI considera que este es un valor de referencia razonable para dicha facultad.</t>
  </si>
  <si>
    <t xml:space="preserve"> 
Se informa al interesado que su entendimiento es correcto.</t>
  </si>
  <si>
    <t>Se precisa al interesado que de acuerdo con lo señalado en el Pliego de Condiciones que  la Experiencia en Inversión deberá acreditarse de conformidad con las opciones previstas en el numeral 4.2.1. del Pliego de Condiciones. De igual manera se le informa que según lo señalado en el numeral la Sección 4.2.10, para el caso de los contratos que se encuentren en ejecución, la certificación no podrá tener una fecha de expedición mayor de seis (6) meses contados desde la publicación de la presente Licitación Púbica en SECOP. En este último evento, si el contrato está en ejecución la certificación no podrá tener una fecha de expedición mayor de seis (6) meses contados desde el Cierre de la presente Licitación Pública en el SECOP. En caso de modificarse la Fecha de Cierre de la Licitación Pública se tendrá como referencia para establecer el plazo de la certificación la originalmente establecida en el Pliego de Condiciones Definitivo, esta modificación se podrá evidenciar en el pliego de condiciones definitivo.
En ese orden de ideas no se acepta su observación consistente en permitir que las certificaciones no tengan límite de vigencia</t>
  </si>
  <si>
    <t>Tal y como se señaló en la respuesta anterior el plazo de vigencia de certificación no podrá tener una fecha de expedición mayor de seis (6) meses contados desde el Cierre de la presente Licitación Pública en el SECOP. Este ajuste se podrá evidenciar en la versión que se publicará de Pliego de Condiciones Definitivo. por lo anterior no se acepta la solicitud del interesado de modificar el plazo de expedición</t>
  </si>
  <si>
    <t>luz elena el 4 de septiembre</t>
  </si>
  <si>
    <t>Se informa al interesado que la definición observada fue objeto de ajuste el cual se podrá evidenciar en la minuta que se publica con el pliego de condiciones definitivo</t>
  </si>
  <si>
    <t>La entidad aclara al interesado que los ratings a las que las entidades bancarias están sometidas, corresponden a escalas de carácter local, las cuales mantendrán su calificación respecto de la escala soberana. Por lo que aún y cuando el país reduzca su calificación, las entidades bancarias permanecerán con sus calificaciones de orden local inalteradas. Por lo anterior su observacion no es procedente.</t>
  </si>
  <si>
    <t>Se informa al interesado que la Entidad modificó dichos porcentajes y se verán reflejados en la minuta parte general de los Pliegos Definitivos.</t>
  </si>
  <si>
    <t>Se informa al interesado que la terminación del contrato no implica el cese de obligaciones, en este caso las demandas y reclamaciones posteriores a la terminación del Contrato deberan en todo caso circunsicribirse a hechos relacionados con actividades desplegadas por el Concesionario durante la ejecución del Contrato, por lo tanto no es correcta su interpretación</t>
  </si>
  <si>
    <t>Se informa al interesado que la  condición de actualizar los valores según la fecha de firma del acuerdo es explícita en el Capítulo 9 del Apéndice Técnico 1 por lo cual no requiere aclaraciones.
A efectos del entendimiento de los acuerdos protocolizados, debe tenerse en cuenta que las consultas previas y su protocolización se llevaron a cabo en 2019, por lo tanto las partes pactaron los acuerdos con cifras actualizadas al momento de firmar las actas de protocolización. Las fechas de firma son las siguientes:
- Bocas de Palo: 13 de junio de 2019
- Dos Aguas de Cascajal: 11 de agosto de 2019
- San Isidro: 13 de junio de 2019
Las actas firmadas se pueden consultar en el Cuarto de Información de Referencia en la Carpeta I.</t>
  </si>
  <si>
    <t xml:space="preserve">La Entidad considera que las fórmulas de terminación son  adecuadas y consistentes  con los requisitos de la normatividad colombiana para este tipo de contratos y por lo tanto no procede la observación. De ninguna manera, el establecimiento de estas fórmula tendría implicaciones como las observadas (enriquecimiento ilícito para la Entidad) y las mismas se consideran que reconocerán el valor adecuado del activo ejecutado.  Respecto al los costos de ruptura, se informa al interesado que la Entidad no considera pertinente la inclusión de los mismos, dado que el riesgo de financiación es  del concesionario, tal como está previsto en documentos Conpes que aplican para este sector. </t>
  </si>
  <si>
    <t xml:space="preserve">(ii)  Entendemos que el Contrato de Concesión está poniendo en cabeza del Concesionario ciertas obligaciones de naturaleza ambiental al requerir la implementación de un “Programa de Aporte Sostenible”, cuyo costo deberá ser asumido por el Concesionario y fondeado mediante fuentes de financiación diferentes a las descritas en la Sección 3.1(b) de la Parte General. En consecuencia, entendemos que el costo de la implementación del Programa de Aporte Sostenible no podría ser cubierto con los ingresos del Proyecto. Favor confirmar nuestro entendimiento. </t>
  </si>
  <si>
    <t>Cláusula 3.6 Parte Especial. Indica la citada cláusula: El tramo Cali Candelaria se encuentra incorporado en los Contratos de Obra No. 0111-18-10-5007 y No. 1.310.02-59.8- 5447 de la Gobernación del Valle del Cauca.</t>
  </si>
  <si>
    <t xml:space="preserve">Consideramos que es es un derecho del concesionario y de cualquiera de las partes de un contrato dejar constancia de los hechos acaecidos, y resulta contrario al derecho, limitar dicho derecho través de las cláusulas propuestas. Por tal razón, solicitamos amablemente se elimine la sección 3.6(b) de la Parte Especial en tanto la minuta 4G no restringía incluir reservas o condicionamientos frente a la entrega de la infraestructura
. </t>
  </si>
  <si>
    <t>Sección 18.2(c) Parte General - Obligaciones de la Fiduciaria en la Liquidación
•	Consideramos que todos los excedentes y remanentes de la Cuenta Proyecto, así como los de las subcuentas de la Cuenta ANI que hayan sido fondeados con recursos de Equity, deben pertenecer al Concesionario en caso de terminación del Contrato.  En adición los excedetes y remanentes del depósito especial deberían servir para pagar los valores derivados de la aplicación de la fórmula de liquidación.</t>
  </si>
  <si>
    <t xml:space="preserve">En los prepliegos de condiciones en el numeral 4.3.6 se establece un cupo de crédito en firme mínimo por un valor de $258,300,000,000 del mes de referencia como requisito habilitante, sin embargo, una vez analizados estos valores en relación con el giro mínimo de equity (el cual se encuentra en el contrato parte especial numeral 4.4 y es de un valor de $265,000,603,118) nos encontramos con una relación del 97.5% con respecto al giro mínimo de equity.
Al revisar los procesos licitatorios para Concesiones 4G, nos encontramos que los montos solicitados para estos proyectos como cupo de crédito en firme en relación con el giro de equity mínimo, se encuentran alrededor del 23%. Solicitamos se ajusten estos valores a una relación similar a la de 4G lo que para el caso de acces-Cali significaría un monto de crédito en firme de $61,096,209,006 (23% sobre equity mínimo)
La razón de ser de la solicitud de este cupo de crédito en firme es que el proponente cuenta con la capacidad para aportar el equity mínimo requerido de acuerdo con la estructuración, en este orden de ideas comedidamente solicitamos que la vigencia de este cupo de crédito en firma sea de 180 días desde Acta de Inicio, momento en el que el privado habrá aportado más del 50% del equity mínimo requerido. 
Además vemos relevante el hecho de que la Garantía de Cumplimiento de la fase preoperativa cubre incumplimientos de obligaciones dentro del contrato, por lo que se cuenta ya con una garantía que cubriría esos efectos. 
Solicitamos amablemente especial consideración de este importe de garantía </t>
  </si>
  <si>
    <t xml:space="preserve">(x) Usos de los recursos: el Concesionario declara y garantiza que durante la ejecución del Contrato, los usos que le dará a los recursos provenientes de los Giros de Equity y Recursos de Deuda regulados en el Contrato serán única y exclusivamente para la ejecución de las obligaciones previstas en el presente Contrato, incluyendo la atención del servicio de la deuda del Proyecto, el pago a los Contratistas, el pago de impuestos a cargo del Concesionario y demás gastos propios del Patrimonio Autónomo. El Concesionario declara que los recursos provenientes de la Retribución serán suficientes para cumplir con la totalidad de las obligaciones y riesgos a su cargo, en los términos de la Sección 2.6(a)(vi) de esta Parte General. De la misma manera, el Concesionario declara y garantiza que siempre contará con información disponible, veraz y oportuna que soporte todos y cada uno de los pagos que haga a terceros, la cual será fácilmente consultable, en cualquier momento, por parte del Interventor y/o de la ANI, ya sea que dicha información se encuentre bajo el control del Concesionario o del Patrimonio Autónomo. </t>
  </si>
  <si>
    <t xml:space="preserve">“Una vez las obras correspondientes a una Unidad Funcional sean concluidas por el Concesionario y aceptadas por el Interventor y por la ANI, se suscribirá la correspondiente Acta de Terminación de Unidad Funcional y serán puestas en servicio durante la Fase de Construcción (…)”. </t>
  </si>
  <si>
    <t xml:space="preserve">Solicitamos eliminar esta sección, la ANI no debería trasladar sus riesgos al concesionario, incluso si las modificaciones a los Estudios de Factibilidad de Trazado y Diseño Geométrico impliquen que se exceda el área de la franja de terreno del corredor vial del Proyecto. Dichas modificaciones en muchos casos pueden atender a casos excepcionales y dificultades específicas del Proyecto y no necesariamente a criterio o arbitrio del concesionario. </t>
  </si>
  <si>
    <t xml:space="preserve">(u) Multa por no suscripción del Acta de Inicio de la Fase de Construcción: Si el Concesionario no suscribe el Acta de Inicio de la Fase de Construcción durante el plazo establecido en el Contrato, se causará una Multa diaria de hasta quince (15) salarios mínimos mensuales legales vigentes por cada Día transcurrido a partir de la fecha prevista en el Contrato para su suscripción. Esta multa no se causará cuando ocurra un Evento Eximente de Responsabilidad que impida la suscripción del Acta de Inicio de la Fase de Construcción o no se cumpla con las condiciones precedentes para su suscripción por un evento atribuible a la ANI. </t>
  </si>
  <si>
    <t>Numeral 5.5 Puentes Peatonales: teniendo en cuenta que el tramo Ye de Villa Rica - Av. Ciudad de Cali corresponde al que quedará en doble calzada y que el tramo Av. Ciudad de Cali - Jamundí en sencilla, se solicita que se revise la distribución de los puentes indicados en la tabla 29, ya que aparentemente están invertidos entre estos dos tramos.
En todo caso, solicitamos que la ubicación del número predefinido de puentes peatonales que exige el Contrato sea resultado exclusivamente de un estudio técnico que adelante el Concesionario con base en la dinámica del tráfico peatonal en la Fase de Preconstrucción.</t>
  </si>
  <si>
    <t>Luego de una revisión detallada de la información contenida en de la carpeta 0 referente a los ‘Estudios y diseños parte general’ del proyecto ‘Malla vial del Valle del Cauca’ dentro del Banco de Datos de la Agencia Nacional de Infraestructura, se informa sobre la necesidad de incluir los archivos de toma de información con el fin de realizar la adecuada validación de la información presentada.
A continuación, se presenta una lista con el código de la carpeta sobre la que se hace referencia junto con la documentación considerada como necesaria para el propósito del estudio.
• Carpeta 0AI281: Directorio de links de los puntos de toma de información. En este sentido, se solicita a la ANI incluir en el cuarto de datos los puntos de toma de información y cualquier otra información que pueda estar faltando y sea necesaria para un estudio completo de las características del proyecto.</t>
  </si>
  <si>
    <t>El literal (a)(ii) del numeral 12.8 Contrato Parte General establece que cuando la Unidad Funcional (UF) incluya la entrega de infraestructura existente, la póliza de obras civiles deberá amparar las obras existentes desde la Fecha de Inicio y su valor inicial corresponderá al valor asegurado que resulte del estudio de pérdida máxima probable. Al respecto se solicita a la Entidad permitir al Concesionario asegurar el valor que resulte del PML y/o cualquier otro que sea superior al mismo.</t>
  </si>
  <si>
    <t>Respecto de lo indicado en el numeral 12.8. (a)(iv) del Contrato Parte General, cuando la Concesión opte por asegurar la Obra por el 100% del valor del Contrato no debería exigirse un PML para la suscripción de las Actas de Terminación por cada Unidad Funcional, toda vez que el mismo sólo cobra relevancia cuando el valor asegurado corresponde al indicado en dicho estudio como máxima pérdida probable, razón por lo cual se solicita a la Entidad que la referencia al Estudio de Pérdida Máxima Probable sea una opción del Concesionario y no una obligación.</t>
  </si>
  <si>
    <t>Considerando que se presentaron ajustes a la intervención proyectada UF4 Corredor 3 denominado: La Ye de Villa Rica hasta Jamundí ahora denominado: Ye de Villa Rica y Paso de la Bolsa. Se solicita aclarar: ¿Cuáles fueron los ajustes y porque se dan? Y si ¿La información relacionada en el Cuarto de información de referencia se encuentra actualizada y proyectada con dicho cambio?</t>
  </si>
  <si>
    <t>Dentro del plan de gestión integral del cual trata el Apéndice Técnico 6, se deberán prever los mecanismos de cumplimiento de la normatividad ambiental vigente en temas de medio ambiente y comunidad. Así mismo, éste deberá garantizar que todos los profesionales, contratistas y/o subcontratistas del Concesionario cuenten con la experiencia, idoneidad y capacidad para realizar las diversas actividades del Proyecto cumpliendo la normatividad y estándares antes mencionados, así como las buenas prácticas nacionales e internacionales del subsector vial. 
Consultado el expediente ANLA LAM1015 la ANLA aún no ha validado si se cumplieron las siguintes obligaciones por parte de la UTDVVCC: 
b. Una vez verificada la información allegada mediante el radiado 2020024262-1-000 del 18 de febrero de 2020, la UTDVVCC no describieron las obras civiles ejecutadas y las actividades de revegetalización y reforestación desarrolladas en cada una de ellas. 
f. Dentro de la información cartográfica remitida por la UTDVVCC no se observa información relacionada con las obras civiles, localización, superficie y limites. 
g. En la verificación documental del expediente se observa que la UTDVVCC no ha remitido los registros documentales de la identificación de las áreas de siembra de las especies leguminosas donde no existía cobertura vegetal. 
h. Dentro de la información allegada no se visualiza la localización y cuantificación de los bordes de los ríos o cañadas donde se sembraron las especies indicadas en el PMA. Consultado el expediente ANLA LAM1659 existen una serie de obligaciones respecto a fuentes de maetriales (Cantera Calandaima) y/o plantas de procesos (Granado y el Vínculo) que si bien esstán incluidas dentro de licencia ambiental, vienen siendo operadas por la UTDVVCC. 
¿Cuál es el manejo que se le dará a este tipo de obligaciones por parte de la ANI, se debe entender que al momento de la adjudicación estas obligaciones ya estarán cerradas por la ANI y el anterior concesionario ante la ANLA? Por favor aclarar el alcance.</t>
  </si>
  <si>
    <t>Certificaciones AR en contratos de interventoría: La Entidad considera que la periodicidad y metodología actualmente contenidas en el contrato, respecto a que el Interventor remitirá la respectiva certificación de los valores registrados, a la ANI y al Concesionario, dentro de los treinta (30) Días siguientes a la presentación de los estados financieros auditados del Patrimonio Autónomo, es adecuada y cumple con los propósitos de la misma.
- Fórmula C y F:
     -Desconocimientos de costos asociados: se incluye dentro de la fórmula F, la variable Sprov (cuentas por pagar), la cual busca capturar este tipo de eventos.
   - Deuda desembolsada:  En cuanto a los intereses de la deuda, de manera general y con el fin de ejemplificar el entendimiento de la fórmula,  las variables Uh y Eh por defecto deberían ser consistentes con la variable ARh, en el mismo sentido la variable Rh es la fuente de recursos con la cual se atienden las variables Amorth, Inth y Divh  (amortizaciones de capital, intereses y repago de dividendos) con lo cual el resultado de ambas fórmulas debería ser consistente a lo largo del ejercicio. En este sentido, la resta de los intereses dentro de la fórmula F tiene el mismo efecto que la resta del Rh dentro de la fórmula C, y es descontar del valor de liquidación aquellos elementos que ya hayan sido efectivamente pagados
. De ninguna manera se puede asumir que se van a reconocer dichos intereses en la TE.   La intención de la TE dentro de ambas fórmulas es actualizar el saldo vigente por pagar y no elementos que ya hayan sido pagados.
   - Equity: la Entidad considera necesario establecer un límite al Equity con el fin evitar el reconocimiento de costos asociados a ineficiencias y/o riesgo que deben ser asumidos 100% por el Concesionario. De igual manera, se realizó un ajuste sobre el factor que limita el Equity (FAE), para flexibilizar entre otros la estructura de financiación.
  -   Costos asociados que hayan sido apalancados por el subcontratista: se incluye dentro de la fórmula F, la variable Sprov, la cual busca capturar este tipo de eventos.</t>
  </si>
  <si>
    <t>Se le aclara al observador que los actos administrativos cobran firmeza luego de ejercerse el derecho a la defensa y al debido proceso de acuerdo con el artículo 86 de la Ley 1474 de 2011, por lo tanto la suposición de cobrarse a primer requerimiento no tiene absolutamente ningún sustento jurídico.</t>
  </si>
  <si>
    <t>Se le aclara al observador que se hace referencia a las unidades funcionales que hayan suscrito el acta de terminacion de unidad funcional, es en ese momento donde entra el amparo derivado de las actividades de la etapa de operación y mantenimiento, no se acepta su observacion.</t>
  </si>
  <si>
    <t>De acuerdo con el decreto 1082 de 2015, articulo 2.2.1.2.3.1.6, numerales 3 y 4 de no suscribirse el contrato o habiendolo suscrito no otorgar la garantia unica de cumplimiento da lugar a hacer efectiva la seriedad de la oferta. Por lo tanto con independencia de si hubiere o no una caducidad si se puede hacer efectiva la cobertura, no se acepta la observacion.</t>
  </si>
  <si>
    <t>Se le aclara al observador que el valor inicial del seguro de obras civiles corresponderá al valor asegurado de reconstrucción sin incluir mejoras o el que resulte del estudio de pérdida máxima probable.</t>
  </si>
  <si>
    <t>Se le aclara al oferente que aquellos tramos que se revierten anticipadamente de conformidad con la seccion 3.10 de la parte especial, tendran unas actividades descritas en el apendice tecnico 1 desde el acta de inicio hasta la fecha de la reversion especial, hasta este momento gozaran de cobertura bajo la Garantia Unica con su amparo de Cumplimiento y luego una vez ocurra la reversion especial quedaran cubiertas bajo la garantia unica de cumplimiento, amparo de calidad y estabilidad.</t>
  </si>
  <si>
    <t>La vigencia sera de 5 años a partir del acta de terminancion de cada unidad funcional. Pero en caso de que los equipos esten operando antes de la suscripcion del acta de la terminacion de unidad funcional el periodo de la vigencia de 5 años iniciara su computo con la suscripcion del acta.</t>
  </si>
  <si>
    <t>La parte general permite que la garantia se entreguen por anualidades y esa disposicion aplica para la parte especial en la que solo se anota de manera general el lapso de la etapa y/o fase, sin perjuicio de onservar la opcion de hacer polizas anuales.</t>
  </si>
  <si>
    <t>La entidad considera pertinente mantener los montos establecidos para la acreditación de la Capacidad Financiera, incluyendo el Patrimonio Neto, de acuerdo con lo estipulado en la sección 4.3.4 (d) (iii) Patrimonio Neto y la sección 4.3.5 (a) (ii) Capacidad de Endeudamiento, dadas las características, valores y necesidades de financiación del proyecto. Por otra parte, aquel participante que no sea líder tendrá ajustados el patrimonio neto por su participación, dado que su participación en la estructura plural es inferior a la requerida para ser Lider, por lo cual se debe aplicar lo dispuesto en el Pliego de Condiciones para acreditar estos indicadores. Ahora bien en todo en programa de Cuarta Generación de Concesiones se ha mantenido la acreditación del índice de endeudamiento de forma similar, considerando fundamental el análisis del endeudamiento de cada proponente y que este sea optimo para que le permita adquirir nuevos endeudamientos, lo anterior considerando que los montos reqeridos en este tipo de proyectos son significativamente altos.</t>
  </si>
  <si>
    <t>Su entendimiento no es correcto, de acuerdo con lo regulado en el Contrato Parte Especial sección 4.5 (h) (viii) los recursos depositados en esta subcuenta serán tranferidos de manera previa y de forma prioritaria antes de efectuar el depósito en la Subcuenta Contingencias y en la Subcuenta de Recaudo</t>
  </si>
  <si>
    <t xml:space="preserve">La entidad durante el proceso de la estructuración del proyecto consideró ajustar la proporción de los Ingresos por Explotación Comercial, dicho ajuste permite de igual manera realizar las labores asociadas a la Explotación Comercial y generar los suficientes ingresos que se requieren para hacer inversiones y cubrir los costos operacionales.  No obstante, la entidad ajustó el porcentaje mencionado en la versión definitiva de los Pliegos de Condiciones de acuerdo con los análisis realizados
</t>
  </si>
  <si>
    <t xml:space="preserve">Tal como lo señala la cláusula 5.2 del Pliego de Condiciones, 5.2.1, la Oferta
Económica se debe presentar únicamente diligenciado el Anexo 13, no se debe
adjuntar el modelo financiero
</t>
  </si>
  <si>
    <t>De conformidad con lo señalado en el pliego de condiciones cada integrante de la estructura plural deberá aportar máximo un cupo de crédito. Para este requisito se podrá optar por alguna de las condiciones establecidas en el numeral 4.4 del Pliego de Condiciones.</t>
  </si>
  <si>
    <t>Se informa al interesado que su entendimiento es correcto, teniendo en cuenta que en la sección 3.9 (a) del Contrato Parte General se indica que "no habrá giros de equity en especie"</t>
  </si>
  <si>
    <t>Se aclara al interesado que el porcentaje de inversión efectivamente realizada no corresponderá necesariamente al registrado en el P.A. sino que será definido por el mutuo acuerdo de las Partes o, de no ser ello posible por el Amigable Componedor, de acuerdo con lo indicado en la Sección 14.1(b) PG. Para efectos de esta cláusula se entiende por porcentaje de inversión efectivamente realizada, la inversión que se puede verificar por las partes y que está representada en obras sobre un 100% correspondiente a la inversión estimada de cada Unidad Funcional, y sirve únicamente para efectos de cálculo de la compensación especial cuando sea aplicable.</t>
  </si>
  <si>
    <t>Su observación es procedente y la Entidad se permite manifestar al interesado que los ajustes correspondientes se realizarón en el Contrato Parte General y Parte Especial, quedando congruente y consistente de la siguiente forma: "Subcuenta Compensaciones Socioambientales".</t>
  </si>
  <si>
    <t>Se aclara al interesado que el entendimiento es correcto respecto a las cifras de cierre financiero bien sea las del contrato de crédito o las del offering memorándum. De igual manera se aclara que lo planteado en el numeral 4.2.6 sobre los desembolsos  no es una condición excluyente de lo anterior y por el contrario simplemente es una precisión respecto a los montos del cupo acreditado corresponderá a los montos que se hayan realizado hasta antes dela Fecha de Cierre del Proceso de Selección. Cualquier desembolso que no se haya realizado hasta ese momento no será tenido en cuenta en el monto acreditado.
En cuanto a la segunda pregunta, se aclara que quien acredite la experiencia de financiamiento debe haber sido parte de la asociación que obtuvo el cierre financiero, al momento del cierre y al primer desembolsos . De igual manera se aclara que lo planteado en el numeral 4.2.6 sobre los desembolsos  no es una condición excluyente de lo anterior y por el contrario simplemente es una precisión respecto a los montos del cupo acreditado corresponderá a los montos que se hayan realizado hasta antes dela Fecha de Cierre del Proceso de Selección. Cualquier desembolso que no se haya realizado hasta ese momento no será tenido en cuenta en el monto acreditado.</t>
  </si>
  <si>
    <t>Se informa al interesado que su entendimiento es correcto. De acuerdo con la Ley Aplicable y el Contrato, el Concesionario podrá constituir cualquier tipo societario por acciones establecido en las leyes civiles y comerciales.</t>
  </si>
  <si>
    <t xml:space="preserve">
Se informa al interesado que su entendimiento es correcto, para lo dispuesto en el Contrato Parte Especial, Tabla de Referencias, Sección 3.14(h)(iv)(2)(iv)(4), el remanente que quede una vez se aplique lo señalado en los numerales
 1,2 y 3 anteriores, deberá fondear el 100% de los recursos a las subcuentas respectivas de cada Unidad Funcional de acuerdo con los porcentajes señalados en la Sección 4.1 de la Parte Especial.</t>
  </si>
  <si>
    <t>teams</t>
  </si>
  <si>
    <t>Los deducibles que establece el decreto 1082 son mínimos de ley no es potestativo de la ANI ni del concesionario modificar el reglamento legal</t>
  </si>
  <si>
    <t>teams lucho</t>
  </si>
  <si>
    <t>Se informa al interesado que la Sección observada fue eliminada. Esta modificación se podrá evidenciar en la minuta que se publique con el pliego de condiciones definitivo</t>
  </si>
  <si>
    <t>Se informa al interesado que no se acepta su observación, la entidad considera que la regulación actual sobre los recursos que se reconocen como Giros de Equity son suficientes y garantizan la viabilidad del proyecto.
Se informa al interesado que no se acepta su observación, la entidad considera que la regulación actual sobre los recursos que se reconocen como Giros de Equity son suficientes y garantizan la viabilidad del proyecto.</t>
  </si>
  <si>
    <t>Antes de proceder a dar respuesta al observante, es importante precisar que el Proyecto dio cumplimiento a lo establecido en el artículo 39 de la Ley 1682, respecto a haber concluido el proceso de consulta previa con las comunidades étnicas y/o afrodescendientes certificadas hasta su protocolización.
Ahora bien, en cuanto a las nuevas consultas previas que se pudiesen certificar con posterioridad al proceso de adjudicación del proyecto, la ANI considera razonable que la Gestión Social y Ambiental continúe en cabeza del Concesionario, bajo el liderazgo de la ANI, toda vez que las nuevas consultas previas son consecuencia directa de la obligación de resultado del Concesionario. Sumado a lo anterior, la responsabilidad para llevar a cabo procesos de Consulta Previa es compartida entre los representantes de los proyectos y el Ministerio del Interior y de Justicia. Teniendo en cuenta que el Concesionario es el principal ejecutor y representante del Proyecto, le corresponde al Concesionario con apoyo de la Entidad, adelantar la gestión social y ambiental de las consultas previas. 
 Finalmente, frente a su solicitud de aclaración en la redacción del riesgo, es importante aclarar que el riesgo asignado en el romanito (iii) no sólo hace referencia a los costos y las demoras en la gestión para la obtención de Licencias sino también aquellas gestiones, costos y actividades derivadas de los acuerdos de nuevas consultas previas, tal y como se estipula explícitamente en la sección 8.1 (d) de la Parte General. En esta medida, salvo por aquellas coberturas que están expresamente a cargo de la ANI, el Concesionario debe asumir todas las gestiones, costos y actividades derivadas de las consultas previas y no únicamente aquellas relacionadas con los trámites ambientales. Teniendo en cuenta lo anterior, no se considera necesario incluir aclaraciones adicionales en la Sección observada.  En todo caso se precisa que se incluyó en la minuta un valor limite respecto costo de los acuerdos protocolizados por nuevas consultas a cargo del concesionario, a partir del cual se aplicara el sistema de bandas descrito en la Sección 8.1(d) de la Parte General. Este ajuste se podrá evidenciar en la minuta que se publicará con el pliego de condiciones definitivo</t>
  </si>
  <si>
    <t xml:space="preserve">Se modifica la respuesta en el siguiente sentido:
La entidad considera que la observación no es procedente. Sin embargo se informa al interesado que se ha modificado la distribución de los remanentes en esta subcuenta entre las Partes tal como se presentará en la minuta que acompañará los pliegos definitivos.
</t>
  </si>
  <si>
    <t>Se modifica la respuesta en el siguiente sentido:
Se informa al interesado que se ha modificado la distribución de los remanentes en esta subcuenta entre las Partes tal como se presentará en la minuta que acompañará los pliegos definitivos.</t>
  </si>
  <si>
    <t>Se modifica la respuesta en el siguiente sentido:
La entidad considera que la observación no es procedente. Sin embargo se informa al interesado que se ha modificado la distribución de los remanentes en esta subcuenta entre las Partes tal como se presentará en la minuta que acompañará los pliegos definitivos.</t>
  </si>
  <si>
    <t>Se modifica la respuesta en el siguiente sentido:
Respecto a los remanentes la entidad considera que la observación no es procedente. Sin embargo se informa al interesado que se ha modificado la distribución de los mismos entre las Partes tal como se presentará en la minuta que acompañará los pliegos definitivos. En el caso de los rendimientos estos incrementarán la respectiva subcuenta.</t>
  </si>
  <si>
    <t xml:space="preserve">Se informa al interesado que se acepta su observación y se hace el ajuste correspondiente en los documentos definitivos. La referencia contenida en el CAPÍTULO II literal (b) del Apéndice Técnico 6 hace referencia al numeral 19.15 del Contrato Parte General correspondiente al orden de prelación de documentos.  </t>
  </si>
  <si>
    <t>• Se aclara la interesado que: - La redacción mencionada en el contrato corresponde a la siguiente "Si a la Fecha de Terminación de la Etapa de Operación y Mantenimiento el Concesionario no ha obtenido el VPIP, la ANI no reconocerá al Concesionario el saldo no devengado del VPIP y, consecuentemente, la ANI no hará reconocimiento alguno, ni se entenderá que ofrecerá garantía alguna al Concesionario que permita eliminar o mitigar los efectos causados por la no obtención del VPIP, conforme a lo establecido en la Sección 13.2(a)(xviii) de esta Parte General." y no a la incluida en la observación.
 - .  Efectivamente los riesgos de obtención de rentabilidad del negocio, obtención del VPIP y financiación del proyecto están asignados al Concesionario de acuerdo con las secciones 13.2 (xviii), (xxi) y  (xxv) de la Parte General del contrato. Sin embargo, la entidad informa que se incluirá el mecanismo de Soporte de Ingresos con el fin de facilitar la financiación del proyecto y se incluye también la compensación por Restricción de Movilidad que minimizan los efectos de la coyuntura actual, modificación que se podrá evidenciar en la minuta que se publicará con Pliegos Definitivos.   
- Finalmente con relación a su observación sobre el impacto en el tráfico, la Entidad ha analizado la misma y no se considera procedente realizar ningún tipo ajuste a la proyección de tráfico.</t>
  </si>
  <si>
    <t xml:space="preserve">La Entidad informa al interesado que en el documento “ACCESO AL CUARTO DE INFORMACIÓN DE REFERENCIA”, subido a la plataforma del SECOP I, el 07.04.2020, se encuentra el link para el SharePoint con dicha información de referencia. El link se encuentra en funcionamiento y se puede consultar la información de forma completa.
</t>
  </si>
  <si>
    <t xml:space="preserve">Las estimaciones del VPIP, fundamentadas en los estudios de tráfico de la estructuración, tienen en cuenta las condiciones mencionadas respecto al tramo Cali -Candelaria en doble calzada y las redistirbuciones de tráfico en la red vial que esto pudiera causar. Adicionalmente se aclara que esta vía al ser una vía existente y en condiciones plenamente conocidas de operación, es considerada dentro de las excepciones del riesgo de elusión por lo que no habrá ningún tipo de compensación al concesionario por este concepto. Lo anterior deberá ser tenido en cuenta por los interesados en su debida diligencia al momento de presentar sus ofertas. 
</t>
  </si>
  <si>
    <t xml:space="preserve">En razón a que las vías que conforman las obras adicionales del Factor de Calidad son opcionales y dependen del ofrecimiento en las ofertas, estas no se consideran en las estimaciones de VPIP y tráfico de la estructuración, sin embargo, estas vías al ser existentes sin aumentos de categoría no se consideran de efectos elusivos relevantes. Se aclara al interesado que las intervenciones a realizar sobre esta vía no hacen parte del concepto de Elusión, toda vez que las mismas no son vías nuevas y el impacto de las obras a realizar en las mismas deberán hacer parte de la debida diligencia del interesado al momento de presentar su oferta. 
</t>
  </si>
  <si>
    <t>Las estimaciones del VPIP tienen en cuenta las condiciones mencionadas. Adicionalmente se aclara que esta vía es una via existente y es transitada continuamente por los usuarios con destino Palmira - Caloto y viceversa, igualmente al ser una via existente e identificada, es considerada dentro de las excepciones del riesgo de elusión por lo que no habrá ningún tipo de compensación al concesionario por este concepto. Lo anterior deberá ser tenido en cuenta por los interesados en su debida diligencia al momento de presentar sus ofertas. +L1540</t>
  </si>
  <si>
    <t xml:space="preserve">Se informa al interesado que en los documentos correspondientes a los Pliegos de Condiciones Definitivos se ajustará la redacción, las condiciones de medición del porcentaje y aplicación de la mezclas asfálticas con grano de caucho reciclado. Ajuste que se incluirá en el Apéndice Técnico 1 Alcance. </t>
  </si>
  <si>
    <t xml:space="preserve">Se informa al interesado que su solicitud no se acepta. El objetivo de la implementación del uso de Grano Caucho Reciclado como Factor de Calidad es generar impactos positivos en el uso de materiales reciclados de origen Nacional.  De conformidad con lo establecido en el Apéndice Técnico 1 Alcance, el cual se publicará con el Pliego Definitivo. </t>
  </si>
  <si>
    <t xml:space="preserve">Se aclara al interesado que no se plantean excepciones de aplicación de los tramos con mezcla densa con grano caucho reciclado derivadas de los plazos de la Reversión Especial. Para mayor claridad se informa al interesado que se incluirán ajustes en el Apéndice técnico 1 Alcance, el cual se publicará con los Pliegos Definitivos. </t>
  </si>
  <si>
    <t>Frente a su primer interrogante las Obras Menores que surjan durante la ejecución del contrato de Concesión serán reconocidas según lo establecido en los siguientes apartes del Contrato Parte General:
- Sección 19.1 (b) de la Parte General: La financiación y ejecución de las Obras Menores, así como su Operación y Mantenimiento, será efectuada por el Concesionario, siempre que las Partes, previo concepto del Interventor, hayan llegado a un acuerdo sobre los precios unitarios para cada uno de los ítems típicos de esta clase de obras o a precios de mercado por actividades diferentes a obras, que servirán de referencia para la definición del costo de cada obra o actividad, en el momento en que surja la necesidad de ejecutarla. Los precios unitarios serán indexados con el IPC desde el momento en que se hayan acordado, hasta el momento en que se acuerde la ejecución de una obra menor determinada, serán ejecutadas, financiadas, operadas y mantenidas por el Concesionario y la ANI asumirá el pago de las Obras Menores con los recursos de la respectiva subcuenta.
En cuanto a su segundo interrogante su entendimiento es correcto, ya que las Obras Sociales serán reconocidas al Concesionario con cargo a lo establecido al Concesionario de acuerdo con la Sección 3.14(h)(xi)(1) de la Parte General.</t>
  </si>
  <si>
    <t xml:space="preserve">Se informa la interesado que las condiciones sobre el uso de mezclas asfálticas modificadas con grano de caucho reciclado serán aclaradas en el Apéndice Técnico 1 Alcance, el cual se publicará con el Pliego de Condiciones Definitivo, incluida la forma de medición de los porcentajes, y las intervenciones con las que se acreditan.  </t>
  </si>
  <si>
    <t>Con el fin de evitar la inoperancia del contrato de seguros derivada de la mora en el pago de la prima consagrada en el artículo 1068 del Código del Comercio, el Concesionario deberá presentar el recibo de pago de la totalidad de las primas de todos los seguros expedidos en el marco de este Contrato. Lo anterior no es necesario para la Garantía Única de Cumplimiento, tal como lo estipula el numeral 12.3 (l) del contrato parte general. Sin perjuicio de lo anterior, se corrigieron los montos asegurados en el seguro de responsabilidad civil, lo que implica una reducción importante en primas</t>
  </si>
  <si>
    <t xml:space="preserve">Se le aclara al observador que ni los contratistas ni los subcontratistas se incluyen en la cobertura en calidad de asegurados, lo que no quiere decir que cualquiera de sus actos carezca de cobertura. Todo lo contrario, en todo caso de estos, incluido el dolo estará amparado como quiera que al no tener la calidad de asegurados, no tiene aplicación la restricción de que trata el artículo 1055 del Código de Comercio. sin perjuicio de lo anterior, los contratistas y subcontratistas diferentes al concesionario o contratista principal que si detenta la calidad de asegurado, podrán suscribir seguros para amarar su propio interés asegurable, sin invalidar la cobertura de responsabilidad civil. Se le recuerda al observador que lo que determina un doble seguro no es el aseguramiento del bien sino la concurrencia de interés asegurable, y que todo interés asegurable, aun recayendo sobre el mismo bien es objeto de aseguramiento; ver artículos 1083 y 1084 del Código de Comercio. 
De otra parte, en cuanto a la inclusión de prestamistas o financiadores en calidad de beneficiarios, debe tenerse encuentra que la infraestructura que desarrolla y opera el concesionario corresponde con los denominados bienes de uso público universal o bienes públicos del territorio, y su uso pertenece a todos los habitantes. El titular del derecho de dominio es la Nación y, en general, las entidades estatales correspondientes ejercen facultades especiales de administración, protección, control. Estos bienes se encuentran determinados por la Constitución o por la ley (art. 63 Superior).4° y están sujetos a un régimen jurídico por virtud del cual gozan de privilegios tales como la inalienabilidad, inembargabilidad e imprescriptibilidad, que los colocan por fuera del comercio. por esta razón no es legal que la indemnización sea subrogada a cosa hipotecada o dada en prenda para radicar en ella derechos de un acreedor del concesionario, que no tiene titularidad del bien como lo exige el artículo 1101 del Código de Comercio, con ocasión de eventuales indemnizaciones derivadas del daño amparado por el seguro, que en todo caso debe destinarse a su reconstrucción y recuperación y jamás al pago de las deudas del concesionario con sus prestamistas.  </t>
  </si>
  <si>
    <t>Se informa al interesado  que la cesión de las Licencias y Permisos  al nuevo concesionario en caso de toma de posesión se realizará siempre que sea necesario y aplicable. Por lo tanto, la ANI no considera necesario realizar precisiones adicionales en el Contrato.</t>
  </si>
  <si>
    <t xml:space="preserve">Se solicita al interesado replantear su observación, pues esta no es clara, ya que en primer lugar hace mención a la indemnidad para luego incluir un texto relacionado con un evento eximente de responsabilidad en materia ambiental. No obstante lo anteior, se precisa que dentro del Contrato de Concesión se regula la Fuerza Mayor Ambiental en las cuales se contemplan causales relacionadas con el trámite de Licencias y Permisos, que no sean expedidos dentro del término legal.  </t>
  </si>
  <si>
    <t>Se informa al interesado que los plazos previstos para solicitar la ocurrencia de fuerzas mayorres predial, ambiental y de redes fueron objeto de ajuste, estas modificaciones se podrán evidenciar en la minuta que se publicará con el pliego de condiciones definitivo</t>
  </si>
  <si>
    <t>Se aclara al interesado que para el pago por compensación de menor recaudo se aplica lo relacionado con Soporte de ingresos y el procedimiento de pago y plazo se encuentra descrito en las secciones 3.4 (b) y 3,4 (c) del Contrato Parte General. La sección citada por el interesado no aplica para pago por compensación de menor recaudo.</t>
  </si>
  <si>
    <t>Se informa al interesado que el Cuarto de Información de Referencia se modificó el 21 de agosto de 2020 situación que se dio a conocer  mediante el Avisto Informativo 5 publicado en la pagina del proceso de SECOP, con esta modificación se verificó el contenido de  las carpetas confirmando que su contenido coincidiera con el relacionado en el índice.</t>
  </si>
  <si>
    <t xml:space="preserve">De acuerdo con el decreto 1082 de 2015, articulo 2.2.1.2.3.1.6, numerales 3 y 4 en el evento de no otorgar la garantia unica de cumplimiento se podrá declarar la Caducidad del Contrato. De no suscribir el Contrato por parte del proponente adjudicatario, se declarará el siniestro mediante acto administrativo en firme. </t>
  </si>
  <si>
    <t xml:space="preserve">
Se aclara al interesado que a raíz de la coyuntura actual, la Entidad considera procedente regular eventos que, siendo decretado por una autoridad, impliquen la restricción vehicular. En este sentido, se incluye el evento por Restricción de Movilidad dentro de los eventos que imposibilitan el recaudo de las estaciones de peaje de la Sección 3.3 de la Minuta Parte General, que se considera igualmente en la regulación respecto a su compensación.
</t>
  </si>
  <si>
    <t xml:space="preserve">Se informa al interesado que no se acepta su solicitud, tal y como lo señala en su observación,los riesgos asociadas a factor de calidad son 100% del privado, teniendo en cuenta que se trata de un ofreciento voluntario por parte del interesado, con el proposito de obtener un puntaje adicional dentro de su propuesta. </t>
  </si>
  <si>
    <t>El numeral 4.4.1 de los pliegos de condiciones establece: 
"Se podrán acreditar los Requisitos Habilitantes relativos a Capacidad Financiera y/o Experiencia en Inversión con la experiencia de (i) sus sociedades controladas (directa o indirectamente), (ii) de sus Matrices, o (iii) de sociedades controladas por sus Matrices". (Negrita y subraya fuera de texto)
Así mismo el numeral 5.6.4 establece: 
"Para las Estructuras Plurales, la Entidad tendrá en cuenta la planta de personal del integrante de la Estructura Plural que aporte como mínimo el cuarenta por ciento (40%) de la experiencia requerida para el Proceso de Contratación." (Negrita y subraya fuera de texto)
Como se advierte, la experiencia en inversión está vinculada con el requisito de personal con discapacitados, así entonces teniendo en cuenta que la experiencia del proponente y/o sus integrantes podrá ser acreditada por un tercero que no necesariamente hará parte de la Estructura Plural, se solicita a la Entidad modificar el numeral 5.6.4 permitiendo que las sociedades controladas, matrices o sociedades controladas por sus Matrices que acreditan la experiencia del proponente, sean quienes acrediten el requisito de personal con discapacidad.</t>
  </si>
  <si>
    <t>Antes de atender la observación del interesado es necesario precisar que la acreditación de personal en condición de discapacidad no constituye un requisito habilitante, teniendo en cuenta que el mismo es un factor de ponderación y  adicionalmente un criterio de desempate que se encuentra regulado en Ley. 
Para efectos de claridad, si bien es cierto que la experiencia en inversión puede ser acreditada mediante sociedades matrices o controladas por su matrices o controladas del (los) Líder(es), el criterio de ponderación por personal en condición de discapacidad debe ser acreditado de manera directa por el integrante de la estructura plural que aporte como mínimo el 40% de la experiencia de inversión requerida, aun cuando este integrante haya acreditado tal experiencia a través de su matriz.</t>
  </si>
  <si>
    <t>La ocurrencia de un evento como el COVID 19 resulta imprevisible e irresistible, en la medida en que tal y como lo señala el Consejo de Estado: “imprevisible es aquello que, pese a que pueda haber sido imaginado con anticipación, resulta súbito o repentino o aquello que, no obstante la diligencia y cuidado que se tuvo para evitarlo, de todas maneras acaeció, con independencia de que hubiese sido mentalmente figurado, o no, previamente a su ocurrencia" e irresistible, “como elemento de la causa extraña, consiste en la imposibilidad del obligado a determinado comportamiento o actividad para desplegarlo o para llevarla a cabo", por lo tanto se indica al interesado que un evento de estas características es considerado como una Fuerza Mayor para efectos del Contrato de Concesión.
Adicionalmente se precisa al interesado que, la Minuta del Contrato contendrá un mecanismo que antenderá los efectos generados por la ocurrencia de una situación como la del COVID 19, especificamente aquel relacionado con la disminución en el flujo de ingresos del Proyecto, siempre y cuando tal disminución se de con ocurrencia de un evento o serie de eventos relacionados directamente con la declaratoria de un estado constitucional de excepción y/o por un estado de emergencia, por decisión de una Autoridad Estatal del orden nacional, que restrinja la movilidad y/o libre circulación, tales como órdenes de confinamiento o restricciones vehiculares, que generen un impacto atípico, significativo y directo en el tráfico de alguno de los corredores del Proyecto, causando un menor Recaudo de Peaje, exclusivamente durante el periodo en el que se haya materializado dicho evento.</t>
  </si>
  <si>
    <t>La Entidad le informa al interesado que el plazo fue ajustado dismuniyendose de 60 a 30 Días, esta modificación se podrá evidenciar en la minuta que se publique con el pliego de condiciones definitivo</t>
  </si>
  <si>
    <t>Se informa al interesado que no se acepta su observación. La inclusión de dicha redacción obedece a que los riesgos retenidos por la ANI solamente se encuntran definidos en esta sección, a diferenica de aquellos asignados al concesioanrio los cuales también pueden estar incluidos en la minuta del contrato Parte Especial..</t>
  </si>
  <si>
    <t>.Se informa al interesado que cuando las decisiones del Amigable Componedor sean adoptadas por unanimidad, serán vinculantes y de obligatorio cumplimiento. Caso contrario ocurre cuando las mismas no sean tomadas por unanimidad, toda vez que se entenderán no vinculantes ni de obligatorio cumplimiento. Por lo anterior, no se acepta su observación.</t>
  </si>
  <si>
    <t>Se informa al interesado que su entendimiento es correcto. Por su parte, se informa al interesado que la entidad no considera necesaria la inclusión del término definido "Figura Asociativa Anterior" toda vez que esta situación ya se encuentra contemplada al referirse a figuras asociativas constituidas para la ejecución de contratos anteriores.</t>
  </si>
  <si>
    <t>Se informa al interesado que la Entidad realizará un ajuste en esta sección, la cual se verá reflejada en el  Pliego de Condiciones Definitivo.</t>
  </si>
  <si>
    <t>Proceso de Selección. De acuerdo con lo anterior, la definición de "Ley Aplicable" en el Pliego de Condiciones hace referencia a la ley que regirá las diferentes etapas del procedimiento administrativo de selección.De igual manera, es necesario precisar que esta definición no modifica o afecta la definición de Ley Aplicable del Contrato de Concesión.
En esta medida, se informa al interesado que no se considera procedente su observación. Sin embargo, la entidad realizará un ajuste en esta Sección en el Pliego de Condiciones Definitivo.</t>
  </si>
  <si>
    <t>se aclara al interesado que la regla general es de 180 dias para termiancion del contrato o terminacion anticipada, sin embargo para este ultimo evento la entidad considera necesario tener la posibilidad de realizar la reversion en un plazo mayor a 180 dias. por lo anterior no se acepta su observación de limitar el plazo a 180 dias para adelantar la reversion ante una terminacion anticipada</t>
  </si>
  <si>
    <t>Se informa al interesado que no se acepta su observación. El Interventor y/o la ANI podrán objetar los Estudios de Trazado y Diseño Geométrico y/o los Estudios de Detalle cuando impliquen una variación que sea desfavorable para los riesgos a cargo de la ANI. Si bien el riesgo es parcialmente asumido por la ANI, el derecho de objeción nace en el momento en que estas modificaciones impliquen una variación desfavorable.</t>
  </si>
  <si>
    <t>No se acepta la solicitud del interesado.La ocurrencia de un evento como el COVID 19 resulta imprevisible e irresistible, en la medida en que tal y como lo señala el Consejo de Estado: “imprevisible es aquello que, pese a que pueda haber sido imaginado con anticipación, resulta súbito o repentino o aquello que, no obstante la diligencia y cuidado que se tuvo para evitarlo, de todas maneras acaeció, con independencia de que hubiese sido mentalmente figurado, o no, previamente a su ocurrencia" e irresistible, “como elemento de la causa extraña, consiste en la imposibilidad del obligado a determinado comportamiento o actividad para desplegarlo o para llevarla a cabo", por lo tanto se indica al interesado que un evento de estas características es considerado como una Fuerza Mayor para efectos del Contrato de Concesión.
Adicionalmente se precisa al interesado que, la Minuta del Contrato contendrá un mecanismo que antenderá los efectos generados por la ocurrencia de una situación como la del COVID 19, especificamente aquel relacionado con la disminución en el flujo de ingresos del Proyecto, siempre y cuando tal disminución se de con ocurrencia de un evento o serie de eventos relacionados directamente con la declaratoria de un estado constitucional de excepción y/o por un estado de emergencia, por decisión de una Autoridad Estatal del orden nacional, que restrinja la movilidad y/o libre circulación, tales como órdenes de confinamiento o restricciones vehiculares, que generen un impacto atípico, significativo y directo en el tráfico de alguno de los corredores del Proyecto, causando un menor Recaudo de Peaje, exclusivamente durante el periodo en el que se haya materializado dicho evento</t>
  </si>
  <si>
    <t xml:space="preserve">1, 2, 3 y 4 Se informa al interesado que se elimino la expresion señaladaas controversias que sean sustancialmente técnicas, aun cuando las mismas tengan componentes jurídicos”, esta modificación se podrá evidenciar en la minuta que se publicará con el pliego de condiciones definitivo 
</t>
  </si>
  <si>
    <t xml:space="preserve">Se aclara al interesdo que el Oferente debe dentro de su debida diligencia establecer estimaciones de uso y deterioro de la vía en los tiempos previstos entre la entrega de las Ofertas y el Acta de Inicio. Por lo anterior no se acepta su observación .
Respecto de  la defincion de Acta de entrega de infraestructura, se informa al interesado que la entidad no considera necesaria su inclusión, por lo anterior no porcede su observación </t>
  </si>
  <si>
    <t xml:space="preserve">Se informa al interesado que la minuta que se publicará con el pliego de condiciones defintivo incluirá la figura de restriccion de movilidad con la cual se regularán los eventos generados por situaciones como el Covid 19. </t>
  </si>
  <si>
    <t>Se informa al interesado que los Garantes podrán suscribir el Acuerdo de Garantía en un solo documento o de forma individual en copias separadas del Acuerdo de Garantía. En todo caso, el Oferente deberá incluir el Acuerdo de Garantía suscrito por todos los Garantes como parte de su Oferta cuando se acredite la Experiencia en Inversión y/o Capacidad Financiera a través de Matriz, sociedad controlada o sociedad controlada por la Matriz del Oferente o Integrante del Oferente, de acuerdo con el Pliego de Condiciones."</t>
  </si>
  <si>
    <t xml:space="preserve">Se informa al interesado que la Oferta de Mano de Obra Local se hará a través del Anexo 12 del Pliego de Condiciones, en virtud del cual el Oferente declara bajo la gravedad de juramento el porcentaje del personal calificado y no calificado de la zona de influencia del Proyecto. Ahora bien, es necesario que el Concesionario pueda acreditar tal situación en el momento en que la ANI lo exija durante la ejecución del Contrato. En la medida que el Contrato determina las obligaciones para el Personal del Concesionario en el Capítulo XVI incluyendo empleados, Contratistas y subcontratistas, estos computan en la suma del número del personal.
</t>
  </si>
  <si>
    <t>Sección 3.14. (h) Sección (v) Sub Sección 6 Sub Cuenta Interventoría y Coordinación: “…En el evento que las Fases contenidas en la Etapa Preoperativa tengan una duración superior a la establecida en la Parte Especial, originada incluso por Eventos Eximente de Responsabilidad, el Concesionario deberá seguir fondeando esta Subcuenta, en el monto correspondiente al plazo adicional de la Fase. Estos aportes deberán realizarse de tal forma que garanticen los valores faltantes y en los plazos y montos que le establezca la ANI, de tal forma que el mecanismo sea eficiente y oportuno…”, teniendo en cuenta la definición de los eventos eximentes de responsabilidad: “…Es cualquier evento, circunstancia o combinación de eventos o circunstancias fuera del control razonable de la Parte que lo invoca, que afecte en forma sustancial y adversa el cumplimiento de las obligaciones derivadas del Contrato respecto de las cuales se invoca, después de que la Parte que lo invoca haya efectuado todos los actos razonablemente posibles para evitarlo…”. Solicitamos se excluya la obligación de fondear la Sub Cuenta de Interventoría y Coordinación en los montos correspondientes al plazo adicional, establecido en la fase de pre operación a causa de cualquier Evento Eximente de Responsabilidad, para tales efectos, solicitamos  aplique lo indicado en el Sección 3.14. (h) (v) (10)  del Contrato Parte General.
Solicitamos se excluya la obligación de fondear la Sub Cuenta de Interventoría y Coordinación en los montos correspondientes al plazo adicional, establecido en la fase de pre operación a causa de cualquier Evento Eximente de Responsabilidad, para tales efectos, solicitamos  aplique lo indicado en el Sección 3.14. (h) (v) (10)  del Contrato Parte General.</t>
  </si>
  <si>
    <t xml:space="preserve">Se informa al interesado que no se acepta su observación. la aplicación de deducciones y descuentos se da con ocasión a obligaciones a cargo del concesionario que fueron incumplidas, por lo que no tiene sentido que se devuelvan trasladandose a la Cuenta Proyecto </t>
  </si>
  <si>
    <t>Se informa al interesado que no se acepta su observación, la definición de "Matriz" o "Matrices" se ajusta a la regulación del Pliego de Condiciones y en todo caso, el Pliego de Condiciones permite la participación de los Fondos de Capital Privado de acuerdo con lo establecido en la Sección 4.6 del mismo</t>
  </si>
  <si>
    <t>Se informa al interesado que no se acoge su observación por cuanto el riesgo comercial ha sido asignado al privado en este proyecto. Se aclara al interesado que las disposiciones establecidas en los
 CONPES mencionados respecto al riesgo comercial no excluyen que la asignación del riesgo se realice al Privado, como se ha presentado en proyectos adjudicados de iniciativa privada en el marco de la ley 1508. En este sentido, se considera que la estabilidad
 histórica de los 8 peajes del proyecto, permiten realizar un manejo adecuado del riesgo por parte del concesionario y los mismos son considerados una fuente de pago adecuada para la consecución de las fuentes de financiación del proyecto. Dicho lo anterior,
 se informa al interesado que se ha incluido el Soporte de Ingresos para el Proyecto.</t>
  </si>
  <si>
    <t>Se modifica la respuesta publicada en el siguiente sentido:
Se informa al interesado que se ha modificado la distribución de este riesgo entre las Partes tal como se presentará en la minuta que acompañará los pliegos definitivos.</t>
  </si>
  <si>
    <t xml:space="preserve">Se informa  al interesado que la entidad considera adecuada la regulación actual, por lo que no se acepta su observación </t>
  </si>
  <si>
    <t>Se informa al interesado que de acuerdo con lo establecido por la Sección 1.143, el Plazo Máximo de la Etapa de Reversión al término de ciento ochenta (180) Días contados a partir de la Fecha de Terminación de la Etapa de Operación y Mantenimiento. En caso de Terminación Anticipada este plazo podrá ampliarse por decisión autónoma y exclusiva de la ANI en cualquier término adicional, hasta un máximo de quinientos cuarenta (540) Días.
No es posible establecer la duración precisa de esta Etapa toda vez que la misma dependerá del tiempo que la Entidad y el Concesionario requieran para suscribir el Acta de Reversión. En esta medida, el plazo establecido para la Etapa de Reversión es un Plazo Máximo que dependerá de las circunstancias de cada caso.</t>
  </si>
  <si>
    <t xml:space="preserve">    
•    Respecto a las observaciones, la Entidad considera que: 
1) La periodicidad y metodología actualmente contenidas en el contrato, respecto a que el Interventor remitirá la respectiva certificación de los valores registrados, a la ANI y al Concesionario, dentro de los treinta (30) Días siguientes a la presentación de los estados financieros auditados del Patrimonio Autónomo, es adecuada y cumple con los propósitos mencionados en la solicitud. 
2) No se considera procedente su observación, puesto que en el evento de una liquidación, el Estado deberá pagar al concesionario con base en unos precios de referencias (precios de mercado) de modo que los montos reconocidos dentro del AR no sean superiores  a lo razonablemente ejecutado bajo condiciones normales para un proyecto. 
3) Precisamente teniendo en cuenta las consideraciones mencionadas, se considera que el factor utilizado para el ajuste del equity dentro de la fórmula no es subjetivo y por el contrario es adecuado para capturar el "precio de mercado como un todo". Dicho lo anterior la Entidad realizó un ajuste en este factor para flexibilizar entre otros, la estructura de financiación. 
4) No se considera procedente su observación, toda vez que el concepto de precios de mercado, tal y como se plantea anteriormente, busca que el pago del Estado no sea superior a lo razonablemente ejecutado tal y como se habría dado en condiciones normales del proyecto.
5- 6) Se informa al interesado que la ANI considera que la fórmula incorporada a través de la Ley 1882 de 2018 busca evitar la existencia de controversias futuras entre las partes por la manera a través de la cual podrá determinarse las eventuales prestaciones recíprocas entre las partes. En esta medida, el Contrato regula desde el inicio la forma a través de las cuales se calcularán dichas prestaciones ante la terminación anticipada del mismo.   odrá determinarse las eventuales prestaciones recíprocas entre las partes. En esta medida, el Contrato regula desde el inicio la forma a través de las cuales se calcularán dichas prestaciones ante la terminación anticipada del mismo.
</t>
  </si>
  <si>
    <t>No se acepta la solicitud del interesado.
Se aclara al interesado que la ocurrencia  de un evento como el COVID 19 resulta  imprevisible e irresistible, en la medida en que tal y como lo señala  el Consejo de Estado: “imprevisible es aquello que, pese a que pueda haber sido imaginado con anticipación, resulta súbito o repentino o aquello que, no obstante la diligencia y cuidado que se tuvo para evitarlo, de todas maneras acaeció, con independencia de que hubiese sido mentalmente figurado, o no, previamente a su ocurrencia" e irresistible, “como elemento de la causa extraña, consiste en la imposibilidad del obligado a determinado comportamiento o actividad para desplegarlo o para llevarla a cabo", por lo tanto se indica al interesado  que un evento de estas características es considerado como una Fuerza Mayor para efectos del Contrato de Concesión.
Adicionalmente se precisa al interesado que, la Minuta del Contrato contendrá un mecanismo que antenderá los efectos generados por la ocurrencia de una situación como la del COVID 19, especificamente aquel relacionado con la disminución en el flujo de ingresos del Proyecto, siempre y cuando tal disminución se de con ocasión de la declaratoria de un estado constitucional de excepción y/o una emergencia sanitaria por decisión de una Autoridad Estatal del orden nacional, que restrinja la movilidad y  generen un impacto atípico, significativo y directo en el tráfico de alguno de los corredores del Proyecto, causando un menor Recaudo de Peaje. La minuta también incluirá las condiciones y forma en que se compensará dicho menor recaudo.</t>
  </si>
  <si>
    <t>No se acepta la solicitud del interesado, se informa que las multas previstas en la Parte Especial se causarán en el evento en que exista un hecho de incumplimiento imputable al Concesionario en ejecución del Contrato y la imposición de las mismas se regirá de acuerdo con lo señalado en el artículo 86 de la Ley 1474 de 2011 o las normas que lo modifiquen, complementen o sustituyan.</t>
  </si>
  <si>
    <t xml:space="preserve">Se aclara al interesado que la Sección 1.3.38 del proyecto de Pliego de Condiciones incluye la definición de Ley Aplicable al Proceso de Selección y no la ley aplicable al Contrato que se adjudicará en virtud de dicho Proceso de Selección. De acuerdo con lo anterior, la definición de "Ley Aplicable" en el Pliego de Condiciones hace referencia a la ley que regirá las diferentes etapas del procedimiento administrativo de selección, esto es, la ley vigente al momento en que se agote cada una de estas etapas.
En esta medida, se informa al interesado que no se considera procedente su observación. </t>
  </si>
  <si>
    <t xml:space="preserve">Respecto a la observación la Entidad se permite aclarar que:
Los porcentajes establecidos resultan de un análisis cuidadoso asociado al manejo de incentivos que puedan generarse respecto a la terminación de las obras afectadas por un evento que desate esta compensación. Adicionalmente los mismos son consistentes con aquellos utilizados en todos los contratos de 4 Generación, los cuales hasta el momento no han presentado inconvenientes.  
Los financiadores de este tipo de proyectos conocen ampliamente estas condiciones y han realizado estructuras de financiación teniendo en cuenta dichas condiciones. En ese orden de ideas no se acepta la solicitud del interesado </t>
  </si>
  <si>
    <t>Se aclara al interesado que la mayoría de rendimientos de las subcuentas que no acrecientan las mismas, están destinadas para la Subcuenta Excedentes con el objetivo de contar con un mecanismo líquido para efectos de cualquier materialización de riesgos. De igual forma, la Entidad evaluará la propuesta y en caso de considerarla procedente se ajustará en la versión de los Pliegos Definitivos.</t>
  </si>
  <si>
    <t>Se informa al interesado que no se acepta su observación. Como se mencionó anteriormente, el Concesionario es el principal ejecutor y representante del Proyecto, le corresponde al Concesionario con apoyo de la Entidad, adelantar la gestión social y ambiental de las consultas previas.
En todo caso, se informa al interesado que se establecerá un valor de referencia a partir del cual aplicará una compartición del riesgo por nuevas consultas previas a través de un sistema de bandas de manera análoga a los riesgos establecidos en materia predial, ambiental y de redes. En adición a lo anterior, se precia al interesado que la Sección 8.1 (i) del Contrato PArte General, creó la Fuerza Mayor Social en la que en su numeral segundo se establece que:
"Cuando con posterioridad a la expedición o modificación de la Licencia Ambiental, fuese reconocida por Autoridad Estatal competente una nueva comunidad étnica y/o afrodescendiente, siempre y cuando la Autoridad Estatal competente señale que por el desarrollo de la consulta previa no se puede continuar o se deban suspender de manera temporal la construcción de las Intervenciones descritas en el Plan de Obras de la Unidad Funcional afectada".</t>
  </si>
  <si>
    <t>.Se informa al interesado que no se acepta su observación. Como se mencionó anteriormente, el Concesionario es el principal ejecutor y representante del Proyecto, le corresponde al Concesionario con apoyo de la Entidad, adelantar la gestión social y ambiental de las consultas previas.
En todo caso, se informa al interesado que se establecerá un valor de referencia a partir del cual aplicará una compartición del riesgo por nuevas consultas previas a través de un sistema de bandas de manera análoga a los riesgos establecidos en materia predial, ambiental y de redes.</t>
  </si>
  <si>
    <t xml:space="preserve">Se aclara que para que los recursos para la adquisición predial puedan ser tomados de la Subcuenta Predios debe haberse demostrado que el predio a adquirir corresponde a un Predio Requerido según las definiciones de la Parte General. Es decir que entre otras condiciones sea un predio necesario para la completa disposición del Corredor del Proyecto, el cual debe ser adquirido por el Concesionario a nombre de la ANI. Bajo las condiciones expuestas el entendimiento es acertado.
</t>
  </si>
  <si>
    <t xml:space="preserve">Se aclara al interesado que se modifica el porcentaje mencionado, sustituyendo el mismo por el cincuenta por ciento (50%) adicional del tiempo máximo establecido por la Ley Aplicable para la expedición o modificación de la Licencia Ambiental o para la modificación del Plan de Manejo Ambiental , a partir del cual se tipificará la fuerza mayor ambiental. 
En cuanto a las consultas previas, se incluye la Fuerza Mayor Social transcurrieren más de ciento ochenta (180) Días contados desde la primera convocatoria –formulada de conformidad con lo previsto en la Ley Aplicable. Se toma la fecha en la cual se realizó la primera convocatoria toda vez que es oponible a todas las partes.
En las nuevas versiones, las cuales se publicarán con los Pliegos Definitivos podrá consultar los cambios referidos. 
</t>
  </si>
  <si>
    <t xml:space="preserve">Los municipios afectos al mencionado Proyecto son los que contienen los tramos que hacen parte del Proyecto. Su definición dependerá de los Estudios de Trazado y Diseño Geométrico que adelante el Concesionario, así como del ofrecimiento del Factor de Calidad.
Para información según los estudios del Cuarto de Información de Referencia los municipios son Cali, Palmira, Jamundí, Candelaria, Yumbo, Villarica, Puerto Tejada, Santander de Quilichao, El Cerrito, Ginebra, Guacarí, Buga, Yotoco y Vijes. Con el Factor de Calidad se incluye a Caloto.
</t>
  </si>
  <si>
    <t xml:space="preserve">La redacción se encuentra coherente con lo estipulado en el Apéndice Técnico 5 para el inventario de Redes. Este es un elemento determinante en el riesgo por presencia de redes de servicios públicos que afecten al trazado de la vía, es por esto que el inventario de las Redes del Corredor del Proyecto se presenta al mismo tiempo que los Estudios de Trazado y Diseño Geométrico.
</t>
  </si>
  <si>
    <t xml:space="preserve">Tanto las vías existentes como las de nueva construcción que harán parte de la concesión Nueva Malla Vial Valle del Cauca – Accesos a Cali y Palmira. Se aclara que los tramos que no tienen Operación y Mantenimiento, es decir los de Reversión Especial excepto la UF3, no requieren infrastructura de operación y por lo tanto no incluyen los postes SOS.
</t>
  </si>
  <si>
    <t xml:space="preserve">Se elimina “de forma simultánea” de forma que la obligación es que se ubiquen de forma alternada a cada costado de la vía. Los cambios los podrá revisar con la publicación de los Pliegos Definitivos.
</t>
  </si>
  <si>
    <t xml:space="preserve">Se aclara que el procedimiento de priorización y revisión de las Obras Sociales se amplía en la versión definitiva del Apéndice Técnico 8 e incluye al Comité de Obras Sociales para el control de este instrumento, y que entre las condiciones de priorización se tenga en cuenta que son las autoridades territoriales o entidades competentes quienes garanticen el mantenimiento, operación y sostenibilidad de dicha obra. En todo caso, se aclara al interesado que, de acuerdo con lo establecido en el Contrato, la Subcuenta Obras Sociales es de monto agotable. El Concesionario deberá efectuar los aportes que se muestran en el Contrato a la Subcuenta Obras Sociales bajo el entendido que una vez agotados estos recursos, no será obligación del Concesionario efectuar fondeos adicionales.
</t>
  </si>
  <si>
    <t xml:space="preserve">El capítulo 8 Personal del Apéndice técnico 8 define perfiles y requisitos de mínima cantidad de personal a asignar para el desarrollo de las obligaciones de dicho apéndice, no obstante, el número de profesionales de apoyo será definido por el Concesionario según su autonomía organizativa. La obligación del Concesionario es la de cumplir con las obligaciones del Apéndice Técnico 8, por lo tanto se considera suficientemente clara para que el Concesionario asigne el personal necesario este propósito.
</t>
  </si>
  <si>
    <t xml:space="preserve">Se informa que los permisos de uso del derecho de vía, incluidas las redes, se listan en los registros "Formato GCSP-F-117 Documentos y permisos resolución 063 de 2003" y "Formato GCSP-F-117 Documentos y permisos resolución 716 de 2015" que se puede consultar para cada uno de los tramos de la carpeta H del Cuarto de Información de Referencia.
Igualmente puede consultarse en la Carpeta F del Cuarto de Información de Referencia la información relativa a la debida diligencia con empresas propietarias y operadoras de redes. Se aclara que no se identificaron convenios sobre redes de hidrocarburos como consecuenca de la debida diligencia, sin embargo hay información confidencial que no se incluye en la publicación por restricciones específicas de las empresa operadoras de hidrocarburos.
Esta información estará disponible a título meramente informativo acorde con las condiciones de la Sección 1.7 Cuarto de Información de Referencia del Pliego de Condiciones, por lo tanto se aclara que la consecución y análisis de la información relativa a la solicitud son parte de la debida diligencia del Oferente para la presentación de su Oferta.
</t>
  </si>
  <si>
    <t xml:space="preserve">Esta definición depende de las condiciones de trazado, las interferencias reales y los acuerdos a los que se llegue con las operadoras y propietarias de redes a la luz de la Ley Aplicable y que requiere las definiciones de los Estudios de Trazado y Diseño Geométrico y Estudios de Detalle, y Plan de Redes que debe hacer el Concesionario. Por lo tanto se aclara que  la consecución y análisis de la información relativa a la solicitud son parte de la debida diligencia del Oferente para la presentación de su Oferta.
</t>
  </si>
  <si>
    <t xml:space="preserve">Se informa que los permisos de uso del derecho de vía, incluidas las redes, se listan en los registros "Formato GCSP-F-117 Documentos y permisos resolución 063 de 2003" y "Formato GCSP-F-117 Documentos y permisos resolución 716 de 2015" que se puede consultar para cada uno de los tramos de la carpeta H del Cuarto de Información de Referencia.
Igualmente puede consultarse en la Carpeta F del Cuarto de Información de Referencia la información relativa a la debida diligencia con empresas propietarias y operadoras de redes.
Esta información estará disponible a título meramente informativo acorde con las condiciones de la Sección 1.7 Cuarto de Información de Referencia del Pliego de Condiciones, por lo tanto se aclara que  la consecución y análisis de la información relativa a la solicitud son parte de la debida diligencia del Oferente para la presentación de su Oferta.
</t>
  </si>
  <si>
    <t xml:space="preserve">La responsabilidad operativa de realizar el traslado de la red debe verificarse por el Concesionario en el Plan de Redes, cumpliendo los procesos del artículo 48 y 50 de la Ley 1682 de 2013 y del Apéndice Técnico 5. Debe tenerse en cuenta que de acuerdo con la Ley Aplicable en el caso de no poder surtir los convenios con el prestador u operador, quien haga las veces de responsable del proyecto de infraestructura de transporte podrá realizar la protección, traslado o reubicación de las redes bajo su propia cuenta cuando se cumplan los requisitos definidos en la Ley 1682 de 2013.
</t>
  </si>
  <si>
    <t xml:space="preserve">Se informa al interesado que no hay acuerdos bilaterales de negociación de precios establecidos por la ANI.
</t>
  </si>
  <si>
    <t xml:space="preserve">No se considera procedente la solicitud toda vez que las vías de nueva construcción podrían no estar en inventarios de bienes de entes territoriales por falta de actualización de esos inventarios, y la condición de estar inventariada tampoco es determinante en demostrar la existencia de la Nueva Vía Pública y el evento de elusión.
</t>
  </si>
  <si>
    <t xml:space="preserve">Se aclara al interesado que la valoración del impacto a la explotación de los títulos mineros afectados por el proyecto no hace parte de la Subcuenta Predios, acorde con la Sección 8.4  Costos de la Gestión Predial y la Adquisición de los Predios del Apéndice Técnico 7.
Los demás términos consultados en la observación, en cuanto a los procedimientos de los acuerdos con el valor a reconocer para compensar serán determinados por el Concesionario de acuerdo con el Artículo 59 de la Ley 1682 de 2013 y sus modificaciones.
Se aclara que al ser esta una condición para la disponibilidad de los Predios, sí debe realizarse dentro de las actividades de Gestión Predial.
</t>
  </si>
  <si>
    <t xml:space="preserve">Sólo podrán utilizarse los recursos de la Subcuenta Predios si dentro del Equipamiento Comunitario se requiere la adquisición de Predios a sus dueños y el pago a sus beneficiarios derivado de la ejecución del Plan de Compensaciones Socioeconómicas. Lo costos adicionales correspondientes a gestiones y cumplimientos de normas técnicas son a cuenta y riesgo del Concesionario.  Estas disposiciones son aclaradas en la Sección de Manejo de Equipamiento Comunitario del Apéndice Técnico 8.
</t>
  </si>
  <si>
    <t xml:space="preserve">Se informa al interesado que el alcance de las intervenciones para el Factor de Calidad será ajustado en los documentos definitivos, en el sentido de aclarar que se tratan de intervenciones sobre vías existentes. Sin embargo, si producto de la ejeción de los Estudios de Detalle y Diseño Geometrico el Concesionaro requiere algún predio, su gestión y adquisición deberá estar a su cuenta y riesgo.
</t>
  </si>
  <si>
    <t xml:space="preserve">Teniendo en cuenta la observación, la Entidad  realizó los ajustes pertienentes del fondeo de la subcuenta predial, por lo que en la nueva versión la cual se publicará con los Pliegos Definitivos, podrá consultar los cambios y exigencias consignadas.
</t>
  </si>
  <si>
    <t xml:space="preserve">Respecto a las observaciones realizadas por el interesado, se informa que las mismas se encuentran definidas en la resolución vigente de peajes, con base en la cual se realizará la resolución asociada a este contrato. Se informa adicionalmente que en el Cuarto de Información de Referencia en la Carpeta H se encuentra la información de beneficiarios gestionados por la concesión anterior, la cual puede consultarse a título meramente informativo. 
</t>
  </si>
  <si>
    <t xml:space="preserve">A título informativo, para la capacidad del tramo Buga Loboguerrero Buenaventura considerado en los modelos de tráfico se considera que se construye en doble calzada completa en condiciones uniformes de capacidad de dos calzadas con dos carriles por sentido (2+2) en las condiciones de anchos de sección de la Ley 105 de 1993. La estación de peaje existente es Loboguerrero, y se proyecta la instalación de una caseta adicional en Calima, similar al proyecto IP Vía al Puerto. 
Puede encontrarse más información del mencionado proyecto en el proceso de contratación: https://www.contratos.gov.co/consultas/detalleProceso.do?numConstancia=16-20-1375
Se recomienda tener en cuenta que los escenarios de desarrollo futuro de esta vía pueden modificarse porque se encuentra en proceso de estructuración en desarrollo de una nueva concesión, situación que deberá ser considerada en la debida diligencia del oferente.
</t>
  </si>
  <si>
    <t xml:space="preserve">A título informativo, en la estructuración se hicieron documentos PAGA por cada corredor que componen 5 en donde se estimó aplicable este instrumento. La estrategia de gestión la definirá el Concesionario en el Plan de Trámites Ambientales de la Sección 4.1 del Apéndice Técnico 6, por lo tanto podrá definir el número de PAGAs a desarrollar.
</t>
  </si>
  <si>
    <t xml:space="preserve">A título informativo, en los casos de mantenimiento de compensaciones se estimaron tres años de la etapa de operación y mantenimiento, para esto pueden consultarse los anexos de cronogramas en las carpetas E2 del Cuarto de Información de Referencia, no obstante el oferente deberá adelantar los análisis que le permitan dimensionar esos periodos.
</t>
  </si>
  <si>
    <t xml:space="preserve">La estrategia de gestión de instrumentos ambientales la definirá el Concesionario en el Plan de Trámites Ambientales de la Sección 4.1 del Apéndice Técnico 6, incluyendo el número de PAGA a desarrollar así como la obtención de los permisos necesarios para las obras.
</t>
  </si>
  <si>
    <t xml:space="preserve">La estrategia de gestión de Licencias Ambientales la definirá el Concesionario en el Plan de Trámites Ambientales de la Sección 4.1 del Apéndice Técnico 6, incluyendo el número de licencias ambientales a tramitar.
</t>
  </si>
  <si>
    <t xml:space="preserve">Se responde con el entendimiento que la observación se refiere a la Sección 3.6(h) de la Parte Especial. Dicha sección regula la posibilidad de variación en el estado de cumplimiento de las obligaciones ambientales relacionadas con las licencias de los expedientes 1659, 1015 y 3423 antes del Acta de Inicio, en tal caso las obligaciones que se hayan cumplido con anterioridad podrán excluirse del objeto del Contrato siguiendo el procedimiento descrito en la Sección 3.6(h).
Se puede consultar en la carpeta E3 del Cuarto de Información de Referencia el estado de los últimos actos administrativos de seguimiento de esos expedientes.
</t>
  </si>
  <si>
    <t xml:space="preserve">Se informa al interesado que su entendimiento no es correcto. Los costos asociados a los acuerdos protocolizados que se transcriben en el Apéndice Técnico 1 son a cargo del Concesionario y no pertenecen a subcuentas compartidas. En el caso de nuevas consultas previas que se sujeten a las condiciones de la Sección 8.1(d) de la Parte General, una parte es cubierta por la ANI como se define en la misma Sección, y esa parte se fondea con los recursos de Obras Menores que se describe en la Sección 3.14(h)(x).
</t>
  </si>
  <si>
    <t xml:space="preserve">El detalle del CAPEX y OPEX del Proyecto hace parte del modelo financiero, y de acuerdo con la Ley 1508 de 2012, el modelo financiero estatal tendrá reserva legal. 
</t>
  </si>
  <si>
    <t xml:space="preserve">El Apéndice Técnico 2 en la Sección 3.3.9. Policía de Carreteras, fija las condiciones mínimas de actividades a coordinar con la Policía de Carreteras, así como bienes e insumos que como mínimo se incluirán en la Subcuenta Policía de Carreteras. Se aclara, en línea con la misma Sección, que el Concesionario establecerá un protocolo de coordinación con la Policía de Carreteras por lo cual la definición de cuales bienes e insumos así como su mantenimiento dependen de los acuerdos de ese protocolo hasta agotar la Subcuenta.
</t>
  </si>
  <si>
    <t xml:space="preserve">Se aclara que es el programa del alcance del contrato, es decir el exigido en el Apéndice Técnico 8 en la Sección 5.2.2.7 Programa de Arqueología Preventiva. La pertinencia de la parte del programa aplicable a las medidas de manejo acordadas en las consultas previas, en efecto se refieren a las obras de las Unidades Funcionales 3 y 4 según se define en el Capítulo IX en el título de cada sección de acuerdo, según corresponda a cada uno de los consejos comunitarios.
</t>
  </si>
  <si>
    <t xml:space="preserve">El entendimiento es correcto, aclarando que se refieren al Corredor del Proyecto por ser esta la obra en análisis en el proceso de consulta previa, y se tratan de las obligaciones relativas al componente ambiental de la Gestión Social y Ambiental del Contrato. En el contexto que el acta de protocolización de acuerdos de las observación corresponde a los consejos comunitarios San Isidro y Guabal, de las Unidades Funcionales 3 y 4, no se estima necesario hacer ajustes en el Apéndice Técnico 
</t>
  </si>
  <si>
    <t xml:space="preserve">La Resolución de Peajes se encuentra en revisión por parte del Ministerio de Transporte, y se  publicará tan pronto sea expedida y con suficiente antelación al cierre. Se aclara que la estructura tarifaria es similar a la Circular Externa No.001 del Instituto Nacional de Vías el 15 de enero de 2020 vigente actualmente para los peajes existentes en el Proyecto.
</t>
  </si>
  <si>
    <t xml:space="preserve">El alcance del tramo Cali Candelaria se regula de forma que una vez la Gobernación del Valle concluya las obras de la segunda calzada, este tramo surta la Entrega de la Infraestructura y en adelante el alcance de las Intervenciones a desarrollar por el Concesionario es de Puesta a Punto en ambas calzadas. En el evento en el que las obras a cargo de la Gobernación del Valle no puedan concluirse a tiempo, se incluyen las condiciones de Entrega de la Infraestructura de la Sección 3.6(f) de la Parte Especial.
Se aclara que los informes del Cuarto de Información de Referencia son anteriores a los contratos de obra pública de las vías, por lo cual puede tomarse la referencia de los dos contratos de la Gobernación del Valle relacionados en la Parte Especial para actualizar la información al respecto.
</t>
  </si>
  <si>
    <t xml:space="preserve">La intersección debe garantizar solución a todos los movimientos presentes en ese punto, debe considerarse en la debida diligencia que la Terminal Menga se encuentra construida con accesos operativos, en tal sentido la nueva intersección debe mantener o reponer los flujos con los que cuentan los accesos a la terminal.
</t>
  </si>
  <si>
    <t xml:space="preserve">Se aclara al interesado que la información del Cuarto de Información de Referencia se dispone a título meramente informativo tal como lo define la Sección 1.7 de los Pliegos de Condiciones. Las definiciones de las Intervenciones las hará el Concesionario en los Estudios de Detalle y únicamente se consideran como obligaciones las Especificaciones Técnicas de los Apéndices Técnicos.
</t>
  </si>
  <si>
    <t xml:space="preserve">Los criterios corresponden a la interpretación experta de las normas técnicas aplicables para cumplir con la Especificaciones Técnicas del Contrato. Al respecto se recomienda revisar, sin limitarse a ello, el MANUAL DE DRENAJE DE CARRETERAS, el Manual de Consultoría e Interventoría para estudios y diseños y gerencia de proyectos en INVIAS, en lo referente al contenido y alcance de los Estudios de Trazado y Diseño Geométrico y los Estudios de Detalle - Fase III, relacionados en el Apéndice Técnico 3.
</t>
  </si>
  <si>
    <t xml:space="preserve">Se aclara que es un error de transcripción de la tabla 6-3 del informe. En el anexo 10 (B112001) se muestran las tablas resumen de resultados, con la comprobación de que el gálibo es superior a 2,5 m. No obstante los análisis de adecuación de las obras deberán ser adelantados por el Concesionario para la presentación de la Oferta y con los Apéndices Técnicos durante el Contrato. 
</t>
  </si>
  <si>
    <t xml:space="preserve">Los archivos Ejecutables del Modelo HEC-RAS Para el Puente Guillermo Valencia se encuentran en la carpeta B41210 del Cuarto de Datos de Referencia. Se aclara que la información del Cuarto de Información de Referencia se dispone a título meramente informativo tal como lo define la Sección 1.7 de los Pliegos de Condiciones. No obstante los análisis de adecuación de las obras deberán ser adelantados por el Concesionario para la presentación de la Oferta.
</t>
  </si>
  <si>
    <t xml:space="preserve">Las definiciones de las Intervenciones en los puentes las hará el Concesionario en los Estudios de Detalle por lo cual debe adelantar los análisis necesarios para la presentación de la Oferta. La información del Cuarto de Información de Referencia se dispone a título meramente informativo tal como lo define la Sección 1.7 de los Pliegos de Condiciones, por lo tanto no se harán exclusiones de Intervenciones. 
</t>
  </si>
  <si>
    <t xml:space="preserve">En los casos en los que las vías que hacen parte de este proyecto crucen sobre otros corredores viales, mediante un paso superior, dicho paso deberá de ser incluido como parte de la infraestructura del proyecto.
</t>
  </si>
  <si>
    <t xml:space="preserve">Las obligaciones del alcance definido en las intersecciones son las consignadas en el Apéndice Técnico 1. La información del Cuarto de Información de Referencia se dispone a título meramente informativo tal como lo define la Sección 1.7 de los Pliegos de Condiciones. 
</t>
  </si>
  <si>
    <t xml:space="preserve">Se aclara al interesado que los Indicadores definidos para la Unidad Funcional 0 y los valores de aceptación y plazos de corrección para la Etapa Preoperativa, han sido establecidos de modo que sea viable su aplicación en los plazos definidos. Con la publicación del Pliego de Condiciones Definitivo, se dará mayor claridad sobre su obligación.  
De otra parte, se aclara que la Puesta a Punto es una de las intervenciones para llevar a cabo durante la Fase de Construcción, por lo que el resto de los indicadores de estado y demás obligaciones fijadas en el apéndice técnico 2 se medirán una vez se suscriba el Acta de Terminación de la UF o Acta de Termianción Parcial de UF.
</t>
  </si>
  <si>
    <t xml:space="preserve">Se aclara al interesado que dicha información corresponde a la debida diligencia a desarrollar por el Oferente para la presentación de la Oferta, incluida la definición que considere el Oferente sobre fuentes de materiales y zonas de disposición de sobrantes nuevas o existentes. Al respecto de zonas de disposición identificadas y fuentes de materiales existentes puede encontrar información en los volúmenes de geotecnia y geología, esta información estará disponible a título meramente informativo acorde con las condiciones de la Sección 1.7 Cuarto de Información de Referencia del Pliego de Condiciones.
</t>
  </si>
  <si>
    <t xml:space="preserve">La observación no se considera procedente porque esta regulación pretende que las demoras en la terminación de la Gestión Predial una vez terminadas las obras de construcción genere tanto Deducciones como suspensiones en la Retribución de forma progresiva que sirvan como apremio. Para ese momento el Proyecto se encontrará en momentos avanzados de la Fase de Construcción o en la Etapa de Operación y Mantenimiento, por lo cual se encuentra apropiado que las medidas de apremio sean disuasorias para reducir el riesgo de incumplimiento.
</t>
  </si>
  <si>
    <t xml:space="preserve">Se informa al interesado que no se acepta su solicitud. El procedimiento para los reembolsos de los recursos ANI se considera adecuado a las condiciones de verificación que requieren los recursos públicos, adicionalmente debe tenerse en cuenta que este procedimiento sólo aplica en los eventos de la Sección 7.2(d) es decir una vez se agote la Subcuenta Predios y se llegue a la segunda franja de compartición de costos, que es una situación en la que se espera una gestión de riesgos oportuna para reducir esos impactos.
</t>
  </si>
  <si>
    <t xml:space="preserve">Esta Sección establece plazos máximos, lo que no impide que si la complejidad del documento es menor este plazo se pueda reducir. Estando ya definido de forma permanente el Amigable Componedor no se considera necesario incluir más mecanismos de solución de conflictos.
</t>
  </si>
  <si>
    <t xml:space="preserve">Se informa al interesado que la definición y método de cálculo de la variable VPIP se encuentran en el Contrato Parte General en la Sección 1.194 y en la Sección 3.4, respectivamente. En cuanto a la definición del Valor del contrato y sus consideraciones de cálculo, se encuentra en la sección 1.188 del Contrato Parte General. Y en cuanto al Valor de la propuesta económica, será el correspondiente al que se oferte por el interesado, teniendo como límite máximo lo establecido en la sección 1.3.62 del Pliego de Condiciones y demás análisis que realice el interesado. 
</t>
  </si>
  <si>
    <t xml:space="preserve">Se informa al interesado que las condiciones de acreditación de experiencia se definen claramente en la Sección 4.2 de los Pliegos de Condiciones.
</t>
  </si>
  <si>
    <t xml:space="preserve">Se aclara al interesado que el recaudo del proyecto iniciará con el Acta Inicio del Proyecto toda vez que las casetas de peajes son existentes. 
</t>
  </si>
  <si>
    <t xml:space="preserve">Se aclara al interesado que la retribución de la totalidad de la misma va a realizarse mientras la unidad funcional esté vinculada al proyecto. Es decir, una vez revierta, ya se habrá retribuido en su totalidad. Por otro lado, el análisis contable asociado a esto, hará parte del análisis contable y tributario del concesionario dado que dependerá de los lineamientos que el mismo establezca. Las condiciones de distribución en el tiempo se definen en la Sección 4.1	Porcentaje de Participación de las Unidades Funcionales. 
</t>
  </si>
  <si>
    <t xml:space="preserve">Se aclara al interesado que las mismas hacen parte de la Cuenta Proyecto, puesto que tienen un comportamiento similar a la Subcuenta Predios, Subcuenta Compensacion Socioambiental, y Subcuenta Redes, a través de las cuales se ejecutan actividades por parte del Concesionario.
</t>
  </si>
  <si>
    <t xml:space="preserve">Deberá demostrarse la información previa a la ANI y a la Interventoría según las condiciones de la Sección 3.14 de la Parte General. Adicionalmente en el Apéndice Técnico 6 se regula el 4.5	 Informe de subcuenta de compensaciones socioambientales, que debe presentar el Concesionario para no objeción de la Interventoría.
</t>
  </si>
  <si>
    <t xml:space="preserve">En la Subcuenta Cambio Climático, según el numeral (3) el manejo de los recursos será responsabilidad exclusiva del Concesionario con la entidad cooperante, y según el numeral (2) los aportes serán única y exclusivamente para ejecución de programas de mitigación y adaptación al Cambio Climático según los lineamientos de la entidad cooperante. Dicho esto, las condiciones para ordenar el desembolso de recursos con cargo a esta subccuenta se definirán en los acuerdos que se establezcan entre el Concesionario y la entidad cooperante.
</t>
  </si>
  <si>
    <t xml:space="preserve">Las condiciones de entrega de los bienes e insumos será definida según el convenio que gestione el Concesionario y se describe en el Apéndice Técnico 4 3.3.9.1. Protocolo de Coordinación con la Policía de Carreteras. Se adoptará la figura que le permita al Concesionario cumplir con sus obligaciones de cobertura de seguros, mantenimiento, costos de combustible, supervisión de la distribución de los equipos, entre otros.
</t>
  </si>
  <si>
    <t xml:space="preserve">Los puentes peatonales se estimaron con estructuras típicas según la longitud de vanos, dado que no hay definición de ubicación, los costos se estimaron por rangos de aplicabilidad en los tramos en los que se definió incluir o trasladar pasos peatonales. Las tipologías estructurales utilizadas en la estructuración así como los datos disponibles de fundaciones se enceuntran en la carpeta D6 del Cuarto de Información de Referencia. Se aclara que esta información estará disponible a título meramente informativo acorde con las condiciones de la Sección 1.7 Cuarto de Información de Referencia del Pliego de Condiciones. 
</t>
  </si>
  <si>
    <t xml:space="preserve">El análisis geotécnico del deprimido se encuentra en el capítulo 2.5 del informe de geotecnia carpeta G23 del Cuarto de Información de Referencia. Se aclara que esta información estará disponible a título meramente informativo acorde con las condiciones de la Sección 1.7 Cuarto de Información de Referencia del Pliego de Condiciones. 
</t>
  </si>
  <si>
    <t xml:space="preserve">Las condiciones de la obtención del beneficio de la categoría especial diferencial se mantendrá de acuerdo con las actuales disposiciones. De otra parte, se espera publicar el borrador de Resolución para su consulta, en todo caso se espera contar con la expedición de la Resolución con antelación al cierre de la Licitación.
</t>
  </si>
  <si>
    <t xml:space="preserve">Se informa que las consultas que se realizaron a las autoridades ambientales sobre los estudios de factibilidad fueron todas pronunciadas en el sentido de no necesitar diagnóstico ambiental de alternativas, entre ellas por ser más relevante en la observación el trazado de la Avenida Bicentenario y la duplicación de calzada de la UF4. A título informativo estos antecedentes pueden consultarse en la Carpeta E del Cuarto de Información de Referencia.
</t>
  </si>
  <si>
    <t xml:space="preserve">Se aclara que no hay condiciones de distancias máximas. El Concesionario podrá determinar los puntos más convenientes según lo definido en la misma Sección 3.3.3.1.3 "... y trasladarlo al Área de Servicio más cercana o a algún taller mecánico ubicado en alguna población en la zona atendida por la carretera."
</t>
  </si>
  <si>
    <t xml:space="preserve">Se informa al interesado que se mantienen las obligaciones al Concesionario de control en las estaciones de peaje incluida la infraestructura tecnológica de los dispositivos SAST que cumplan con los requisitos de la Resolución 0718 del 22 de marzo de 2018, de forma que estos puedan ser utilizados por las autoridades de tránsito que correspondan para el control de infractores en las estaciones de peaje. Se aclara que acorde con la Ley 1843 de 2017, la competencia para expedir órdenes de comparendos es exclusivamente de las autoridades de tránsito y no del Concesionario. Es por ello que será la autoridad de tránsito quien realice las actividades relacionadas con la infracción y consultas de bases de datos, situación que se aclara en el Apéndice Técnico 1.
</t>
  </si>
  <si>
    <t xml:space="preserve">Podrán ser los mismos vehículos de vigilancia de las bases de operación, según determine el Manual de Operación definido por el Concesionario, para cumplir las obligaciones de resultado de Operación y Mantenimiento, especialmente de cumplimiento de los indicadores del Apéndice Técnico 4.
</t>
  </si>
  <si>
    <t xml:space="preserve">Las condiciones de operación requeridas serán como minimo lo estipulado en los Apéndces, especialmente en el Apendice Tecnico 8 - Social.
</t>
  </si>
  <si>
    <t xml:space="preserve">Esta definición corresponde al Plan de Trámites Ambientales que determine el Concesionario en función de los Estudios de Trazado y Diseño Geométrico y Diseños de Detalle que desarrolle el Concesionario por cuanto son determinantes en las áreas que definan al Corredor del Proyecto. Se informa que en el Cuarto de Información de Referencia, a título meramente informativo según las condiciones de la Sección 1.7 del Pliego de Condiciones, de manera preliminar no se identificaron reservas forestales para sustracción, no obstante, hay reservas naturales de la sociedad civil (La Cabaña) y reservas naturales regionales (El Vínculo) contiguas al Corredor del Proyecto que dependiendo de los Estudios de Trazado podrían afectarse.
</t>
  </si>
  <si>
    <t xml:space="preserve">Si bien la ANI y el anterior concesionario adelantaron las gesitiones pertienentes para culminar el cierre de las obligaciones, es posible que al momento del Acta de Inicio no se culminen todas, por lo que el Apéndice Técnico 6 Ambiental establece que será el nuevo Concesionario quien deberá asumir a su cuenta y riesgo la totalidad de las actividades de las licencias ambientales existentes dentro de los que se encuentran: 
- Informes de cumplimiento ambiental (ICA) hasta el cierre definitivo de las Licencias Ambientales 
- Pago por concepto de los seguimientos y cierres ambientales por parte de la autoridad ambiental competente hasta el cierre definitivo de las Licencias Ambientales. 
- Gestión y trámites requeridos para la modificación y/o cesión de las licencias ambientales  
- Pago por concepto de evaluación de tramites ambientales para la modificación, cesión y/o cierre de las Licencias Ambientales,entre otras. 
En cuanto las compensaciones forestales los expedientes 1659 (10000 individuos), 1015 (1010 individuos en compensación por la variante de Yotoco) y 3423 (3,66 ha y 795 árboles) tienen compensaciones forestales en etapa de mantenimiento. Estas actividades de mantenimiento son las enumeradas dentro de las obligaciones de la Tabla 2 del Apéndice Técnico 6, y su estadod e seguimiento más reciente puede consultarse en los actos administrativos de seguimiento que se encuentran en la Carpeta E3 del Cuarto de Información de Referencia.
</t>
  </si>
  <si>
    <t xml:space="preserve">Las coordenadas de los polígonos se incluyen en las certificaciones emitidas por el Ministerio del Interior en cada tramo que se encuentran en los anexos de la Carpeta E del Cuarto de Información de Referencia. Ahora bien, a título informativo, los tramos en los que el Ministerio no identificó comunidades se consultaron con franjas de 250 metros de ancho sobre las vías del Corredor del Proyecto.
</t>
  </si>
  <si>
    <t xml:space="preserve">Dicho predio (K0 + 751,81 K0 + 943,00 de la variante) en la última información disponible tiene pendiente fijar la entrega tras la solicitud al juez de acoger el avalúo definitivo para proceder a pago.
</t>
  </si>
  <si>
    <t xml:space="preserve">Se aclara que las licencias ambientales existentes y vigentes no cubren la totalidad del proyecto. El alcance de las licencias de los expedientes 1659, 1015 y 3423 se enuncia en la Tabla 2 del Apéndice Técnico 6 y puede consultarse en los expedientes respectivos, así como en la carpeta E3 del Cuarto de Información de Referencia. Los tramos de nueva construcción requieren licencias nuevas a tramitar por el Adjudicatario según las obligaciones de la Gestión Social y Ambiental.
</t>
  </si>
  <si>
    <t xml:space="preserve">En lo que refiere al LAM3423 se cargó en la carpeta E3 el Cuarto de Información de Referencia el Acta No. 49 de 2020 que es la más reciente disponible, la cual recoge el seguimiento del cumplimiento al Plan de Manejo Ambiental, otorgada mediante la Resolución 1496 del 28 de julio de 2006 y sus posteriores modificaciones, así como a los requerimientos realizados con posterioridad por la ANLA mediante los autos de control y seguimiento ambiental, teniendo en cuenta la información documental contenida en el citado expediente. Lo anterior a título meramente informativo según lo establecido en la Sección 1.7 del Pliego de Condiciones.
</t>
  </si>
  <si>
    <t xml:space="preserve">En lo que refeire al LAM1659 el último acto administrativo de seguimiento y más reciente disponible proferido por la ANLA corresponde al Auto 8198 de 2018 el cual está disponible para consulta en el Cuarto de Información de Referencia en la carpeta E3. Lo anterior a título meramente informativo según lo establecido en la Sección 1.7 del Pliego de Condiciones.
</t>
  </si>
  <si>
    <t xml:space="preserve">Se informa que la citada acta de seguimiento es un acto administrativo emitido por la Autoridad Ambiental es la más reciente disponible y se encuentra para consulta en la carpeta E3 en el Cuarto de Información de Referencia, en cuyo numeral 1 “Apertura de la reunión de control y seguimiento ambiental” del apartado III “Desarrollo Orden del Día” se lee que la reunión de seguimiento está reglada y se realiza en cumplimiento de lo señalado en el artículo 2.2.2.3.9.1 del Decreto Único Reglamentario del Sector Ambiente y Desarrollo Sostenible 1076 de 2015 y hace parte de las actividades de control y seguimiento ambiental para el proyecto perteneciente al expediente LAM1015 y su desarrollo tiene lugar acudiendo a lo establecido en el artículo 35 de la ley 1437 de 2011.
“Artículo 2.2.2.3.9.1. Control y seguimiento. Los proyectos, obras o actividades sujetos a licencia ambiental o plan de manejo ambiental, serán objeto de control y seguimiento por parte de las autoridades ambientales”.
Artículo 35. Trámite de la actuación y audiencias. Los procedimientos administrativos se adelantarán por escrito, verbalmente, o por medios electrónicos de conformidad con lo dispuesto en este Código o la ley.
Cuando las autoridades procedan de oficio, los procedimientos administrativos únicamente podrán iniciarse mediante escrito, y por medio electrónico sólo cuando lo autoricen este Código o la ley, debiendo informar de la iniciación de la actuación al interesado para el ejercicio del derecho de defensa.
Las autoridades podrán decretar la práctica de audiencias en el curso de las actuaciones con el objeto de promover la participación ciudadana, asegurar el derecho de contradicción, o contribuir a la pronta adopción de decisiones. De toda audiencia se dejará constancia de lo acontecido en ella.”
En el citado apartado la ANLA señala que en el acta también se relacionan las obligaciones cumplidas y concluidas para el periodo de seguimiento por lo que la diligencia correspondió al seguimiento del cumplimiento al Plan de Manejo Ambiental, de la Licencia Ambiental  y sus posteriores modificaciones, así como a los requerimientos realizados con posterioridad por la ANLA mediante los autos de control y seguimiento ambiental, teniendo en cuenta la información documental contenida en el expediente LAM3423. 
Lo anterior a título meramente informativo según lo establecido en la Sección 1.7 del Pliego de Condiciones. 
</t>
  </si>
  <si>
    <t xml:space="preserve">Se aclara al interesado que la cesión obligatoria de las licencias es sobre los tramos del alcance del Contrato. Es decir que los tramos fuera del Corredor del Proyecto no se consideran en las cesiones. Esta condición se define en la matriz de cesiones, si bien en el Apéndice Técnico 6 en la Tabla 1 se aclara que el tramo Buga-Mediacanoa no hace parte del Corredor del Proyecto.
También se aclara que la variante Yumbo sí hace parte de la Unidad Funcional 1.
</t>
  </si>
  <si>
    <t xml:space="preserve">La Entidad considera que los plazos establecidos son suficientes para la ejecución de las obligaciones asociadas específicamente a esta etapa por lo cual no proceden cambios.
</t>
  </si>
  <si>
    <t xml:space="preserve">
Si bien la ANI y el anterior concesionario adelantaron las gestiones pertienentes para culminar el cierre de las obligaciones, es posible que a diciembre de 2020 no se culminen todas, por lo que el Apéndice Técnico 6 Ambiental establece que será el nuevo Concesionario quien deberá asumir a su cuenta y riesgo la totalidad de las actividades de las licencias ambientales existentes dentro de los que se encuentran: 
- Informes de cumplimiento ambiental (ICA) hasta el cierre definitivo de las Licencias Ambientales 
- Pago por concepto de los seguimientos y cierres ambientales por parte de la autoridad ambiental competente hasta el cierre definitivo de las Licencias Ambientales. 
- Gestión y trámites requeridos para la modificación y/o cesión de las licencias ambientales  
- Pago por concepto de evaluación de tramites ambientales para la modificación, cesión y/o cierre de las Licencias Ambientales.   
- entre otras. 
Para información las resoluciones de las licencias y los actos administrativos de seguimiento se encuentran publicados en la carpeta E3 del Cuarto de Información de Referencia.
</t>
  </si>
  <si>
    <t xml:space="preserve">Las obligaciones frente a las licencias existentes son las consignadas en la Tabla 2 del Apéndice Técnico 2 y los actos de seguimiento de los expedientes se encuentran para consulta en la Carpeta E3 del Cuarto de Información de Referencia. Es pertinente aclarar que el Artículo 2.2.2.3.8.4 del Decreto 1076 de 2015 del 26 de mayo de 2015, señala que “El beneficiario de la licencia ambiental en cualquier momento podrá cederla total o parcialmente, lo que implica la cesión de los derechos y obligaciones de ella se deriva (…)” y no cesión de responsabilidades. Es así que la ANLA ha señalado en diferentes actos administrativos que “la normativa vigente no contempla alguna posibilidad de cesión de los procesos sancionatorios, los cuales tienen el carácter de intuito personae, por lo cual, la cesión de derechos y obligaciones de una Licencia Ambiental o de un Plan de Manejo Ambiental no implica per se la cesión de los procesos sancionatorios promovidos con ocasión de las infracciones ambientales derivadas de los instrumentos de manejo ambiental, por las que está llamado a responder el titular del instrumento para la época de los hechos”. Por ende, ni procesos sancionatorios, ni multas serán objeto de cesión al adjudicatario de la concesión.
</t>
  </si>
  <si>
    <t xml:space="preserve">Las condiciones de desarrollo del intercambiador fueron definidas por el municipio en configuración de deprimido, por tal motivo se incluye esta condición en las notas de la Tabla 7 del Apéndice Técnico 1.
</t>
  </si>
  <si>
    <t xml:space="preserve">Las condiciones de desarrollo del intercambiador fueron definidas por el municipio en configuración de deprimido, por tal motivo se incluye esta condición en las notas de la Tabla 29 del Apéndice Técnico 1.
</t>
  </si>
  <si>
    <t xml:space="preserve">Se informa al interesado que esta situación deberá preverla en su oferta de incorporación de bienes nacionales de forma tal que pueda dar cumplimiento a lo  ofrecido. En esta medida, no se acepta su observación. 
</t>
  </si>
  <si>
    <t xml:space="preserve">Se informa al interesado que la resolución de peaje se encuentra en trámite en el Ministerio de Transporte, y será publicada una vez se encuentre aprobada. De forma indicativa se informa que la estructura tarifaria de la resolución en trámite es similar a la existente actualmente en los mismos peajes según la circular 001 de 2020 de INVIAS.
</t>
  </si>
  <si>
    <t xml:space="preserve">Se informa al interesado que no se acepta su observación. La ANI considera que el plazo de 90 días requeridos para el reconocimiento de la compensación es suficiente y responde a las necesidades de los temas regulados.
 </t>
  </si>
  <si>
    <t xml:space="preserve">Se informa al interesado que estas obras serán entendidas como Obras Voluntarias, que serán desarrolladas por el Concesionario a su entera cuenta y riesgo. Así mismo, se aclara al interesado que los programas y proyectos de cambio climático no serán contabilizados para el límite de adiciones establecido en la Ley 1508 de 2012.
</t>
  </si>
  <si>
    <t xml:space="preserve">Se informa al interesado que su entendimiento es correcto, la actualización del inventario de activos se contabilizada en años calendario.
</t>
  </si>
  <si>
    <t xml:space="preserve">De acuerdo a la solicitud del interesado, es importante anotar que en el cuarto de datos se tiene información del Acta de Reversión de la anterior Concesión Malla Vial del Valle del Cauca, por lo que el oferente podrá calcular el deterioro de los equipos y de la infraestructura. Adicionalmente, en la carpeta J se publicó nueva información desde el momento en el que revirtió dicha infraestructura al INVIAS hasta este año. De otra parte, los Oferentes en la Debida Diligencia deberán conocer el actual estado de la Infraestructura. Finalmente, la Entidad amplió el plazo de la licitación, con el fin de que los diferentes interesados en el proyecto puedan gestionar los permisos y protocolos para realizar las actividades de campo que consideren pertinentes.
</t>
  </si>
  <si>
    <t xml:space="preserve">Esa definición corresponde al Plan de Trámites Ambientales del que trata la Sección 4.2 del Apéndice Técnico 6 y que será definido por el Concesionario incluso sobre el tipo de instrumento ambiental aplicable a cada tramo y a cada alcance, ya sea PAGA o Licencia Ambiental. A título meramente informativo puede consultarse los estudios ambientales de estructuración que se encuentran en la Carpeta E del Cuarto de Información de Referencia.
En el Apéndice Técnico 1 Sección 4.1 se aclara que las referencias en antecedentes a la prolongación de la Avenida Ciudad de Cali corresponden a la Avenida Bicentenario, esto por el cambio de nombre de este tramo definido por las autoridades municipales.
</t>
  </si>
  <si>
    <t xml:space="preserve">Se aclara al interesado que los documentos contenidos en el Cuarto de Información de Referencia se suministran únicamente a título informativo por lo tanto no se considera procedente modificar los parámetros de cálculo consignados en los informes de diseño del Cuarto de Información de Referencia. Corresponderá al Concesionario adelantar los estudios necesarios para la ejecución de las Intervenciones en el nivel de detalle requerido en el Contrato, y cumpliendo con lo dispuesto en los Apéndices Técnicos.
</t>
  </si>
  <si>
    <t xml:space="preserve">Se considera que las regulaciones de control y auditoría que definen la Sección 3.3.4 del Apéndice Técnico 2, y la definición de Sobrantes de la Sección 1.164 de la Parte General ya cubren el informe al que se refiere la solicitud.
</t>
  </si>
  <si>
    <t xml:space="preserve">No se considera procedente modificar lo establecido de condiciones y plazos de traslados y consignaciones de las sumas faltantes o en exceso de la Subcuenta Recaudo de Peaje. En cualquier caso en el caso que la suma consignada por el Concesionario a la Subcuenta Recaudo Peaje sea inferior a lo previsto, se generan los intereses moratorios hasta el pago de la diferencia.
</t>
  </si>
  <si>
    <t xml:space="preserve">Se analizó la observación y no se considera necesario modificar la redacción al tratarse de límites máximos de plazos para efectuar los traslados. Se aclara que los Sobrantes no acrecientan la retribución del Concesionario.
</t>
  </si>
  <si>
    <t xml:space="preserve">En efecto el Apéndice Técnico 5 en el Capítulo II identifica la mencionada interferencia con redes de alcantarillado de Aquaoccidente, se ajusta decribiendo que la interferencia es de cruces en la intersección Versalles. La información de estas interferencias se encuentran en la información suministrada por Aquaoccidente y que se consigna en la carpeta F del Cuarto de Información de Referencia. La verificación de las intereferencias de Redes identificadas corresponde la debida diligencia del Concesionario para la presentación de la Oferta. 
</t>
  </si>
  <si>
    <t xml:space="preserve">Se informa al interesado que su observación es tenida en cuenta parcialmente. La regulación prevista por el Contrato para la Fuerza Mayor Predial y Fuerza Mayor por Redes se considera suficiente y completa dadas las características del Proyecto, si bien en la Fuerza Mayor Predial se incluyen ajustes relativos a los tiempos para declarar el evento de Fuerza Mayor.
En cuanto a las demoras admninistrativas estas condiciones ya se encuentran consideradas en la Fuerza Mayor según la definición de la Sección 1.80 la cual es aplicable dentro de los trámites ante las Autoridades Estatales para el cumplimiento del objeto del Contrato. Respecto a las consultas previas se crea la Fuerza Mayor Social que sobre estos eventos y se incluye en la Sección 8,1 (i) de la Parte General.
</t>
  </si>
  <si>
    <t xml:space="preserve">Se informa al interesado que la Entidad ha incluido cambios en el Contrato que parcialmente corresponden con su observación. En la versión definitiva se incluye el Soporte de Ingresos que se regula en la Sección 3.4(b) de la Parte General y se incluyen los valores de este soporte en la Parte Especial.
No obstante se aclara que la naturaleza de los contratos de Asociación Público Privada (APP) involucra la retención y transferencia de riesgos entre las partes sin que exista una garantía de ingreso para el Concesionario, a diferencia de lo que ocurre con otras modalidades contractuales, como por ejemplo, la obra pública. Los contratos de APP son contratos aleatorios, lo que quiere decir que no existe equivalencia de prestaciones entre las Partes y algunos aspectos están sujetos a lo que pueda ocurrir en el futuro. En este caso, el alea del contrato consistente en no obtener el VPIP una vez vencido el plazo del mismo está a cargo del Concesionario y en esta medida, es un riesgo asumido por este. 
De acuerdo con lo anterior, el Adjudicatario suscribirá un contrato en donde aceptará expresamente asumir el riesgo de que, eventualmente, terminado el plazo del Contrato de Concesión no obtenga la totalidad del ingreso esperado, situación que es perfectamente compatible con proyectos de APP en el entorno internacional y con la legislación colombiana.
</t>
  </si>
  <si>
    <t xml:space="preserve">3.1 Se efectua la corrección a la referencia 8.1(g) en la Sección 3.2 del Apéndice Técnico 6.
3.2 Se aclara en los documentos definitivos el contenido del informe de ejecución e inversión de las compensaciones ambientales del que tratan los literales (d) y (m). Estos requisitos de contenido se fusionan en un sólo informe.
3.3. En efecto la regulación se encuentra repetida en el mismo capítulo por lo cual se corrige, se aclara que los plazos de presentación se rigen por el Plan de Trámites Ambientales y se consideran 5 Días para presentar observaciones de la interventoría.
3.4 Se harán las aclaraciones de los plazos de presentación del Plan de Trámites Ambientales en los documentos definitivos que se unifican con los plazos de la Parte Especial, en el sentido que esta es una herramienta que debe brindar una guía temprana para adelantar los trámites y gestiones necesarias para obtener los instrumentos ambientales para cada tipo de Intervención. 
3.5 La definición del Plan de Trámites Ambientales pretende que se tenga una planeación clara enfocada a obtener los instrumentos ambientales aplicables en cada Unidad Funcional y según el tipo de Intervención acorde con el desarrollo del Plan de Obras. Si bien existen obligaciones de recibir en cesión las licencias ambientales existentes y el cumplimiento de las obligaciones derivadas de esas licencias, no es correcto interpretar que se exigen las modificaciones de licencias y permisos porque esta determinación depende del mismo Plan de Trámites Ambientales al definir la estrategia más eficiente para la obtención de Licencias y Permisos. Este último aspecto no se considera una adición del programa 5G que imponga mayor carga de trámite para el inicio de las Intervenciones.
3.6 Las auditorías son una herramienta de control y vigilancia planteado para facilitar la detección de las acciones correctivas o preventivas para obtener los cierres ambientales sin mayor dilación.
3.7 El plazo mencionado corresponde a la Sección 5.4 (a) en caso de que no queden requerimientos ambientales pendientes de ejecutar o terminar y con el propósito de incluir el Cierre Ambiental en el Acta de Terminación de Unidad Funcional. Se aclara que los casos en los que haya obligaciones con fechas posteriores a la terminación de las obras se incluyen en la Sección 5.4 (b), caso en el que  habrá Cierre Ambiental Parcial y en el Acta de Terminación de Unidad Funcional constarán las actividades pendientes para el cierre ambiental con cronograma y costo. Por esta razón no se considera necesario modificar la redacción.
3.8 No es correcta la interpretación. Precede la Sección 6.1 que trata sobre el caso de Licencias y Permisos vigentes para la Etapa de Operación y Mantenimiento. Mientras que la Sección 6.2 se trata de los casos en los que tanto las licencias como los PAGA cubren únicamente la Fase de Construcción y para el momento de la Etapa de Operación y Mantenimiento se encontrarían cerrados. Por tal motivo, la Sección 6.2(a) inicia con la elaboración del PAGA para Operación y Mantenimiento. 
</t>
  </si>
  <si>
    <t xml:space="preserve">El Cuarto de Información de Referencia fue modificado el 21 de agosto de 2020 acorde con el aviso informativo 5. Con esta actualización se pusieron a disposición las carpetas y archivos relacionados en el índice del Cuarto de Información de Referencia.
</t>
  </si>
  <si>
    <t xml:space="preserve">La descripciones de la Entrega de la Infraestructura y el Acta de Inicio u Orden de Inicio ya se regulan ampliamente en el Contrato. Se aclara que como tal la puesta a disposición será efectuada mediante la suscripción del Acta de Inicio o expedición de la Orden de Inicio, por tal motivo no se considera procedente definir otro documento. Según las definiciones de la Parte General la Entrega de la Infraestructura se realiza con el Acta de Inicio u Orden de Inicio, y el Acta de Inicio tiene los plazos definidos dentro de los treinta (30) Días Hábiles siguientes a la suscripción del Contrato siguiendo las condiciones precedentes de Perfeccionamiento e Inicio de Ejecución del Contrato.
</t>
  </si>
  <si>
    <t xml:space="preserve">El caso expuesto por el interesado no existe dentro de las obligaciones del Contrato, por lo tanto no procede la solicitud.
</t>
  </si>
  <si>
    <t xml:space="preserve">Se aclara al interesado que al momento de la Reversión Especial de la Unidad Funcional 3 se terminará la Retribución asociada a esta en la medida en que la misma ya habrá sido retribuida en su totalidad para ese momento, así se refleja en el calendario de participación de las Unidades Funcionales de la Sección 4.1 de la Parte Especial a partir del Mes 103 contado desde la Fecha de Inicio. Tal como se describe en la Parte Especial en la Sección 3.10 de Reversión Especial, se aplicarán mutatis mutandi  las disposiciones de la Reversión definitiva de la Sección 9.7(d) de la Parte General durante el proceso de la Reversión Especial, por lo cual tal situación deberá ser tenida en cuenta en el análisis contable que deberá realizar cada proponente y el eventual adjudicatario respecto a esta condición. 
</t>
  </si>
  <si>
    <t xml:space="preserve">Se aclara al interesado que para que se entienda como revertido, todos los activos asociados a la Unidad Funcional 3, quedar a nombre de la ANI. De igual manera, se aclara al interesado que el futuro Concesionario deberá realizar los análisis respectivos en cuanto al tratamiento contable de los activos. 
</t>
  </si>
  <si>
    <t xml:space="preserve">Se informa al interesado que no se acepta su observación. La ANI y la Interventoría deberán pronunciarse expresamente frente a la verificación para que la misma se entienda aprobada, dada la importancia de este aspecto. No se aceptará el silencio positivo en la sección propuesta. 
</t>
  </si>
  <si>
    <t xml:space="preserve">Al respecto el interesado debe tener en cuenta que la construcción de parte de los tramos viales de la infraestructura existente son anteriores a la entrada en vigencia de la Ley 1228 de 2008, por lo que los anchos de faja corresponden con la normativa anterior a esa ley. Frente a las adquisiciones prediales realizadas en la concesión anterior y desde 2004 puede consultarse en la carpeta H405 y anexos del Cuarto de Información de Referencia los predios que conforman la faja de retiro, para los demás tramos en la carpeta E1 y anexos, y para las intersecciones Sameco y paso nacional por Palmira en la carpeta G. En cuanto a la aplicación de la Ley 1228 de 2008 para la gestión de la faja y los permisos otorgados que implican a redes de servicios públicos de terceros, incluidas las redes, se listan en los registros "Formato GCSP-F-117 Documentos y permisos resolución 063 de 2003" y "Formato GCSP-F-117 Documentos y permisos resolución 716 de 2015" que se puede consultar para cada uno de los tramos de la carpeta H del Cuarto de Información de Referencia.
La declaratoria de utilidad pública e interés social se encuentra en trámite de expedición de parte de ANI y se incluirá en los documentos definitivos.
</t>
  </si>
  <si>
    <t xml:space="preserve">A título informativo se indica que sí se incluyen rubros de administración en el OPEX de referencia. También en condición meramente infromativa, se indica que el OPEX de referencia incluye mantenimiento rutinario, mantenimiento periódico, seguimiento de indicadores, operación, atención al usuario, consumos de servicios públicos, actividades ambientales y sociales, equipos para la operación, y los aportes de las subcuentas que corresponden a la Etapa de Operación y Mantenimiento.
</t>
  </si>
  <si>
    <t xml:space="preserve">A título meramente informativo se indica que el CAPEX de referencia incluye rubros de actividades preliminares, cercado, demoliciones, movimientos de tierra, geotecnia, taludes y fundaciones, pavimentos, obras de arte, puentes, señalización, seguridad vial, ITS y peajes, iluminación, espacio público y paisajismo, edificaciones asociadas a la operación, plan de manejo de tránsito (PMT), AIU de EPC e IVA, consultoría e ingeniería, evaluación y seguimiento de las entidades ambientales, implementación de las medidas de manejo ambiental, costos de obligaciones y de consulta previa pendientes de licencias cedidas, compensaciones para comunidades, tasas ambientales, gestión predial, gestiones de redes, actividades sociales, implementación de planes de gestión y seguimiento, fondeo de las subcuentas del PA que corresponden al CAPEX, entre otros.
</t>
  </si>
  <si>
    <t xml:space="preserve">La definición de los pasos urbanos del Apéndice Técnico 1 se complementa en la versión definitiva incluyendo las coordenadas de referencia.
Los criterios de velocidad se indican para tener en cuenta en los análisis de diseño que deberá adelantar el Concesionario en cumplimiento de las Especificaciones Técnicas y se definen para conservar la velocidad de operación existente atribuida al corredor vial existente en condiciones de operación apropiadas para cada tramo. Por otro lado la asignación de velocidad para las zonas urbanas se deriva de la aplicación de las normas técnicas, en especial obedece a la presencia de sitios especiales según la resolución 1384 de 2010 por el paso de centros poblados al borde de la carretera entonces la definición de límites de estos sitios dependen de los estudios que adelante el Concesionario y que por ejemplo incluyen el paso por zonas urbanas y semiurbanas, paso por zonas recreacionales: balnearios, restaurantes, estaderos, sitios de atracción turística, según la norma. Por estos motivos no se considera necesario incluir más definiciones sobre velocidades en los pasos urbanos.
Respecto a los parámetros de diseño de los tramos La Herradura - Matapalo y Villa Rica - Caloto se informa que se incluyeron ajustes en el Apéndice Técnico 1 que delimita el alcance, especialmente a aprovechar la vía existente para el desarrollo de las Intervenciones.
</t>
  </si>
  <si>
    <t xml:space="preserve">Los alcances relativos a andenes, urbanismo, bocacalles y accesos son los que corresponden a la aplicación normativa que corresponde, específicamente para que la vía tenga conexiones y accesos con vías locales, para tal efecto especialmente el Manual de Diseño Geométrico y el Manual de Consultoría e Interventoría para estudios y diseños y gerencia de proyectos en INVIAS, en lo referente al contenido y alcance de los Estudios de Trazado y Diseño Geométrico y los Estudios de Detalle - Fase III para proyectos de vías relacionados en el Apéndice Técnico 3. Respecto a iluminación se delimita a conservar la existente, y para Redes aplica lo dispuesto en el Apéndice Técnico 5 y el CAPÍTULO VIII de la Parte General.
</t>
  </si>
  <si>
    <t xml:space="preserve">Las canalizaciones que se exigen en el Apéndice Técnico 2 se refieren a subterranización, y se requieren en todas las Unidades Funcionales del Proyecto.
</t>
  </si>
  <si>
    <t xml:space="preserve">Las condiciones de los carriles de cobro semiautomático serán definidas por el Concesionario según la Ley Aplicable y las Especificaciones Técnicas, esto no le impide adoptar las condiciones del sistema IP/REV regulado por el Ministerio de Transporte. Respecto al costo del lector y las comisiones, estos deben ser asumidos por el Concesionario.
</t>
  </si>
  <si>
    <t xml:space="preserve">Las coordenadas de los polígonos se incluyen en las certificaciones emitidas por el Ministerio del Interior en cada tramo, que se encuentran en la Carpeta E2 del Cuarto de Información de Referencia. Ahora bien, a título informativo, los tramos en los que el Ministerio no identificó comunidades se consultaron con franjas de 250 metros de ancho sobre las vías del Corredor del Proyecto.
</t>
  </si>
  <si>
    <t xml:space="preserve">Dicho predio (K0 + 751,81  K0 + 943,00 de la variante) en la última información disponible tiene pendiente fijar la entrega tras la solicitud al juez de acoger el avalúo definitivo para proceder a pago.
</t>
  </si>
  <si>
    <t xml:space="preserve">La observación no corresponde con la Sección señalada. En todo caso las regulaciones del Contrato relativos a la Gestión Predial corresponden con lo estipulado en el Capítulo XIII por lo cual no se estima procedente incluir modificaciones.
</t>
  </si>
  <si>
    <t xml:space="preserve">En las referencias de la tabla en mención se cita la fuente de información en los estudios y diseños del Paso Nacional Palmira de 2015, al tratarse de otro marco de estudios la referencia de abscisado difiere en cada proyecto aun cuando es el mismo tramo vial. Para claridad se puede consultar la fuente citada en la carpeta G11 en la que puede verificarse la ubicación de los ensayos. Se aclara que esta información estará disponible a título meramente informativo acorde con las condiciones de la Sección 1.7 Cuarto de Información de Referencia del Pliego de Condiciones. 
</t>
  </si>
  <si>
    <t xml:space="preserve">Las perforaciones adelantadas en el tramo Salida Palmira - Candelaria tienen como fin la caracterización aproximada del perfil estratigráfico del tramo. Se localizaron en zonas de cortes importantes. Se aclara que esta información estará disponible a título meramente informativo acorde con las condiciones de la Sección 1.7 Cuarto de Información de Referencia del Pliego de Condiciones. 
</t>
  </si>
  <si>
    <t xml:space="preserve">En el volumen geológico se identificaron zonas aptas pero no se gestionaron preacuerdos con los propietarios. Se aclara que esta información estará disponible a título meramente informativo acorde con las condiciones de la Sección 1.7 Cuarto de Información de Referencia del Pliego de Condiciones. 
</t>
  </si>
  <si>
    <t xml:space="preserve">Todos los tramos sujetos a Intervenciones, tanto la Infraestructura de Reversión Especial de la Tabla 25 del Apéndice Técnico 1 como los tramos del Factor de Calidad, serán objeto de la Entrega de la Infraestructura, en tal sentido desde el momento de la entrega hasta la Reversión Especial se incluyen las condiciones de Operación y Mantenimiento, al igual que en los demás tramos del Corredor del Proyecto.
</t>
  </si>
  <si>
    <t xml:space="preserve">La consulta incluyó varios corredores no incluidos en el alcance del proyecto y corredores con intervención de puesta a punto. Dentro de los corredores de nueva construcción no se identificaron sitios de interés. Los puntos de interés cercanos al corredor son el ramal Candelaria del Gasoducto de Occidente (PK1500-1400) - Corpoica y curso bajo del río Bolo en Palmira. De otra parte se precisa que el programa de arqueología preventiva no hace parte de la fase de estructuración.
</t>
  </si>
  <si>
    <t xml:space="preserve">Se encuentra la información de coberturas para la estimación de las necesidades de aprovechamiento forestal en las unidades funcionales 2 y 3. Se aclara que esta información estará disponible a título meramente informativo acorde con las condiciones de la Sección 1.7 Cuarto de Información de Referencia del Pliego de Condiciones. 
</t>
  </si>
  <si>
    <t xml:space="preserve">Está disponible la información de superposición gráfica de redes con interferencias para la estimación de traslados que toma como soporte la investigación de redes que se incluye en la Carpeta F. Esta información gráfica se complementará en el Cuarto de Información de Referencia. Se aclara que esta información estará disponible a título meramente informativo acorde con las condiciones de la Sección 1.7 Cuarto de Información de Referencia del Pliego de Condiciones. 
</t>
  </si>
  <si>
    <t xml:space="preserve">Se informa al interesado que el trazado con el que se desarrollaron las consultas previas es el que cuenta con la información de rasantes y secciones MV-C02-DG-PL-001-PP-MJ R1. Ahora bien, este trazado consultado incorpora el resultado de los análisis de impactos que se desarrollaron en las preconsultas y en las consultas mismas, que originaron ajustes en el trazado a saber:
- Entre las abscisas 3500 y 5000 se ajustó el alineamiento para alejar interferencias con construcciones de las zonas pobladas de Cascajal que afectan a la comunidad de Dos Aguas de Cascajal, de igual forma se ajustaron alineamientos en concordancia con las zonas de reserva previstas en los planes parciales y para rodear las zonas de contexto de la Hacienda el Carmen bien de interés cultural.
- En la abscisa 10500 ajuste del trazado para eliminar interferencias forestales de importancia para la comunidad de Bocas de Palo.
- En la abscisa 6500 ajuste de trazado para eliminar interferencia con el proyecto de vivienda VIP Santa Fé del Ministerio de Vivienda.
Respecto a la interferencia de líneas eléctricas, los estudios de estructuración consideran el traslado de las mismas tendiendo en cuenta las definiciones de aislamiento del RETIE, sin embargo esta definición deberá gestionarse con EMCALI porque la ubicación de la línea pretende utilizar el separador futuro de la vía, así mismo este sector tiene restricciones de ubicación al transcurrir por el eje de reserva de los planes parciales del sector. La materialización de la franja de separador al costado oriental del eje vial propuesto explica que la red de alta tensión se ubica en paralelo y a poca distancia.
</t>
  </si>
  <si>
    <t xml:space="preserve">Se informa al interesado que actualmente la vía cuenta con comunicación de fibra óptica comercial en las estaciones de peaje, esto se puede consultar con la información actualizada de peajes que se incluye en la carpeta "J" del Cuarto de Información de Referencia. Los postes SOS cuentan con equipos de comunicación celular, que se puede detallar en los formatos "GCSP-F-078 inventario equipos y dotación area de servicio_postes SOS" ubicados en la carpeta H por cada tramo del Cuarto de Información de Referencia. Finalmente, es importante manifestar que la información del Cuarto de Información de Referencia se incluye a título meramente informativo de acuerdo con las condiciones de la Sección 1.7 del Pliego de Condiciones.
Juan: Respuesta </t>
  </si>
  <si>
    <t xml:space="preserve">Se informa al interesado que no se cuenta con canalizaciones de fibra óptica exclusiva existente en el Corredor del Proyecto. Las canalizaciones de la fibra óptica son una obligación del Concesionario según la Sección 3.3.10. Centro de Control de Operaciones y Sistemas de Comunicación del Apéndice Técnico 2.
Juan: Respuesta </t>
  </si>
  <si>
    <t xml:space="preserve">Se informa al interesado que los inventarios de equipos, incluyendo los de ITS, se encuentran en los formatos GCSP-F-070 a GCSP-F-078, GCSP-F-021 a GCSP-F-112, GCSP-F-124 a GCSP-F-127 que se encuentran por tramo en la carpeta "H", así mismo la información actualizada del inventario de peajes en la carpeta "J" del Cuarto de Información de Referencia. Es importante manifestar que laa información del Cuarto de Información de Referencia se incluye a título meramente informativo de acuerdo con las condiciones de la Sección 1.7 del Pliego de Condiciones. 
De otra parte, la renovación es una definición que debe hacer el Concesionario para el cumplimiento de las Especificaciones Técnicas de los ITS establecidas en los Apéndices Técnicos, teniendo en cuenta también que según la Sección 13.2 (xiv) de la Parte General, es riesgo del Concesionario los efectos favorables y/o desfavorables derivados de las condiciones de la Entrega de la Infraestructura correspondiente al Proyecto, en el estado en que sea entregado por la ANI.
Juan: Respuesta </t>
  </si>
  <si>
    <t xml:space="preserve">Se aclara al interesado que según la Sección 3.3.4.3. Tecnología de Cobro y Control del Tráfico del Apéndice Técnico 2, es obligación del Concesionario la implantación de la tecnología IP/REV acorde con la Ley Aplicable en todos los peajes del Proyecto.
Juan: Respuesta </t>
  </si>
  <si>
    <t xml:space="preserve">Se informa al interesado que la ubicación de todas las estaciones de peaje corresponde a la actual por cuanto todas son estaciones existentes. La relación de los peajes se encuentra en la Sección 3,2 del Apéndice Técnico 1, y la ubicación, si bien es la existente, se encuentra en la resolución de peajes que será publicada junto con los Pliegos de Condiciones.
Juan: Respuesta </t>
  </si>
  <si>
    <t xml:space="preserve">Se aclara al interesado que respecto al CCO, las obligaciones según el Apéndice Técnico 1 Sección 5.1 son las de habilitar, reformar (si aplica), mantener y operar. Igualmente, según la Sección 3.3.10.1 del Apéndice Técnico 2 que se refiere al CCO, en la Etapa Preoperativa el Concesionario podrá emplear medios e infraestructura alternativa para cumplir con los requerimientos solicitados. Es decir, el Concesionario determinará si requiere de un CCO adicional provisional para cumplir con los requisitos solicitados o si con el actual es posible cumplirlos.
Juan: Respuesta </t>
  </si>
  <si>
    <t xml:space="preserve">Se aclara al interesado que acorde con el Apéndice Técnico 1, en la Sección 5.2 Estaciones de Pesaje, las seis estaciones de peaje relacionadas con su ubicación son todas existentes. Las obligaciones definidas en la misma Sección son de habilitar, reformar (si aplica), operar y mantener cómo mínimo, seis (6) Estaciones de Pesaje fijas.
Juan: Respuesta </t>
  </si>
  <si>
    <t xml:space="preserve">Se aclara al interesado que la Parte Especial define en la Sección 3.8 los plazos de las Fases de la Etapa Preoperativa. Los plazos individuales de cada Unidad Funcional se definen en la Parte Especial en la Sección 5.2 Programación de las Obras.
Juan: Respuesta </t>
  </si>
  <si>
    <t xml:space="preserve">Se informa al interesado que existe una subestación 75 KVA 34500/220 -127 en el CCO existente. La relación de las subestaciones, incluida su capacidad, existentes se puede consultar en los formatos GCSP-F-081 de la carpeta "H" la cual incluye en la información de "circuito de conexión" a cuales transformadores con número de nodo existen las conexiones. Se precisa que la información del Cuarto de Información de Referencia se incluye a título meramente informativo de acuerdo con las condiciones de la Sección 1.7 del Pliego de Condiciones. 
Por otra parte, la necesidad, número y características de las subestaciones nuevas deben ser definidas por el Concesionario en los Estudios de Detalle, para lo cual se recomienda tener en cuenta los tramos con requisitos obligatorios de iluminiación que incluyen al corredor Cali-Palmira según el Apéndice Técnico 1, y en las Áreas de Servicio, Estaciones de Peaje, intersecciones a nivel y a desnivel, paraderos y pasos peatonales según la Sección 6.3.4.Iluminación del Apéndice Técnico 2.
Juan: Respuesta </t>
  </si>
  <si>
    <t xml:space="preserve">Se informa al interesado que no se acepta su observación. El Concesionario está obligado a entregar al Interventor el Plan de Obras incluyendo el cronograma de las obras discriminado por Unidades Funcionales y la forma como se planearán las Intervenciones para finalizar las Unidades Funcionales en las fechas máximas previstas por la Parte Especial.
El mecanismo de plazo adicional sin sanciones se encuentra debidamente regulado en la Parte General y la ANI considera que ambas regulaciones son razonables. 
</t>
  </si>
  <si>
    <t xml:space="preserve">Se informa al interesado que no se acepta su observación. La Multa prevista en la Sección 6.1(f) busca conminar al Concesionario de forma tal que cumpla con las obligaciones correspondientes a la Gestión Social y Ambiental que le son exigibles de acuerdo con el Contrato. Esta Multa se entenderá sin perjuicio de las sanciones establecidas en la ley para el incumplimiento de obligaciones ambientales específicas. 
</t>
  </si>
  <si>
    <t xml:space="preserve">Se informa al interesado que no se acepta su observación. En caso de que el Concesionario adquiera mayor área a la requerida para el proyecto se causará una Multa por un valor equivalente al área adquirida en exceso, toda vez que eso excede el área requerida para el Proyecto. El hecho de no regular esta situación ha generado incentivos inadecuados en el Concesionario en el pasado haciendo un uso inadecuado de los Predios. En esta medida, la ANI considera que la Multa es razonable y necesaria.  
</t>
  </si>
  <si>
    <t xml:space="preserve">Las fechas se incluyen en las actas de procolización que están en el Cuarto de Información de Referencia en la carpeta I:
 * CC Bocas del Palo: 13.06.2019
 * CC San Isidro: 13.06.2019
 * CC Dos Aguas de Cascajal: 11.08.2019
</t>
  </si>
  <si>
    <t xml:space="preserve">En el evento en que sea requerida la adquisición de predios para adelantar las intervenciones ofrecidas como Factor de Calidad, el procedimiento para la adquisición y legalización de dichos predios será el establecido en el Contrato para tal efecto, incluyendo el Apéndice Técnico 7. Se aclara que el alcance estimado para las obras por factor de calidad se considerá dentro del corredor vial existente.
El Concesionario deberá contemplar dichos Predios dentro del Plan de Adquisición de Predios, su metodología de trabajo para adelantar la Gestión Predial y demás documentos requeridos por el Contrato. 
</t>
  </si>
  <si>
    <t xml:space="preserve">Se aclara al interesado que las diferencias podrán ser tratadas en un Comité Especial de Predios. La definición del comité y sus funciones se aclaran en el Apéndice Técnico 7.
</t>
  </si>
  <si>
    <t xml:space="preserve">Se aclara al interesado que la subcuenta de predios no tiene la compensación minera incluida, por lo que su reconocimiento no se realizará dentro del proceso de adquisición predial. Durante la estructuración no se identificó intervención alguna, además en linea con lo dispuesto a la modificación de la vía más alla de lo estipulado en el Parte Especial, hará que este riesgo este en cabeza del privado.
Los demás términos consultados en la observación, referidos al cálculo y a los acuerdos de la compensación, serán determinados por el Concesionario de acuerdo con el Artículo 59 de la Ley 1682 de 2013 y sus modificaciones.
</t>
  </si>
  <si>
    <t xml:space="preserve">Sólo podrán utilizarse los recursos de la Subcuenta Predios si dentro del Equipamiento Comunitario se requiere la adquisición de Predios a sus dueños y el pago a sus beneficiarios derivado de la ejecución del Plan de Compensaciones Socioeconómicas. Lo costos adicionales correspondientes a gestiones y cumplimientos de normas técnicas son a cuenta y riesgo del Concesionario.  
</t>
  </si>
  <si>
    <t xml:space="preserve">Se informa al interesado que dicho procedimiento se incluye en el capítulo Manejo de Equipamiento Comunitario del Apéndice Técnico 8, el cual se podrá observar dentro de los documentos del Pliego de Condiciones Definitivo. 
</t>
  </si>
  <si>
    <t xml:space="preserve">Se aclara que según la Sección 4.13 de la Parte General es a cuenta y riesgo del Concesionario los costos de las servidumbres, arrendamientos o adquisición de predios, construcción, mejoramiento y conservación de las vías de acceso a las fuentes de materiales y/o depósitos de sobrantes. Si para constituir la servidumbre se requiere la imposición administrativa, una vez agotada la negociación de parte del Concesionario con el titular del derecho real de dominio o el poseedor inscrito, este procedimiento se rige por lo dispuesto en el Decreto 1079 de 2015 tal como lo desarrolla la Sección 8.5 del Apéndice Técnico 7. Dado que es a cuenta del Concesionario, la misma Sección 8.5 faculta al Concesionario a solicitar la vía de imposición administrativa a la ANI.
</t>
  </si>
  <si>
    <t xml:space="preserve">Sólo podrán utilizarse los recursos de la Subcuenta Predios si dentro del Equipamiento Comunitario se requiere la adquisición de Predios a sus dueños y el pago a sus beneficiarios derivado de la ejecución del Plan de Compensaciones Socioeconómicas. Los costos adicionales correspondientes a gestiones y cumplimientos de normas técnicas son a cuenta y riesgo del Concesionario.  
</t>
  </si>
  <si>
    <t xml:space="preserve">Dichas estimaciones corresponden al oferente, para lo cual podrá tomar los estudios del Cuarto de Información de Referencia en las condiciones de la Sección 1.7 del Pliego de Condiciones.
</t>
  </si>
  <si>
    <t xml:space="preserve">En la carpeta 0AI dentro del capítulo 7 se incluye la estimación de crecimiento del PIB. Se aclara que el Cuarto de Información de Referencia es a título meramente informativo, en las condiciones de la Sección 1.7 del Pliego de Condiciones.
</t>
  </si>
  <si>
    <t xml:space="preserve">En tal caso se siguen las disposiciones de Gestión Predial que se definen en el Capítulo VII de la Parte General y en el Apéndice Técnico 7, así como lo aplicable en reasentamientos si llega a ser necesario según el Apéndice Técnico 8. Esa condición fue tenida en cuenta en las estimaciones de costos prediales y compensaciones socioambientales, y para las demoliciones en la estimación del CAPEX.
</t>
  </si>
  <si>
    <t xml:space="preserve">En la fase de estructuración de este proyecto se llevaron a cabo dos tipos de socializaciones, una que involucra a las autoridades municipales y departamentales que se concretan en convenios interadministrativos, la otra la que se enmarca en las consultas previas que se puede consultar en los elementos de certificación del Ministerio del Interior en los anexos de las carpetas del componente ambiental E2 y en las actas del proceso de consulta en la carpeta I. Se aclara que esta información estará disponible a título meramente informativo acorde con las condiciones de la Sección 1.7 Cuarto de Información de Referencia del Pliego de Condiciones.
</t>
  </si>
  <si>
    <t xml:space="preserve">Las caracterizaciones de impactos sociales se incluyen en los informes del componente ambiental de las carpetas E2, en especial se desarrollan los elementos socioeconómicos en las actividades suceptibles de generar impactos dentro de las matrices de evaluación de impactos para el general de tramos. En forma particular se desarrollaron las matrices de impactos sociales para las consultas previas que se encuentran anexas a las actas de la carpeta I. Se aclara que esta información estará disponible a título meramente informativo acorde con las condiciones de la Sección 1.7 Cuarto de Información de Referencia del Pliego de Condiciones.
</t>
  </si>
  <si>
    <t xml:space="preserve">Dentro de los anexos de las carpetas E2 se encuentran las consultas realizadas al Ministerio del Interior en las que el Ministerio expone la información de las comunidades étcnicas asentadas en el área de influencia y define los consejos comunitarios con los que es necesario adelantar la consulta previa. Acorde con el tipo de Intervención, la investigación e identificación de comunidades étnicas se extiende con más detalle en las unidades funcionales 3 y 4. Se aclara que esta información estará disponible a título meramente informativo acorde con las condiciones de la Sección 1.7 Cuarto de Información de Referencia del Pliego de Condiciones. 
</t>
  </si>
  <si>
    <t xml:space="preserve">Sí existen consejos comunitarios de comunidades negras sin titulación de tierras y se consignan en los certificados otorgados por el Ministerio del Interior que se encuentran en los anexos de las carpetas E2 de las unidades funcionales 3 y 4 que incluyen las certificaciones 0964 y 0965 de 2018, y la certificación 1043 de 2018.
</t>
  </si>
  <si>
    <t xml:space="preserve">Se informa al interesado que no se tiene conocimiento de comunidades étnicas en proceso de reconocimiento en el área de influencia de la infraestructura proyectada.
</t>
  </si>
  <si>
    <t xml:space="preserve">Se aclara que los sobrecostos de los acuerdos protocolizados son a cargo del Concesionario quien tiene la información suficiente en los alcances definidos en el contrato para evaluar el costo de esos acuerdos. En el caso que se requieran nuevas consultas previas de comunidades reconocidas por fallo judicial o certificadas por la Autoridad Estatal con posterioridad a la apertura del Proceso de Selección, si se cumplen las condiciones definidas en la Sección 8.1(d) serán compartidos con la ANI. 
</t>
  </si>
  <si>
    <t xml:space="preserve">Se informa al interesado que no es correcto su entendimiento. Acorde con lo dispuesto en la Sección 8.1(d) y 4,2(dd)(vi) de la Parte General, los costos de la Gestión Social y Ambiental para adelantar las nuevas consultas previas serán asumidos por el Concesionario. Los costos de los acuerdos protocolizados serán compartidos con la ANI sólo si se cumple con lo dispuesto en la Sección 8.1(d), de lo contrario son a cargo del Concesionario.
</t>
  </si>
  <si>
    <t xml:space="preserve">Los acuerdos protocolizados se encuentran trasncritos en el Capítulo IX del Apéndice Técnico 1 y las actas firmadas con los mismos acuerdos en la Carpeta I del Cuarto de Información de Referencia. En tales acuerdos se fijan los compromisos de compensaciones, sin embargo el cronograma se deberá definir en el plan de trabajo para la ejecución de los acuerdos y compromisos adquiridos con las comunidades étnicas, por parte del Concesionario acorde con la Sección 4.2(dd)(v) de la Parte General.
</t>
  </si>
  <si>
    <t xml:space="preserve">Las evidencias de las actas desarrolladas en las consultas previas se encuentran en la carpeta I del Cuarto de Información de Referencia. Se aclara que se incluyen todas las actas que demuestran la protocolización de las consultas y no sólo de preconsultas y talleres de impactos.
</t>
  </si>
  <si>
    <t xml:space="preserve">El Plan de Arqueología se deberá llevar a cabo según las condiciones de la Sección 5.2.2.7.4.1 del Apéndice Técnico 8, en ningún aparte del contrato se encuentra esta obligación condicionada a los pronunciamientos del ICANH en la etapa de estructuración.
</t>
  </si>
  <si>
    <t xml:space="preserve">Se aclara al interesado que la adjudicación es un único Contrato para todo el proyecto.
</t>
  </si>
  <si>
    <t xml:space="preserve">Se ha encontrado durante la verificación de información existente en el cuadro de datos que en la carpeta “H”, se tienen los siguientes faltantes en referencia a puentes peatonales existentes. Se solicita aclarar si esta información será suministrada.
H-H5-H5106  -  6. GCSP-F-064 inventario obras de drenaje-
H-H5-H5107  -  7. GCSP-F-065 inventario puentes (Carretero)-
H-H5-H5108  -  8. GCSP-F-066 inventario puentes peatonales-
H-H5-H5109  -  9. GCSP-F-068 inventario centros educativos-
H-H5-H51912  -  2. PUENTE PTONAL P VALLUNO -Presentación1-
H-H5-H51913  -  3 INTERSECCION GUACARI-
H-H5-H51916  -  6. PTE VEHICULAR SONSO -Layout1-
H-H5-H51917  -  7. PEATONAL VINCULO 1 -Layout1-
H-H5-H51918  -  8. PPEATONAL VINCULO 2 -Layout1-
H-H5-H51919  -  9. PEATONAL ZANJON HONDO -Layout1-
H-H5-H519370  -  T3 Puente peatonal La Nubia-
H-H5-H519371  -  T3 Puente peatonal Sena-
H-H5-H51975  -  Peatonal La Nubia-
H-H5-H51976  -  Peatonal Sena-
H-H5-H51977  -  Providencia Buga-
H-H5-H51978  -  Puente peatonal Amaime-
H-H5-H51979  -  Puente peatonal el Vinculo 1-
H-H5-H51980  -  Puente peatonal el Vinculo 2-
H-H5-H51981  -  Puente peatonal Pueblito Valluno-
H-H5-H51982  -  Puente peatonal Sonso-
H-H5-H51983  -  Puente peatonal Zanjon Hondo-
H-H5-H51984  -  Puente Rio Sabaletas-
H-H5-H51985  -  Variante Sonso-
H-H6-H61-4  -  4. GCSP-F-063 inventario muros (carretero)-
H-H6-H61-5  -  5. GCSP-F-064 inventario obras de drenaje-
H-H6-H61-6  -  6. GCSP-F-065 inventario puentes (carretero)-
H-H6-H61-7  -  7. GCSP-F-066 inventario puentes peatonales-
H-H6-H616-1  -  1. Puente Peatonal la dolores-
H-H6-H616-2  -  2. Puente Peatonal Caucaseco-
H-H6-H616-5  -  5. Puente Peatonal Guanabanal-
H-H6-H616-6  -  6. Puente Peatonal La Unión-
H-H7-H71-8  -  8. GCSP-F-066 Inventario puentes peatonales-
H-H7-H71-17  -  16.1. PLANOS RED IRD-
H-H7-H7111-3  -  Control Peatonal Deprimido Vijes-
H-H7-H7111-4  -  ControL Peatonal Mulalo-
H-H7-H7111-5  -  Control Peatonal Pelongo-
H-H7-H7111-6  -  ControL Peatonal San Marcos-
H-H7-H7111-7  -  ControL Peatonal Yotoco Carvajal-
H-H7-H7111-8  -  ControL Peatonal Yotoco-
H-H7-H7117  -  Peatonal Deprimido Vijes-
H-H7-H7118  -  Peatonal Mulalo-
H-H7-H7118-1  -  Ficha predial 001-
H-H7-H7119  -  Peatonal Pelongo-
H-H7-H7120  -  Peatonal San Marcos-
H-H7-H7120-1  -  Ficha predial 001-
H-H7-H7120-2  -  Ficha predial 002-
H-H7-H7120-3  -  predio 001-
H-H7-H7120-4  -  predio 002-
H-H7-H7121  -  Peatonal Yotoco-
H-H7-H7122  -  Peatonal Yotoco Carvajal-
H-H7-H7123  -  Variante Yumbo-
</t>
  </si>
  <si>
    <t>H-H3-H315 - 5. Formato GCSP-F-063 Inventarios murosH-H3-H316 - 6. Formato GCSP-F-064 Inventario obras de drenajeH-H3-H317 - 7. Formato GCSP-F-065 Inventario puentes (carretero)-
H-H3-H318 - 8. Formato GCSP-F-066 Inventario puentes peatonalesH-H4-H40542 - T2 Doble Calzada Candelaria, Int.Candelaria y peatonal CandelariaH-H4-H40543 - T2 Doble Calzada Sder de Quilichao Ye de VillaricaH-H4-H40544 - T2 Intersección CalotoH-H4-H40545 - T2 Intersección JamundíH-H4-H40546 - T2 Intersección Variante Sur Palmira y Vte.Sur PalmiraH-H4-H40547 - T2 Pte.Peatonal PrimaveraH-H4-H40548 - T2 Pte.Peatonal Seguro SocialH-H4-H40549 - T2 Pte.Peatonal Agua AzulH-H4-H40550 - T2 Pte.Peatonal ArrobledaH-H4-H40551 - T2 Pte.Peatonal CabuyalH-H4-H40552 - T2 Pte.Peatonal El BoloH-H4-H40553 - T2 Pte.Peatonal FanaH-H4-H40554 - T2 Pte.Peatonal GuacheneH-H4-H40555 - T2 Pte.Peatonal Perico NegroH-H4-H40556 - T2 Pte.Peatonal San IsidroH-H4-H40557 - T2 Pte.Peatonal San RafaelH-H4-H40558 - T2 Pte.Peatonal VeracruzH-H4-H40559 - T2 Pte.Peatonal VillaricaH-H4-H40560 - T2 Pte.Río BoloH-H4-H40561 - T2 Variante El BoloH-H4-H40562 - T2 Variante Puerto TejadaH-H4-H40563 - T2 Variante Villarica pl1-
H-H4-H40564 - T2 Variante Villarica pl2-
H-H4-H4063 - Peatonal San IsidroH-H4-H4064 - Puente peatonal Agua AzulH-H4-H4065 - Puente peatonal ArrobledaH-H4-H4066 - Puente peatonal Cabuyal-
H-H4-H4068 - Puente peatonal CandelariaH-H4-H4070 - Puente peatonal el BoloH-H4-H4072 - Puente peatonal GuacheneH-H4-H4073 - Puente peatonal Perico negroH-H4-H4074 - Puente peatonal PrimaveraH-H4-H4076 - Puente peatonal San RafaelH-H4-H4077 - Puente peatonal Seguro SocialH-H4-H4079 - Puente peatonal VeracruzH-H4-H4080 - Puente peatonal VillaricaH-H4-H4081 - Puente río BoloH-H4-H4112 - 2. PEATONAL FANA -Layout1-
H-H4-H4113 - 3. PEATONAL TERRANOVA -Layout1-
H-H4-H4114 - 4. YE VILLARRICA -Layout1-
H-H4-H4115 - 5 VTE ENT. VILLARRICA -Layout1-
H-H4-H4116 - 6. PEATONAL VILLARICA -Layout1-
H-H4-H4117 - 7 INT.SALIDA VTE VILLARRICA -Layout1-
H-H4-H4118 - 8. PEATONAL PRIMAVERA -Layout1-
H-H4-H4119 - 9 INT VTE PTO TEJADA ENTRADA -Layout1-
H-H4-H4120 - 10 INT.GUACHENE -Layout1-
H-H4-H4121 - 11. CONRINTO -Layout1-
H-H4-H4122 - 12 INT.PTO TEJADA SALIDA -Layout1-
H-H4-H4123 - 13. PEATONAL CABUYAL -Layout1-
H-H4-H4124 - 14. INT CANDELARIA -Layout1-
H-H4-H4125 - 15. PEATONAL CANDELARIA -Layout1-
H-H4-H4126 - 16. PEATONAL EL BOLO PTE-Layout1-
H-H4-H4127 - 17. INT.VARIANTE SUR -Layout1-
H-H4-H4128 - 18 Peatonal Sucromiles -Presentación1-
H-H5-H5104 - 4. GCSP-F-062 inventario cunetas (carretero)-
H-H5-H5105 - 5. GCSP-F-063 inventario muros (carretero)-
H-H5-H5106 - 6. GCSP-F-064 inventario obras de drenajeH-H5-H5107 - 7. GCSP-F-065 inventario puentes (Carretero)-
H-H5-H5108 - 8. GCSP-F-066 inventario puentes peatonalesH-H5-H5109 - 9. GCSP-F-068 inventario centros educativos-
H-H5-H51912 - 2. PUENTE PTONAL P VALLUNO -Presentación1-
H-H5-H51913 - 3 INTERSECCION GUACARIH-H5-H51916 - 6. PTE VEHICULAR SONSO -Layout1-
H-H5-H51917 - 7. PEATONAL VINCULO 1 -Layout1-
H-H5-H51918 - 8. PPEATONAL VINCULO 2 -Layout1-
H-H5-H51919 - 9. PEATONAL ZANJON HONDO -Layout1-
H-H5-H519370 - T3 Puente peatonal La NubiaH-H5-H519371 - T3 Puente peatonal SenaH-H5-H51975 - Peatonal La NubiaH-H5-H51976 - Peatonal SenaH-H5-H51977 - Providencia BugaH-H5-H51978 - Puente peatonal AmaimeH-H5-H51979 - Puente peatonal el Vinculo 1-
H-H5-H51980 - Puente peatonal el Vinculo 2-
H-H5-H51981 - Puente peatonal Pueblito VallunoH-H5-H51982 - Puente peatonal SonsoH-H5-H51983 - Puente peatonal Zanjon HondoH-H5-H51984 - Puente Rio SabaletasH-H5-H51985 - Variante SonsoH-H6-H61-4 - 4. GCSP-F-063 inventario muros (carretero)-
H-H6-H61-5 - 5. GCSP-F-064 inventario obras de drenajeH-H6-H61-6 - 6. GCSP-F-065 inventario puentes (carretero)-
H-H6-H61-7 - 7. GCSP-F-066 inventario puentes peatonalesH-H6-H616-1 - 1. Puente Peatonal la doloresH-H6-H616-2 - 2. Puente Peatonal CaucasecoH-H6-H616-5 - 5. Puente Peatonal GuanabanalH-H6-H616-6 - 6. Puente Peatonal La UniónH-H7-H71-8 - 8. GCSP-F-066 Inventario puentes peatonalesH-H7-H71-17 - 16.1. PLANOS RED IRDH-H7-H7111-3 - Control Peatonal Deprimido VijesH-H7-H7111-4 - ControL Peatonal MulaloH-H7-H7111-5 - Control Peatonal PelongoH-H7-H7111-6 - ControL Peatonal San Marcos-
H-H7-H7111-7 - ControL Peatonal Yotoco CarvajalH-H7-H7111-8 - ControL Peatonal YotocoH-H7-H7117 - Peatonal Deprimido VijesH-H7-H7118 - Peatonal MulaloH-H7-H7118-1 - Ficha predial 001-
H-H7-H7119 - Peatonal PelongoH-H7-H7120 - Peatonal San MarcosH-H7-H7120-1 - Ficha predial 001-
H-H7-H7120-2 - Ficha predial 002-
H-H7-H7120-3 - predio 001-
H-H7-H7120-4 - predio 002-
H-H7-H7121 - Peatonal Yotoco                                                                                                   H-H7-H7122 - Peatonal Yotoco Carvajal                                                                                                H-H7-H7123 - Variante Yumbo                                                                                                                 H-H7-H7124-2 - predio 001CH-H7-H713 - ANEXOS FORMATO GCSP-F-124_ PEAJE PASO LA TORREH-H7-H713-1 - 711-05-038861-2007 PERMISO VERTIMIENTOS TRAMO 5_ PEAJE PASO LA TORREH-H7-H713-2 - DT- VAL 45963 _OFICIO INVIAS A CORPORACIÓN_ TRAMO 5-
H-H7-H713-3 - RESOLUCION 0711 No. 711 TRAMO 5 CONCESIÓN DE AGUAS_ PEAJE PASO LA TORRE                                                                                                       H-H7-H713-4 - UTDVVCC-P-EPU-532-2018_ NOTIFICACION CESION DE PERMISOS TRAMO 5-
H-H7-H714 - PLANOS FORMATO GCSP-F-081_ INVENTARIO SISTEMA ELÉCTRICO (CARRETERO) -TRAMO 5-
H-H7-H714-1 - 1-INT A DESNIVEL SALIDA VAR YUMBO                                                    H-H7-H714-2 - 2-PEATONAL MATAPALO VAR YUMBO                                                         H-H7-H714-3 - 3-PTE VEHICULAR SOBRE RIO CAUCA                                                         H-H7-H714-4 - 4-INTERSECCION A DESNIVEL MULALOH-H7-H714-5 - 5-PEATONAL PELONGO                                                                                                           H-H7-H714-6 - 6-PEATONAL SAN MARCOS                                                                   H-H7-H714-7 - 7-PASO DEPRIMIDO VIJESH-H7-H714-8 - 8-PUENTE PEATONAL YOTOCOH-H7-H714-9 - 9- PUENTE PEATONAL YOTOCO-CARVAJALH-H8-H81-8 - 8. GCSP-F-066 inventario puentes peatonalesH-H8-H8129 - Peatonal AcequiaH-H8-H8130 - Peatonal Aeropuerto-
H-H8-H8131 - Peatonal MatapaloH-H8-H8133 - Peatonal Tres Esquinas-</t>
  </si>
  <si>
    <t xml:space="preserve">La definición del tipo de solución en deprimido es un parámetro solicitado por el municipio de Palmira, por lo tanto se debe considerar como condición obligatoria.
</t>
  </si>
  <si>
    <t xml:space="preserve">La información de presupuesto hace parte de la reserva legal del modelo financiero estatal de la que trata el artículo 11 de la Ley 1508 de 2012, por tal motivo no es información pública.
</t>
  </si>
  <si>
    <t xml:space="preserve">a) El cumplimiento de la Ley 105 de 1993 se refiere a las condiciones geométricas del artículo 13. En particular en los tramos de Puesta a Punto se define en las tablas de Características Geométricas y técnicas de Entrega de cada Tramo que los parámetros tales como anchos de carril, de berma y velocidad de diseño conservan los existentes.
i, ii y iv. En el alcance de Puesta a Punto, acorde con las tablas de Características Geométricas y técnicas de Entrega de cada Tramo, los anchos de calzada, de carril, bermas y separador son los de la vía existente, al igual que las curvas verticales. Las ampliaciones o modificaciones de la geometría y curvas verticales, de requerirse, son consecuencia de los Estudios de Detalle que desarrolle el Concesionario en los estudios de seguridad vial, la aplicación del SGSV y la vigilancia de los Indicadores definidos en el Apéndice Técnico 4.
En el Cuarto de Información de Referencia puede consultarse las dimensiones de la red existente en los planos plata-perfil de la carpeta H10, H11, H12, H13 y H14, en los planos de la carpeta K y en los listados de inventario de la carpeta J. Se informa que esta información estará disponible a título meramente informativo acorde con las condiciones de la Sección 1.7 Cuarto de Información de Referencia del Pliego de Condiciones.
iii y xiii. No se definen requisitos de dimensiones de obras hidráulicas ni descoles en la Ley 105 de 1993. Si se refiere a las dimensiones de la geometría vial el alcance se explica en los puntos i y ii de esta respuesta. En cualquier caso si se definen necesidades de nuevas obras de drenaje como consecuencia de los Estudios de Detalle, estas se realizarán con la Especificaciones Técnicas vigentes.
v. No hay regulación específica de juntas y barandas de puentes en la Ley 105 de 1993, si se refiere a las dimensiones de la geometría vial el alcance se explica en los puntos i y ii de esta respuesta. En todo caso deberá cumplir con los Apéndices Técnicos, especialmente el 2 y el 4.
vi. La obligación de canalización de fibra óptica según la Sección 3.3.10.1 del Apéndice Técnico 2 es específica en definir que es a lo largo de todas las vías. Las dimensiones del sobreancho de 1 m de ancho por 10 m de largo son las definidos para los postes SOS en la Sección 5.4(c) del Apéndice Técnico 1. 
vii. La renovación de la señalización dependerá de los inventarios de su estado y los Estudios de Detalle que desarrolle el Concesionario para el cumplimiento de las Especificaciones Técnicas, en especial las de Seguridad Vial del Apéndice Técnico 2 y del cumplimiento de los indicadores del Apéndice Técnico 4.
viii. Las estrategias para cumplir el Indicador E1 del IRI son definidas por el Concesionario en los Estudios de Detalle y puede aplicar diversos métodos de tratamientos estructurales o superficiales.
ix. Las decisiones de refuerzo o reemplazo sobre estructuras existentes dependerán de los Estudios de Detalle adelantados por el Concesionario con el cumplimiento de las Especificaciones Técnicas, en especial de la Sección "Estructuras y puentes" del Apéndice Técnico 2 y lo concernientes a estudios de Rehabilitación y Mejoramiento, así como lo definido en el Apéndice técnico 4. 
x. La renovación o conservación de los elementos ITS existentes dependerán de los Estudios de Detalle definidos por el Concesionario para el cumplimiento de las Especificaciones Técnicas, incluyendo las condiciones de Operación de las ITS definidas en el Apéndice Técnico 2 y los Indicadores del Apéndice Técnico 4. 
xi. No hay regulación específica de rampas de puentes peatonales en la Ley 105 de 1993, si se refiere a las dimensiones de la geometría vial el alcance se explica en los puntos i y ii de esta respuesta. Se aclara que según el Apéndice Técnico 1 en la Sección 5.5 los puentes peatonales existentes deben ser operados y mantenidos, al igual que los paraderos, por la concesión durante la vida útil del contrato, lo cual incluye las rampas de los puentes
xii. La renovación de los elementos de contención dependerá de su estado, por lo que el inventario y los Estudios de Detalle que desarrolle el Concesionario servirán para identificar y proyectar el cumplimiento de las Especificaciones Técnicas, en especial las de la Sección 6.3.3. del Apéndice Técnico 2 y del cumplimiento de los indicadores del Apéndice Técnico 4.
xiv. La renovación o conservación de la infraestructura de las estaciones de peaje, pesaje, centros de control de operación y las áreas de servicio existentes dependerán de los Estudios de Detalle definidos por el Concesionario para el cumplimiento de las Especificaciones Técnicas, incluyendo las condiciones de alcance del Apéndice Técnico 1, de Operación definidas en el Apéndice Técnico 2 y los Indicadores del Apéndice Técnico 4.
</t>
  </si>
  <si>
    <t xml:space="preserve">Se informa que la información del tramo del Factor de Calidad Villa Rica - Caloto se encuentra en la carpeta G5 del Cuarto de Información de Referencia.
Se informa que se incluyen aclaraciones en la Sección 7.2.1 del Apéndice Técnico 1, en cuanto a las especificaciones geométricas para admitir diferenciación de velocidad en los tramos urbanos y que se aproveche la franja vial existente.
De acuerdo con las especificaciones definidas en el Apéndice Técnico 1 en la Sección 7.2 del Apéndice técnico 1, estas vías permanecen en su categoría actual, es decir La Herradura - Matapalo es vía terciaria y Villa Rica - Caloto es vía secundaria, no hay aumentos de categoría que tenga impactos en la elusión. Se informa que el estudio de tráfico de la estructuración no contempla aumentos de capacidad o mejoramiento de estas vías al ser un alcance opcional cuya construcción depende del ofrecimiento que realicen los oferentes, no obstante esta condición puede ser analizada por el Oferente para evaluar su oferta del Factor de Calidad.
</t>
  </si>
  <si>
    <t xml:space="preserve">Se revisa la concordancia de esta disposición respecto a la regulación de la vigencia normativa y se incluye la aclaración en el Apéndice Técnico 2, en el sentido que el cambio de la Ley Aplicable que pudiese implicar a su vez un cambio en las Especificaciones Técnicas se regula por la Sección 4.11(f) de la Parte General para aclarar las condiciones de previsión de inversión.  
</t>
  </si>
  <si>
    <t xml:space="preserve">Se aclara que la afirmación del comentario no es correcta por cuanto la estimación del OPEX se fundamenta en la longitud del Corredor del Proyecto y no corresponde con las cantidades mencionadas en la observación. El Apéndice Técnico 2 establece el número mínimo de elementos y bases de operación, de tal forma que el Concesionario definirá la cantidad necesaria de elementos y de bases que le permitan cumplir los requisitos de Operación y Mantenimiento del Apéndice Técnico 2 y los Indicadores del Apéndice Técnico 4 incluidos los de tiempo de atención de incidentes y accidentes.
</t>
  </si>
  <si>
    <t xml:space="preserve">La dirección de acceso es la incluida en el documento ACCESO AL CUARTO DE INFORMACIÓN DE REFERENCIA publicado el 7 de abril de 2020 en los documentos del Proceso de Selección. Se aclara que la información contenida en dicho link, se encuentra actualizada.
</t>
  </si>
  <si>
    <t xml:space="preserve">Los tramos del eje Santander de Quilichao – Ye de Villa Rica – Intersección Candelaria – Intersección Acceso Sur Palmira – Intersección Cali-Palmira 5 se aclaran en el Apéndice Técnico 1, en efecto se agrega el tramo Acceso Sur Palmira – Intersección Cali-Palmira 5 a las descripciones de las características geométricas.
</t>
  </si>
  <si>
    <t xml:space="preserve">Las condiciones de Intervención del espacio público se listan en el Apéndice Técnico 1, debe tenerse en cuenta los estipulado para las Intersecciones de Sameco y del Paso Nacional por Palmira. Igualmente se debe tener en cuenta el cumplimiento del POT respecto a las especificaciones del espacio público en la Sección 2.1 y 3.1 del Apéndice Técnico 3. 
</t>
  </si>
  <si>
    <t xml:space="preserve">Sobre los paraderos existentes la intervención es de Puesta a Punto. Esto no exime que como consecuencia de los estudios de seguridad vial y del SGSV se requieran nuevos sitios de paraderos o su traslado para mejorar las condiciones de seguridad vial que se vigilan a través del SGSV y los Indicadores. Se aclara que no hay excepciones frente a la operación y mantenimiento de los paraderos, por lo tanto están incluidos dentro de las obligaciones del Concesionario, lo cual incluye el mobiliario de pérgolas y señales y las condiciones de iluminación de paraderos que se exigen en la Sección 6.3.4 del Apéndice Técnico 2.
</t>
  </si>
  <si>
    <t xml:space="preserve">1. Las consultas previas, de acuerdo con las certificaciones enumeradas en el Capítulo IX tienen alcances para la UF3 las comunidades de Dos Aguas de Cascajal, Bocas del Palo y San Isidro, y para la UF4 la comunidad de San Isidro. En esa condición debe entenderse la aplicación de los alcances de los acuerdos en las UF3 y UF4 respectivamente.
2. Los costos de los acuerdos protocolizados y transcritos en el Capítulo IX (las actas se pueden consultar en la Carpeta I del Cuarto de Información de Referencia), ya sean de la infraestructura proyectada o de las compensaciones, las cuales son a cargo del Concesionario. Al estar las condiciones ya definidas en los acuerdos protocolizados, la valoración del costo la puede hacer el Concesionario, además que se incluyeron dentro del valor del contrato, por lo tanto no se incluyen en la Subcuenta Compensaciones Socioambientales.
3. El entendimiento no es correcto. En los acuerdos protocolizados las "Medidas implementadas por el concesionario o ejecutor del proyecto" y el "componente ambiental" son obras de la infraestructura proyectada que hacen parte del alcance definido en el Capítulo IV del Apéndice Técnico 1 o son medidas de manejo a los impactos inherentes a esas obras, si bien acorde con los Estudios de Trazado y Diseño Geométrico y Estudios de Detalle podrían tener modificaciones siempre que sean suficientes para el manejo de los impactos identificados en la consulta previa. Al hacer parte estas obras del alcance de la infraestructura proyectada se incluyen en el Procedimiento de Verificación y en el Acta de Terminación de la Unidad Funcional respectiva. Se aclara que en los acuerdos se encuentran diferenciadas las "Medidas de compensación propuestas para ser implementadas por el consejo comunitario", las cuales tienen carácter de compensaciones, requieren aportes dinerarios del Concesionario y no hacen parte de la infraestructura proyectada para el Corredor del Proyecto.
</t>
  </si>
  <si>
    <t xml:space="preserve">Se aclara que las obligaciones de Mantenimiento del cercado incluyen en donde sea necesario reconstruir o construir el cercado faltante por cuanto es obligación del Concesionario implementar a su costo todas las medidas necesarias para la debida vigilancia y protección del corredor que se le ha entregado. Estas obligaciones se emnarcan en la defensa y protección del Corredor del Proyecto y la protección de la destinación legal de las Fajas que se especifica en la Sección 9.1(o) de la Parte General.
</t>
  </si>
  <si>
    <t xml:space="preserve">La Sección 3 Indicadores del Apéndice Técnico 4 indica las condiciones de:
- Concepto de Medición
- Normatividad Específica Aplicable
- Frecuencia Máxima de Medición
- Unidad de Medición
- Método de Medida
- Valor de Aceptación
Por lo cual se tiene referencia en el número de mediciones, tipología y frecuencia.
</t>
  </si>
  <si>
    <t xml:space="preserve">No se considera procedente la ampliación de los plazos, esto teniendo en cuenta que las obligaciones de Operación de la Unidad Funcional 0 empiezan con el Acta de Inicio. No obstante, la Sección 9.5(f) indica que el Manual de Operación y Mantenimiento podrá ser actualizado, revisado o modificado en cualquier momento posterior a su expedición.
</t>
  </si>
  <si>
    <t xml:space="preserve">La difusión por canales de emisora de radio debe estar habilitada para la Operación de la Unidad Funcional 0, para tal efecto se incluirán aclaraciones en la Sección 3.3.3.2.3 del Apéndice Técnico 2.
</t>
  </si>
  <si>
    <t xml:space="preserve">En razón a que las estaciones de pajes son existentes no se definen requisitos mínimos en cuanto a áreas y número de edificaciones por estación. Estas condiciones podrán ser definidas por el Concesionario en los Estudios de Detalle en función de sus propias condiciones de operación que cumplan con las Especificaciones Técnicas y los Indicadores.
A título informativo se puede consultar los planos de las áreas construidas de cada estación de peaje en la carpeta H10, H11, H12, H13 y H14, así como el inventario actualizado de equipos en la carpeta J del Cuarto de Información de Referencia.
</t>
  </si>
  <si>
    <t xml:space="preserve">Se confirma que la instalación del carril para cobro automático es por cada sentido de cobro autorizado en todas las estaciones de peaje.La definición acerca de involucrar un nuevo carril de cobro o adaptar alguno de los existentes estará fundamentada en los Estudios de Detalle del Concesionario en función del estudio de tráfico sobre la afluencia de usuarios en cada estación y los indicadores de cola de peaje O3 y O3-1 definidos en el Apéndice Técnico 4.
</t>
  </si>
  <si>
    <t xml:space="preserve">La metodología para la presentación, revisión y reconocimiento de ser aplicable de los sobrecostos adicionales a cargo de la ANI, o en su caso de los ahorros, en la implementación de nuevas tecnologías para recaudo electrónico de Peajes se desarrolla en la Sección 8.3(a) de la Parte General. Se aclara que "el hipotético caso que el Concesionario no hubiese implementado o instalado las nuevas tecnologías de acuerdo con los lineamientos actuales del contrato" sería un incumplimiento de las Especificaciones Técnicas y no daría lugar al procedimiento de reconocimiento de sobrecostos o ahorros por cambios de tecnología. En todo caso tanto en el eApéndice téncico 2 como en el 3, se referencia la actual resolución de peajes IP/REV.
</t>
  </si>
  <si>
    <t xml:space="preserve">Las condiciones de tipología de equipos, número de equipos y especificaciones podrán ser definidas por el Concesionario en los Estudios de Detalle para cumplir con las condiciones de vigilancia en la operación y en función de  las Especificaciones Técnicas y los Indicadores que se desarrollan en los Apéndices Técnicos, siempre que se cumpla con los mínimos establecidos para el Sistema de Control de Tráfico que se enumera en la Sección 3.3.5.1 del Apéndice Técnico 2.
Especialmente para los peajes el número de equipos dependerá de los Estudios de Detalle del Concesionario para el cumplimiento de los indicadores de cola de peaje O3 y O3-1 definidos en el Apéndice Técnico 4 y el cumplimiento de las normas relacionadas con el sistema IP/REV según la Ley Aplicable.
Se aclara que las codiciones de Sistemas de Control de Tráfico de los peajes de la Sección 3.3.5.1. no incluyen obligaciones para las estaciones de pesaje y áreas de servicio que se desarrollan respectivamente en las Secciones 3.3.8 y 3.3.3.4 del Apéndice Técnico 2, excepto lo relativo a las cámaras del CCTV.
A título informativo se puede consultar los planos de las áreas construidas de cada estación de peaje en la carpeta H10, H11, H12, H13 y H14, los inventarios de sistemas, software e infraestructura de los formatos GCSP-F-070, GCSP-F-071, GCSP-F-081, GCSP-F-082 y GCSP-F-123 de la carpeta H, así como el inventario actualizado de equipos en la carpeta J del Cuarto de Información de Referencia.
</t>
  </si>
  <si>
    <t xml:space="preserve">Tal como lo define la Sección 3.3.5.1 los puntos de monitoreo de tráfico, aparte de las estaciones de peaje, deberán ser definidos por el Concesionario en los Estudios de Detalle, por lo tanto corresponden a la debida diligencia del Oferente establecer ese dimensionamiento, para lo cual cuenta con información de tráfico, accidentalidad, seguridad vial e ITS que puede consultar po su cuenta o a título informativo en el Cuarto de Información de Referencia.
</t>
  </si>
  <si>
    <t xml:space="preserve">Se aclara que los equipos a entregar a la Policía de Carreteras sólo podrán tener este tratamiento si se incluyen en convenio a acordar con la Policía de Carreteras según la Sección 3.3.9 del Apéndice Técnico 2, y según ese convenio se imputan a la Subcuenta Policía de Carreteras. Las condiciones definidas como adicionales a los equipos e insumos que se entregan a la Policía de Carreteras son un costo del Concesionario a tener en cuenta en la infraestructura tecnológica necesaria para el control y vigilancia de la Operación del Proyecto yel cumplimiento de las Especificaciones Técnicas en especial las del SGSV del Apéndice Técnico 3 y los indicadores de tiempo de atención de incidentes, tiempo de atención de accidentes y emergencias, índice de mortalidad, principalmente.
</t>
  </si>
  <si>
    <t xml:space="preserve">Las condiciones de mínimos en cuanto a pasos peatonales a desnivel se listan en la Sección 5.5 del Apéndice Técnico 1, y en cuanto a pasos nacionales y obras especiales el Capítulo IV Infraestructura proyectada del Apéndice Técnico 1, no obstante estos mínimos, el Concesionario deberá considerar los dispositivos de control, señalización y de infraestructura necesarios para el cumplimiento de las condiciones de la Sección 3.3.7 mencionada en la observación, el SGSV del Apéndice Técnico 3 y el seguimiento de los Análisis de Concentración de Accidentes del indicador de índice de mortalidad del Apéndice Técnico 4.
</t>
  </si>
  <si>
    <t xml:space="preserve">El entendimiento no es correcto, la iluminación debe incluir todas y cada una de las Estaciones de Pesaje, Estaciones de Peaje, Centros de Control de Operación, intersecciones a nivel y a desnivel, paraderos y pasos peatonales y Áreas de Servicio, aun cuando las instalaciones de iluminación deban hacerse nuevas o se puedan utilizar en condiciones adecuadas las existentes con el debido mantenimiento.
En tanto que el tramo Cali-Palmira es diferente de las infraestructuras y puntos señalados en la Sección 6.3.4 es necesario especificarlo en el Apéndice Técnico 1.
A título informativo, los formatos GCSP F-081 del inventario eléctrico o del sistem eléctrico y sus anexos describen las instalaciones de iluminación existentes en el Corredor del Proyecto, y se encuentran en la Carpeta H del Cuarto de Información de Referencia.
</t>
  </si>
  <si>
    <t xml:space="preserve">1. Dado que el sistema de gestión de la seguridad vial – SGSV es para todas las Etapas del Contrato, este incluye a los tramos de Reversión Especial en la Etapa Preoperativa y a la Unidad Funcional 3 en la Etapa de Operación y Mantenimiento hasta que suceda la Reversión Especial.
Respecto de las otras preguntas, se informa lo sigiente:
1. Debido a que las condiciones de Operación son diferentes en cada Etapa, el SGSV debe considerar estrategias adaptadas a cada Etapa. Se aclara en el Apéndice las fechas de presentación de cada Etapa. Los tramos del Factor de Calidad no están cubiertos por el SGSV acorde con las definiciones de la Sección 7.2.1 del Apéndice Técnico 1.
2. El SGSV de la Etapa Operativa es para los tramos con Operación y Mantenimiento, por lo cual incluye la Unidad Funcional 3 durante esta Etapa hasta la Reversión Especial. Los demás tramos de Reversión Especial que no tengan Operación y Mantenimiento no requieren SGSV de la Etapa de O&amp;M, sin embargo en todo momento antes de concluir la Reversión Especial el Concesionario deberá continuar atendiendo las condiciones mínimas de transitabilidad y seguridad vial en esos tramos.
</t>
  </si>
  <si>
    <t xml:space="preserve">Se informa al interesado que las reuniones podrán ser coordinadas con el estructurador del proyecto, aunque se aclara que las condiciones y aspectos comentados en estas reuniones no prevalecen sobre los requisitos publicados en los documentos del Proceso de Selección.
</t>
  </si>
  <si>
    <t xml:space="preserve">El puente está identificado C05.2-01I dentro del anexo FICHA DE ACTUACIONES EN PUENTE NUEVO en la carpeta D5122 del Cuarto de Información de Referencia.  Esta información estará disponible a título meramente informativo acorde con las condiciones de la Sección 1.7 Cuarto de Información de Referencia del Pliego de Condiciones. Se aclara que la verificación de dicha información corresponde a la debida diligencia del Concesionario y será definida en los Estudios de Detalle.
</t>
  </si>
  <si>
    <t xml:space="preserve">Se encuentran dentro del anexo FICHA DE ACTUACIONES EN PUENTE EXISTENTE en la carpeta D5122 del Cuarto de Información de Referencia.  Esta información estará disponible a título meramente informativo acorde con las condiciones de la Sección 1.7 Cuarto de Información de Referencia del Pliego de Condiciones. Se aclara que la verificación de dicha información corresponde a la debida diligencia del Concesionario y será definida en los Estudios de Detalle.
</t>
  </si>
  <si>
    <t xml:space="preserve">Las mediciones de cantidades se consignan en el anexo FICHA DE ACTUACIONES EN PUENTE EXISTENTE que se encuentra para la UF2 en las carpetas D2123 y D2223, y para la UF4 en la carpeta D4121.  Esta información estará disponible a título meramente informativo acorde con las condiciones de la Sección 1.7 Cuarto de Información de Referencia del Pliego de Condiciones. Se aclara que la verificación de dicha información corresponde a la debida diligencia del Concesionario y será definida en los Estudios de Detalle.
</t>
  </si>
  <si>
    <t xml:space="preserve">En los informes de geología (Carpeta CI) se identifican las características de divagación del Río Cauca, así como la presencia de controles antrópicos en el cauce y la situación estable de los cruces existentes en las UF2 y UF4.  Se precisa que sta información estará disponible a título meramente informativo acorde con las condiciones de la Sección 1.7 Cuarto de Información de Referencia del Pliego de Condiciones. La profundización de estos análisis corresponde a la debida diligencia del Concesionario.
</t>
  </si>
  <si>
    <t xml:space="preserve">Las cuantificación se realiza a partir de las definiciones del diseño conceptual de protección del talud del informe CI3111 del Cuarto de Información de Referencia.  Esta información estará disponible a título meramente informativo acorde con las condiciones de la Sección 1.7 Cuarto de Información de Referencia del Pliego de Condiciones.
</t>
  </si>
  <si>
    <t xml:space="preserve">Dentro de las Características Geométricas y técnicas de Entrega de cada Tramo para vías a cielo abierto se especifica el tipo de Intervención, y en tal sentido las característias geométricas existentes corresponden únicamente con los alcances de Puesta a Punto y Rehabilitación tal como se describen en la Sección 6.2 del Apéndice Técnico 1. La aplicación de la Ley 105 de 1993 se refiere a las dimensiones geométricas y del POT a las secciones viales cuando sea necesario desarrollar subtramos nuevos o nuevos carriles.
</t>
  </si>
  <si>
    <t xml:space="preserve">Dentro de la carpeta K se encuentran los planos de la anterior concesión, en donde se refleja la configuración de la doble calzada en la Curva Don Otto.  Se aclara que esta información estará disponible a título meramente informativo acorde con las condiciones de la Sección 1.7 Cuarto de Información de Referencia del Pliego de Condiciones. No obstante, se informa al interesado que la  corrección de la curva don Otto deberá de ser objeto de los Estudios de Trazado y Diseño Geométrico y Estudios de Detalle a desarrollar por el Concesionario, según lo dispuesto en el Apéndice Técnico 1 y cumpliendo con los requerimientos estipulados en el Manual de Diseño Geométrico 2008 de INVIAS.
</t>
  </si>
  <si>
    <t xml:space="preserve">Dentro de los estudios de la carpeta G1 se encuentran los diseños geométricos de la Calle 42 que incluyen la intersección del Parque del Azúcar, el cual no es una glorieta.  Los planos y carteras están anexos a la carpeta G11043 del Cuarto de Información de Referencia.  Finalmente, precisamos que esta información estará disponible a título meramente informativo acorde con las condiciones de la Sección 1.7 Cuarto de Información de Referencia del Pliego de Condiciones.
</t>
  </si>
  <si>
    <t xml:space="preserve">La alternativa de la intersección con paso deprimido se encuentra en la carpeta G12 (2017 DISEÑOS MUNICIPIO DEPRIMIDO) del Cuarto de Información de Referencia. Esta información estará disponible a título meramente informativo acorde con las condiciones de la Sección 1.7 Cuarto de Información de Referencia del Pliego de Condiciones.
</t>
  </si>
  <si>
    <t xml:space="preserve">Se encuentran versiones de formatos abiertos en las carpetas K y G3 de la Variante El Bolo en el Cuarto de Información de Referencia.  Esta información estará disponible a título meramente informativo acorde con las condiciones de la Sección 1.7 Cuarto de Información de Referencia del Pliego de Condiciones.
</t>
  </si>
  <si>
    <t xml:space="preserve">Se aclara que la tabla Características Geométricas y técnicas para vías a cielo abierto UF2 define la Variante el Bolo de una calzada. La Tabla 5 se ajusta en correspondencia a la Tabla 1 y los cambios los podrá consultar con la publicación de los Pliegos Definitivos.
</t>
  </si>
  <si>
    <t xml:space="preserve">Se aclara en el Apéndice Técnico 1 la ubicación y requerimientos mínimos a cumplir por dichas Obras Especiales. No obstante, la configuración definitiva de estas Obras Especiales deberá de ser objeto de los Estudios de Trazado y Diseño Geométrico y Estudios de Detalle a desarrollar por el Concesionario.
</t>
  </si>
  <si>
    <t xml:space="preserve">Se informa que las Características Geométricas y Técnicas de Entrega para cada unidad funcional, recogidas en el Apéndice Técnico 1, corresponden a mínimos que deberán cumplir los Estudios de Trazado y Diseño Geométrico y Estudios de Detalle a desarrollar por el Concesionario. Dichos estudios deben de cumplir con la normativa establecida en el Apéndice Técnico 3.
Relativo a la UF4, en el proyecto de estructuración, los radios dsipuestos son amplios y permiten velocidades superiores a la velocidad de diseño del tramo homogéneo (80 km/h). Se aclara que la velocidad específica de una vía no sólo condiciona por las características geométricas de la vía, sino por las medidas de seguridad vial que se dispongan en la misma, lo cual es objeto de los Estudios de Trazado y Diseño Geométrico y Estudios de Detalle a desarrollar por el Concesionario.
</t>
  </si>
  <si>
    <t xml:space="preserve">Dentro de los estudios de la carpeta G1 se encuentran los diseños geométricos de la Calle 42 que incluyen la intersección del Parque del Azúcar, el cual no es una glorieta. Los planos y carteras están anexos a la carpeta G11043 del Cuarto de Información de Referencia.  Esta información estará disponible a título meramente informativo acorde con las condiciones de la Sección 1.7 Cuarto de Información de Referencia del Pliego de Condiciones por lo que en los Estudios de Detalle y Diseño Geometrico deberá cumplir con lo dispuesto en el Apéndice Técnico 1.
</t>
  </si>
  <si>
    <t xml:space="preserve">El diseño geométrico de la intersección SAMECO se encuentra en la carpeta G22 del Cuarto de Información de Referencia. Esta información estará disponible a título meramente informativo acorde con las condiciones de la Sección 1.7 Cuarto de Información de Referencia del Pliego de Condiciones por lo que en los Estudios de Detalle y Diseño Geometrico deberá cumplir con lo dispuesto en el Apéndice Técnico 1.
</t>
  </si>
  <si>
    <t xml:space="preserve">Se aclara que estos análisis hacen parte de la información que debe adelantar el Concesionario para la presentación de la Oferta al tratarse de un Factor de Calidad.
</t>
  </si>
  <si>
    <t xml:space="preserve">Se aclara en el Apéndice Técnico 1 que el alcance del tramo del Factor de Calidad se desarrolla en el corredor existente.
</t>
  </si>
  <si>
    <t xml:space="preserve">No se identifican condiciones a modificar frente a la aclaración solicitada, ya que el requisito de doble calzada no restringe que la solución a desarrollar sea en coronas independientes para cada calzada, por tal motivo es aplicable el tipo de intervención descrita en la consulta de duplicación de la calzada existente.
</t>
  </si>
  <si>
    <t xml:space="preserve">Se aclara que las condiciones de bermas no menciona ampliaciones a 2.0 metros. En cuando a la sección vial se debe tener en cuenta la sección vial urbana del POT al inicio del tramo en el perímetro urbano y la Ley 105 en la zona rural.  En cuando a la sección vial se debe tener en cuenta la sección vial urbana del POT al inicio del tramo en el perímetro urbano y la Ley 105 en la zona rural. En la nueva versión del apéndice podrá verificar las precisiones realizadas.
 </t>
  </si>
  <si>
    <t xml:space="preserve">En cuando a la sección vial, se debe tener en cuenta la sección vial urbana del POT al inicio del tramo en el perímetro urbano y la Ley 105 en la zona rural. En la nueva versión del apéndice podrá verificar las precisiones realizadas.
 </t>
  </si>
  <si>
    <t xml:space="preserve">Los diseños incluidos en el Cuarto de Datos son únicamente de referencia. El concesionario podrá adoptarlos sin perjuicio de lo dispuesto en el contrato y sus apéndices.
Respecto a los diseños realizados en la estructuración, relativos al tramo de vía Palmira - Candelaria, los planos de planta-perfil, de secciones transversales y carteras de diseño contienen la información del diseño de forma coherente por lo que no se comparte la apreciación el interesado.
</t>
  </si>
  <si>
    <t xml:space="preserve">Se informa que las coordenadas y longitudes expresadas en el Apéndice Técnico 1 son de referencia, pues será responsablidad del Concesionario ejectuar las intervenciones correspondientes a la longitud efectiva de acuerdo con el resultado de los Estudios de Detalle de Trazado y Diseño Geométrico.
No obstante, se informa que las coordenadas referentes a la Variante El Bolo, reflejadas en la tabla 5 del Apendice Tecnico 1, corresponden al tramo faltante. Así mismo, en la carpeta K del Cuarto de Datos de referencia se encuentran los planos de la anterior concesión, en formato editable, donde se puede consultar el tramo en cuestión.
</t>
  </si>
  <si>
    <t xml:space="preserve">Se informa que las coordenadas y longitudes expresadas en el Apéndice Técnico 1 son de referencia, pues será responsablidad del Concesionario ejectuar las intervenciones correspondientes a la longitud efectiva de acuerdo con el resultado de los Estudios de Detalle de Trazado y Diseño Geométrico.
Respecto a las coordenadas de los límites de intervención de la Intersección Guacarí, se corrigen en el Apéndice Tecnico 1 que se publicará con los Pliegos definitivos.
</t>
  </si>
  <si>
    <t xml:space="preserve">Se informa que en el Apéndice Técnico 1 definitivo se hace la corrección, por lo que en la nueva versión podrá consultarlo.
</t>
  </si>
  <si>
    <t xml:space="preserve">Los diseños hidrosanitarios del deprimido se encuentran en la carpeta G123 del Cuarto de Información de Referencia.
Los estudios desarrollados por el municipio de Palmira registran la revisión del operador Aquaoccidente, sin embargo la condición de aval debe ser verificada sobre los Estudios de Detalle y los Estudios de Trazado y Diseño Geometrico.
</t>
  </si>
  <si>
    <t xml:space="preserve">Se aclara que la definición de cunetas no es parte de los parámetros de las Características Geométricas y técnicas de entrega para vías a cielo abierto, por cuanto el drenaje longitunal obedece a la aplicación de las normas técnicas en los Estudios de Detalle, por lo tanto las mismas podrán ser incluidas según se desarrolle en los estudios y diseños del Concesionario.
</t>
  </si>
  <si>
    <t xml:space="preserve">Se informa que la apreciación es correcta, se pueden y se deben proyectar obras de drenaje longitudinal en los tramos en los que sea necesario, tal y como se recoge en el numeral 6.2 del Apéndice Tecnico 1.
</t>
  </si>
  <si>
    <t xml:space="preserve">Se aclara que los alcances mínimos de las intervenciones definidas como Rehabilitación o Puesta a Punto se encuentran recogidas en el numeral 6.2 del Apéndice Técnico 1. El Concesionario será responsable de elaborar los Estudios de Trazado y Diseño Geométrico y Estudios de Detalle que, con base en esos alcances mínimos, cumplan con lo dispuesto en el contrato y sus apéndices.
</t>
  </si>
  <si>
    <t xml:space="preserve">Se aclara que la información del proyecto de Estructuración que se encuentra en el Cuarto de Datos es referencial; el concesionario será libre de adoptarla, mejorarla y/o modificarla como estime oportuno sin perjuicio de cumplir con lo dispuesto en el contrato y sus apéndices.
</t>
  </si>
  <si>
    <t xml:space="preserve">Las obras de drenaje existentes y su estado se lista en los anexos de fichas de campo de los volúmenes de la carpeta B del Cuarto de Información de Referencia.  Esta información estará disponible a título meramente informativo acorde con las condiciones de la Sección 1.7 Cuarto de Información de Referencia del Pliego de Condiciones. Se confirma que los estudios de estructuración contemplaron presupuestos de rehabilitación de obras de drenaje, y en los casos de mal estado o falta de capacidad, el reemplazo, si bien la mayor parte se identificó en buen estado.  Estos análisis deberán ser verificados por el Concesionario en la debidad diligencia para la presentación de la Oferta y cumplimiento de los Apéndices, especialmente los indicadores del Apéndice Técnico 4.
</t>
  </si>
  <si>
    <t xml:space="preserve">Los Estudios contenidos en la carpeta G fueron realizados por externos (alcaldía de Palmira, alcaldía de Cali, etc.) y fueron tenidos en cuenta para elaborar el presupuesto y cuantificar las obras incluidas en la futura concesión. Dichos Estudios son referenciales y podrán ser adoptados, ajustados y/o modificados por el concesionario como estime oportuno sin perjuicio de cumplir con lo dispuesto en el contrato y sus apéndices, por tanto, es responsabilidad del concesionario elaborar los Estudios de Trazado y Diseño Geométrico y los Estudios de Detalle con el nivel de detalle necesario (FASE III) para llevar a cabo las actuaciones y obras dispuestas en el contrato.
</t>
  </si>
  <si>
    <t xml:space="preserve">Los anexos llamados "Fichas de campo_OD" para la UF1 se encuentran dentro de los anexos de las carpetas B112 y B122 para la Unidad Funcional 1 en el Cuarto de Información de Referencia.  Esta información estará disponible a título meramente informativo acorde con las condiciones de la Sección 1.7 Cuarto de Información de Referencia del Pliego de Condiciones.
</t>
  </si>
  <si>
    <t xml:space="preserve">Las obras de drenaje existentes y su estado se lista en los anexos de fichas de campo de los volúmenes de la carpeta B del Cuarto de Información de Referencia. Se confirma que los estudios de estructuración contemplaron presupuestos de rehabilitación de obras de drenaje, y en los casos de mal estado o falta de capacidad el reemplazo, si bien la mayor parte se identificó en buen estado. Estos análisis deberán ser verificados por el Concesionario en la debida diligencia para la presentación de la Oferta. 
</t>
  </si>
  <si>
    <t xml:space="preserve">El tramo faltante de la Variante El Bolo es el puente cuyos diseños se pueden consultar en la carpeta G3 del Cuarto de Información de Referencia.  Esta información estará disponible a título meramente informativo acorde con las condiciones de la Sección 1.7 Cuarto de Información de Referencia del Pliego de Condiciones. Los tramos construidos corresponden con diseños de 2006, la construcción se realizó hasta el año 2018 y hasta el momento no se ha abierto a operación, por lo cual se puede constatar en sitio el estado de las obras dado que su circulación es de libre acceso para cualquier interesado.
</t>
  </si>
  <si>
    <t xml:space="preserve">El tramo inicial de la Unidad Funcional 3 discurre por una zona semiurbana en la que la ciudad de Cali tiene previsto desarrollar crecimiento urbano según su POT. Por ello se indica en la tabla 15 del Apéndice Técnico 1 que el trazado y la franja debe cumplir lo dispuesto en el POT municipal y contar con la aprobación de la autoridad municipal en tramos urbanos.
Como consecuencia, el Concesionario deberá conciliar los Estudios de Trazado y Diseños Definitivos con la autoridad municipal y tener en cuenta lo dispuesto en el POT, referente a drenaje en este caso.
</t>
  </si>
  <si>
    <t xml:space="preserve">Se aclara que en los acuerdos protocolizados las "Medidas implementadas por el concesionario o ejecutor del proyecto" y el "componente ambiental" son obras de la infraestructura proyectada que hacen parte del alcance definido en el Capítulo IV del Apéndice Técnico 1 o son medidas de manejo a los impactos inherentes a esas obras, si bien acorde con los Estudios de Trazado y Diseño Geométrico y Estudios de Detalle podrían tener modificaciones siempre que sean suficientes para el manejo de los impactos identificados en la consulta previa. Al hacer parte estas obras del alcance de la infraestructura proyectada se incluyen en el Procedimiento de Verificación y en el Acta de Terminación de la Unidad Funcional respectiva. Se aclara que en los acuerdos se encuentran diferenciadas las "Medidas de compensación propuestas para ser implementadas por el consejo comunitario", las cuales tienen carácter de compensaciones, requieren aportes dinerarios del Concesionario y no hacen parte de la infraestructura proyectada para el Corredor del Proyecto.
</t>
  </si>
  <si>
    <t xml:space="preserve">Se aclara que la información contenida en el Cuarto de Datos es referencial y el concesionario podrá adoptarla, modificarla y/o complementarla sin perjuicio de cumplir los alcances del contrato y sus apéndices.
En el documento MV-C03-ST-IF-001-R0 se encuentra (numeral 8.3.3) un apartado dedicado al análisis de socavación.
El análisis de divagación del cauce deberá de ser objeto de los Estudios de Detalle a realizar por la Concesionaria en la Etapa Preoperativa.
</t>
  </si>
  <si>
    <t xml:space="preserve">Se aclara que el alcance del tramo Cali (Sameco) - Glorieta Cencar es de Puesta a Punto sin ampliaciones, tal como se define en el Apéndice Técnico 1. Se aclara que el alcance de la infraestructura proyectada es la definida en el Apéndice Técnico 1, razón por la cual el Cuarto de Información de Referencia es únicamente a título informativo según las condiciones definidas en la Sección 1.7 del Pliego de Condiciones.
</t>
  </si>
  <si>
    <t xml:space="preserve">En la carpeta B51208 se encuentran la "lista completa de OD", las "Fichas de campo de OD" y la "Tabla completa de odt".
La información contenida en el Cuarto de Datos es referencial y el concesionario podrá adoptarla, modificarla y/o complementarla sin perjuicio de cumplir los alcances del contrato y sus apéndices.
</t>
  </si>
  <si>
    <t xml:space="preserve">Para la UF4 las obras existentes se listan en la fichas de campo del Anexo 4, la estimación de rehabilitación se encuentra en el Anexo 11 para el tramo Jamundí - Av Bicentenario (se denomina intersección trompeta en esa versión), en el compendio de anexos de la carpeta B412 del Cuarto de Información de Referencia.
Para la UF5 el tramo Glorieta Las Américas - Yumbo (Paso Nivel) se identifica Las Américas - Yumbo dentro de los listados Descripción Obras de Drenaje Transversal ODT del Anexo 8. No se identifican obras de rehabilitación, excepto los mantenimientos que se estiman en ese concepto. Los anexos se encuentran en la carpeta B512 del Cuarto de Información de Referencia.  Finalmente, se precisa que esta información estará disponible a título meramente informativo acorde con las condiciones de la Sección 1.7 Cuarto de Información de Referencia del Pliego de Condiciones.
</t>
  </si>
  <si>
    <t xml:space="preserve">Se incluyen las fichas de inspección de box y pontones en el volumen VIII en carpeta G5-8 del Cuarto de Información de Referencia. Se precisa que esta información estará disponible a título meramente informativo acorde con las condiciones de la Sección 1.7 Cuarto de Información de Referencia del Pliego de Condiciones. Se aclara que estos análisis hacen parte de la información que debe adelantar el Concesionario para la presentación de la Oferta.
</t>
  </si>
  <si>
    <t xml:space="preserve">La información disponible de los puentes existentes en la carpeta G5-8 del Factor de Calidad del Cuarto de Información de Referencia corresponde con inspecciones de su estado actual. Se precisa que esta información estará disponible a título meramente informativo acorde con las condiciones de la Sección 1.7 Cuarto de Información de Referencia del Pliego de Condiciones. Teniendo en cuenta el alcance de las Intervenciones en cuando al ancho de calzada dichos puentes deberán ser ampliados, reforzados o reemplazados según determine la debida diligencia y Estudios de Detalle del Concesionario, para esto podrá considerar la tipología de puente nuevo y verificar el cumplimiento de las condiciones hidráulicas de tales obras.
</t>
  </si>
  <si>
    <t xml:space="preserve">El alcance es el definido en la Sección 4.7 del Apéndice Técnico 1, considerando que las definiciones del alcance de la Intervención de Construcción son los descritos en la Sección 6.2(ii) del Apéndice Técnico 1.
</t>
  </si>
  <si>
    <t xml:space="preserve">La definición de las Intervenciones sobre las obras hidráulicas son consecuencia de los Estudios de Detalle que adelantará el Concesionario siempre que se cumplan los alcances de Mejoramiento exigidos en el tramo con la aplicación de las Especificaciones Técnicas del Apéndice Técnico 3 y las demás obligaciones de los Apéndices Técnicos.
</t>
  </si>
  <si>
    <t xml:space="preserve">En cada volumen de estudio en los que se generaron cantidades para estimar las Intervenciones se involucraron las mismas en el Cuarto de Información de Referencia. Se aclara que el alcance de la infraestructura proyectada es la definida en el Apéndice Técnico 1, razón por la cual el Cuarto de Información de Referencia es únicamente a título informativo según las condiciones definidas en la Sección 1.7 del Pliego de Condiciones.
</t>
  </si>
  <si>
    <t xml:space="preserve">La necesidad de incluir modificaciones en las redes existentes debe ser determinada por el Concesionario según las condiciones de operación que le permitan cumplir las Especificaciones Técnicas y las obligaciones de Operación y Mantenimiento.
</t>
  </si>
  <si>
    <t xml:space="preserve">Se informa que los planos y datos de redes reportados por los prestadores y empresas propietarias de servicios públicos se encuentran en la carpeta F del Cuarto de Información de Referencia. Esta información incluye redes existentes así no se hayan identificado interferencias en los tramos de Puesta a Punto y Rehabilitación. No obstante, se aclara que corresponde al oferente la verificación y debida diligencia de identificación de interferencias con Redes.
</t>
  </si>
  <si>
    <t xml:space="preserve">Se informa que dentro de los anexos de la carpeta F del Cuarto de Información de Referencia se encuentran para consulta las actas de hallazgos y planos, los cuales reflejan el resultado del cruce de los trazados analizados en la estructuración de los tramos de nueva construcción y mejoramiento con las redes informadas por las empresas de servicios públicos y las inspecciones de campo. Esta información incluye redes existentes así no se hayan identificado interferencias en los tramos de Puesta a Punto y Rehabilitación. No obstante, se aclara que corresponde al oferente la verificación y debida diligencia de identificación de interferencias con Redes.
</t>
  </si>
  <si>
    <t xml:space="preserve">El riesgo de Redes para las vías del Factor de Calidad debe ser considerado por el Oferente entendiéndose que el ofrecimiento para mayor puntaje no es un requisito obligatorio de la oferta, y dado que ambos tramos son vías existentes se considera que el nivel de riesgo por interferencias de Redes puede ser gestionado por el Concesionario dados las Intervenciones reguladas por la ANI para dichos tramos. En cualquier caso el riesgo de Redes existe en aquellas que sean afectadas con el Proyecto, por lo cual el Concesionario cuenta con elementos de gestión que le permitan proponer los Estudios de Trazado y Diseño Geométrico y Estudios de Detalle para reducir esas afecciones. Se informa adicionalmente que las condiciones de la Sección 7.2 respecto al alcance de las vías del Factor de Calidad se ajustan en las versiones definitivas, las cuales se publicarán con los Pliegos Definitivos, admitiendo condiciones geométricas y de alcance que permitan aprovechar el corredor vial existente.
</t>
  </si>
  <si>
    <t xml:space="preserve">Los tramos del Factor de Calidad se entenderán incorporados al alcance del Contrato, en todos sus aspectos excepto las definiciones particulares de riesgos detallados en la Sección 3.11 de la Parte Especial. Las obligaciones del Factor de Calidad incluyen las relacionadas con la Redes según las descripciones del Apéndice Técnico 5 y de la Sección 8.2 de la Parte General principalmente. 
Respecto a la Fuerza Mayor, la Sección 3.11 de la Parte Especial es explícita en reflejar este mecanismo en las fuerzas mayores predial, por redes, ambiental y social para el Factor de Calidad conforme a las Secciones 7.4, 8.1 (h), 8.1(i) y 8.2 (i) del Contrato Parte General.
</t>
  </si>
  <si>
    <t xml:space="preserve">Se aclara que la Sección 3.11(c) de la Parte Especial es explícita en definir que para efectos de las Intervenciones del Factor de Calidad no son aplicables las asignaciones de riesgos del Contrato y el riesgo de Redes debe ser asumido por el Concesionario, en tal sentido no pueden utilizarse los instrumentos regulados en la Sección 8.2(h) que acuden a la Subcuenta Redes que no es aplicable al Factor de Calidad. Se aclara que los trámites relacionados con el Plan de Redes de los tramos del Factor de Calidad estando a cargo del Concesionario pueden incluir en los convenios con los titulares de las Redes afectadas las herramientas definidas en la Ley Aplicable, en especial las del Capítulo III de la Ley 1682 de 2013 y el ARTÍCULO 50. ASIGNACIÓN DE LOS COSTOS DE PROTECCIÓN, TRASLADO O REUBICACIÓN DE ACTIVOS Y REDES.
</t>
  </si>
  <si>
    <t xml:space="preserve">Se informa que la carpeta G5-7 ya se encuentra disponible en el Cuarto de Información de Referencia. Se aclara que esta información estará disponible a título meramente informativo acorde con las condiciones de la Sección 1.7 Cuarto de Información de Referencia del Pliego de Condiciones. 
</t>
  </si>
  <si>
    <t xml:space="preserve">Se aclara en el Apéndice Técnico 1 las coordenadas (referenciales) de inicio y final del Paso Nacional Sonso. Por otro lado, respecto al Cuarto de Información de Referencia, las estimaciones de Intervenciones en los pavimentos de pasos nacionales se asimilaron a las condiciones de tráfico y estructurales de los tramos contiguos, y se aclara que al verificación y análisis de las Intervenciones para cumplir los alcances definidos corresponden a la debida diligencia del Concesionario para la presentación de la Oferta. Así mismo, en el Cuarto de Información de referencia se ha actualizado el KMZ de consulta a título informativo. 
</t>
  </si>
  <si>
    <t xml:space="preserve">Se aclara que las Intersecciones se incluyen el alcance obligatorio con todos los ramales existentes, esta delimitación es explícita en la tabla 7 y corresponde con los límites referenciados en las coordenadas. Por otro lado, respecto al Cuarto de Información de Referencia, las estimaciones de Intervenciones en los pavimentos de las intersecciones se asimilaron a las condiciones de tráfico y estructurales de los tramos contiguos, y se aclara que al verificación y análisis de las Intervenciones para cumplir los alcances definidos corresponden a la debida diligencia del Concesionario para la presentación de la Oferta.
</t>
  </si>
  <si>
    <t xml:space="preserve">Se aclara que la Tabla 5 define los alcances generales de Intervenciones de la Unidad Funcional por cuanto este abarca el eje principal del proyecto. Para dar mayor precisión a la definición de alcances se detalla en la Tabla 9 el alcance específico de los pasos nacionales como indica el título de la tabla, los cuales corresponden a Rehabilitación y Mantenimiento Periódico. Por otro lado, respecto al Cuarto de Información de Referencia, las estimaciones de Intervenciones en los pavimentos de pasos nacionales se asimilaron a las condiciones de tráfico y estructurales de los tramos contiguos, y se aclara que al verificación y análisis de las Intervenciones para cumplir los alcances definidos corresponden a la debida diligencia del Concesionario para la presentación de la Oferta.
Así mismo, en el Cuarto de Información de Referencia se ha actualizado el KMZ de consulta a título informativo.
</t>
  </si>
  <si>
    <t xml:space="preserve">El alcance final del tramo Salida Palmira - Pradera es contar con una doble calzada contínua desde el punto en el que actualmente hay doble calzada hasya la intersección Bulldozer, para ello en los estudios de referencia se formula la construcción de la segunda calzada, por lo cual no se evidencian incongruencias para aclaración. Respecto a la intersección, dado que en ese punto ya existe una intersección y se plantean Intervenciones de aumento de capacidad de la misma que permitan mejorar el nivel de servicio con la doble calzada, el alcance es de Mejoramiento.
</t>
  </si>
  <si>
    <t xml:space="preserve">Se aclara que las Intersecciones incluyen el alcance obligatorio con todos los ramales existentes, esta delimitación es explícita en la tabla 12 y corresponde con los límites referenciados en las coordenadas. Por otro lado, respecto al Cuarto de Información de Referencia, las estimaciones de Intervenciones en los pavimentos de las intersecciones se asimilaron a las condiciones de tráfico y estructurales de los tramos contiguos, y se aclara que al verificación y análisis de las Intervenciones para cumplir los alcances definidos corresponden a la debida diligencia del Concesionario para la presentación de la Oferta.
</t>
  </si>
  <si>
    <t xml:space="preserve">Se aclara que la Tabla 5 define los alcances generales de Intervenciones de la Unidad Funcional por cuanto este abarca el eje principal del proyecto. Para dar mayor precisión a la definición de alcances se detalla en la Tabla 13 el alcance específico de los pasos nacionales como indica el título de la tabla, los cuales corresponden a Rehabilitación y Mantenimiento Periódico. Por otro lado, respecto al Cuarto de Información de Referencia, las estimaciones de Intervenciones en los pavimentos de pasos nacionales se asimilaron a las condiciones de tráfico y estructurales de los tramos contiguos, y se aclara que al verificación y análisis de las Intervenciones para cumplir los alcances definidos corresponden a la debida diligencia del Concesionario para la presentación de la Oferta.
Así mismo, en el Cuarto de Información de Referencia se ha actualizado el KMZ de consulta a título informativo.
</t>
  </si>
  <si>
    <t xml:space="preserve">Se aclara respecto a los alcances que tanto la Variante El Bolo definida en la Tabla 11 como el paso nacional El Bolo definido en la Tabla 13 están en el alcance del Proyecto y ambos deberán ser considerados por el interesado para la presentación de la Oferta. Se informa que la Variante El Bolo se encuentra construida sin operación faltando la conexión del puente sobre el Río Bolo, para información se incluye en la carpeta G3. Se aclara que esta información estará disponible a título meramente informativo acorde con las condiciones de la Sección 1.7 Cuarto de Información de Referencia del Pliego de Condiciones. 
</t>
  </si>
  <si>
    <t xml:space="preserve">La Tabla 16 es explícita en definir el alcance de Construcción y Mantenimiento Periódico para la Intersección a desnivel Av. Bicentenario - Vía Cali - Puerto Tejada y la Intersección Av. Bicentenario - Vía Ye de Villa Rica - Jamundí, por lo tanto este alcance define los requisitos técnicos a considerar.
Por otro lado, respecto al Cuarto de Información de Referencia, las estimaciones de Intervenciones en los pavimentos de las intersecciones se asimilaron a las condiciones de tráfico y estructurales de los tramos contiguos, y se aclara que al verificación y análisis de las Intervenciones para cumplir los alcances definidos corresponden a la debida diligencia del Concesionario para la presentación de la Oferta.
</t>
  </si>
  <si>
    <t xml:space="preserve">Se aclara que los análisis de Intervenciones del tramo La Herradura-Matapalo hacen parte de la información que debe adelantar el Concesionario para la presentación de la Oferta al tratarse de un Factor de Calidad.
</t>
  </si>
  <si>
    <t xml:space="preserve">Se informa que la fibra óptica se estimó en canalización subterranizada a lo largo de toda la Unidad Funcional 1, para el desarrollo del informe se refiere como corredor 01 y se incluyen criterios de redundancia en la red, este supuesto de cálculo se explica en los informes consignados en la carpeta F del Cuarto de Información de Referencia, no obstante el análisis de estos dimensionamientos corresponde a la debida diligencia del interesado para la presentación de la Oferta.
</t>
  </si>
  <si>
    <t xml:space="preserve">Se informa que las redes eléctricas tienen estimaciones en los informes consignados en la carpeta F del Cuarto de Información de Referencia para los sectores en los que se identificaron interferencias en el paso nacional por Palmira, entre ellos también en los tramos de Reversión Especial de Palmira-Pradera y Palmira-Candelaria. Para la Unidad Funcional 1 no se identificaron interferencias en los tramos de Puesta a Punto. No obstante el análisis de estos dimensionamientos corresponde a la debida diligencia del interesado para la presentación de la Oferta.
</t>
  </si>
  <si>
    <t xml:space="preserve">La información disponible de redes para la infraestructura proyectada del paso nacional por Palmira se encuentra en la Carpeta G1 del Cuarto de Información de Referencia. Se informa que en los estudios existentes no se definieron cruces semafóricos en la intersección Versalles. Los conceptos utilizados para la ubicación de cámaras PTZ en el corredor para los dispositivos CCTV en la Unidad Funcional 1 se encuentran en los informes de los corredores 1 y 13 de la carpeta F del Cuarto de Información de Referencia. No obstante el análisis de estos dimensionamientos corresponde a la debida diligencia del interesado para la presentación de la Oferta.
</t>
  </si>
  <si>
    <t xml:space="preserve">Se informa que no se identificaron interferencias con redes eléctricas en los tramos de Puesta a Punto de la Unidad Funcional 2, y sólo está disponible el diseño conceptual del diseño de alumbrado del tramo Cali-Palmira. Las redes eléctricas existentes además de la carpeta F con datos reportados por los operadores se puede consultar en los planos de instalaciones de la carpeta H del Cuarto de Información de Referencia. Se aclara que esta información estará disponible a título meramente informativo acorde con las condiciones de la Sección 1.7 Cuarto de Información de Referencia del Pliego de Condiciones. No obstante el análisis de estos dimensionamientos corresponde a la debida diligencia del interesado para la presentación de la Oferta.
</t>
  </si>
  <si>
    <t xml:space="preserve">Se informa que no se identificaron interferencias con redes eléctricas ni de gas en los tramos de Puesta a Punto de la Unidad Funcional 2, y sólo está disponible el diseño conceptual del alumbrado del tramo Cali-Palmira. Las redes existentes además de la carpeta F con datos reportados por los operadores se puede consultar en los planos de instalaciones de la carpeta H del Cuarto de Información de Referencia. Se informa que en la información de redes de gas hay datos con restricción de confidencialidad por lo cual se menciona en los informes de la carpeta F pero no se adjuntan partes de la información planimétrica. Se aclara que esta información estará disponible a título meramente informativo acorde con las condiciones de la Sección 1.7 Cuarto de Información de Referencia del Pliego de Condiciones.  No obstante el análisis de estos dimensionamientos corresponde a la debida diligencia del interesado para la presentación de la Oferta.
</t>
  </si>
  <si>
    <t xml:space="preserve">Los planos de interferencias de redes identificadas en la Unidad Funcional 3 se encuentran en la carpeta F31243 del Cuarto de Información de Referencia. No obstante el análisis de estos dimensionamientos corresponde a la debida diligencia del interesado para la presentación de la Oferta.
</t>
  </si>
  <si>
    <t xml:space="preserve">Los planos de interferencias de redes identificadas en la Unidad Funcional 3 se encuentran en la carpeta F31243 del Cuarto de Información de Referencia. Se aclara que esta información estará disponible a título meramente informativo acorde con las condiciones de la Sección 1.7 Cuarto de Información de Referencia del Pliego de Condiciones. No obstante el análisis de estos dimensionamientos corresponde a la debida diligencia del interesado para la presentación de la Oferta.
</t>
  </si>
  <si>
    <t xml:space="preserve">Los planos de interferencias de redes identificadas en la Unidad Funcional 4 se encuentran en la carpeta F41243 del Cuarto de Información de Referencia. No obstante el análisis de estos dimensionamientos corresponde a la debida diligencia del interesado para la presentación de la Oferta.
</t>
  </si>
  <si>
    <t xml:space="preserve">Se informa que la fibra óptica se estimó en canalización subterranizada a lo largo de toda la Unidad Funcional 4, para el desarrollo del informe se refiere como corredor 03 y se incluyen criterios de redundancia en la red, este supuesto de cálculo se explica en los informes consignados en la carpeta F del Cuarto de Información de Referencia. Se aclara que esta información estará disponible a título meramente informativo acorde con las condiciones de la Sección 1.7 Cuarto de Información de Referencia del Pliego de Condiciones. No obstante el análisis de estos dimensionamientos corresponde a la debida diligencia del interesado para la presentación de la Oferta.
</t>
  </si>
  <si>
    <t xml:space="preserve">Los planos de interferencias de redes identificadas en la Unidad Funcional 5 se encuentran en la carpeta F51245 del Cuarto de Información de Referencia.  Se aclara que esta información estará disponible a título meramente informativo acorde con las condiciones de la Sección 1.7 Cuarto de Información de Referencia del Pliego de Condiciones.  No obstante el análisis de estos dimensionamientos corresponde a la debida diligencia del interesado para la presentación de la Oferta.
</t>
  </si>
  <si>
    <t xml:space="preserve">Se informa que la carpeta G11071 con sus anexos corresponden a la versión de estudios adelantados por INVIAS, sin embargo la tipología de la intersección se modificó según lo consignado en la carpeta G12, adicionalmente estas cantidades han tenido otras revisiones para adecuar el escenario de cálculo de la estructuración. Se aclara que esta información estará disponible a título meramente informativo acorde con las condiciones de la Sección 1.7 Cuarto de Información de Referencia del Pliego de Condiciones.  No obstante el análisis de estos dimensionamientos corresponde a la debida diligencia del interesado para la presentación de la Oferta.
</t>
  </si>
  <si>
    <t xml:space="preserve">Se aclara que los equipamientos de la concesión, tales como Peajes, Pesajes, Áreas de Servicio y  Centro de Control de Operaciones, deberán de cumplir lo dispuesto en el Apéndice Técnico 1 en cuanto a dotación mínima. Así mismo, los alcances mínimos de las intervenciones se encuentran descritas en el numeral 6.2.
</t>
  </si>
  <si>
    <t xml:space="preserve">Se aclara que toda la dotación vial existente en los costados de la vía hacen parte de ésta y, por tanto, se tendrán las misma obligaciones de intervención sobre ellas que sobre la vía. Así mismo, el concesionario será responsable de realizar la debida diligencia del estado y conveniencia de mantener o sustituir dicha dotación en función de su estado y de los índices de cumplimiento de lndicadores establecidos en el contrato.
</t>
  </si>
  <si>
    <t xml:space="preserve">El alcance de la intersección a desnivel Sameco es de Construcción, tal como lo define la Tabla 29, por tanto el espacio público de la intersección también tiene alcance de Construcción.
</t>
  </si>
  <si>
    <t xml:space="preserve">La planimetría del CCO se encuentra en la carpeta H1213 del Cuarto de Información de Referencia. Se aclara que esta información estará disponible a título meramente informativo acorde con las condiciones de la Sección 1.7 Cuarto de Información de Referencia del Pliego de Condiciones. 
</t>
  </si>
  <si>
    <t xml:space="preserve">La carpeta D6 del Cuarto de Información de Referencia contiene los inventarios de los puentes existentes, los diseños conceptuales de los puentes peatonales nuevos y en donde está disponible la información de fundaciones de puentes peatonales proyectados. Se aclara que esta información estará disponible a título meramente informativo acorde con las condiciones de la Sección 1.7 Cuarto de Información de Referencia del Pliego de Condiciones. 
</t>
  </si>
  <si>
    <t xml:space="preserve">La planimetría de los peajes se encuentra en las carpetas H10 a H14 del Cuarto de Información de Referencia. Complementariamente existen archivos editables en la carpeta K del Cuarto de Información de Referencia. Se aclara que esta información estará disponible a título meramente informativo acorde con las condiciones de la Sección 1.7 Cuarto de Información de Referencia del Pliego de Condiciones. 
</t>
  </si>
  <si>
    <t xml:space="preserve">Siendo la oficina de administración el único espacio de tipo oficina solicitado en el Apéndice Técnico 1, el oferente puede analizar si la mencionada oficina de control de básculas se adecúa a las Especificaciones Técnicas exigidas. La planimetría de los pesajes se encuentra en las carpetas H10 a H14 del Cuarto de Información de Referencia.  Se aclara que esta información estará disponible a título meramente informativo acorde con las condiciones de la Sección 1.7 Cuarto de Información de Referencia del Pliego de Condiciones. 
</t>
  </si>
  <si>
    <t xml:space="preserve">La planimetría de los pesajes se encuentra en las carpetas H10 a H14 del Cuarto de Información de Referencia. Complementariamente existen archivos editables en la carpeta K del Cuarto de Información de Referencia. Se aclara que esta información estará disponible a título meramente informativo acorde con las condiciones de la Sección 1.7 Cuarto de Información de Referencia del Pliego de Condiciones. 
</t>
  </si>
  <si>
    <t xml:space="preserve">Se informa que el concesionario será responsable de adecuar las instalaciones existentes, y establecer nuevas instalaciones de ser necesario, para cumplir las caracterísiticas mínimas establecidas en el Capítulo V del Apéndice Técnico 1.
Las coordenadas referenciales de ubicación de las instalaciones existentes (Peajes, Pesajes, Áreas de Servicio y CCO) se encuentran en el Capítulo III del Apéndice Técnico 1.
La planimetría de los pesajes se encuentra en las carpetas H10 a H14 del Cuarto de Información de Referencia. Complementariamente existen archivos editables en la carpeta K del Cuarto de Información de Referencia. Se aclara que esta información estará disponible a título meramente informativo acorde con las condiciones de la Sección 1.7 Cuarto de Información de Referencia del Pliego de Condiciones. 
</t>
  </si>
  <si>
    <t xml:space="preserve">Se aclara que en denominación del área de servicio y estación de pesaje de Cerrito se encuentra relacionada como Ginebra en varios documentos de la Concesión 005 de 1999. Para confirmar las ubicaciones en el Apéndice Técnico 1 se incluyen las coordenadas de referencia.
</t>
  </si>
  <si>
    <t xml:space="preserve">Las estaciones de pesaje deberán cumplir con las características mínimas dispuestas en el numeral 5.2 del Apéndice Técnico 1. Quedará a buen juicio del concesionario establecer si las instalaciones de pesaje dispondrán de servicios públicos o de uso únicamente del personal de la concesión.
</t>
  </si>
  <si>
    <t xml:space="preserve">El oferente deberá revisar cuales elementos debe proveer porque no se encuentren en la infraestructura existente, ya que los requisitos de Entrega de la Infraestructura son claros en el Contrato y el Concesionario no podrá incluir reserva, condicionamiento, objeción u observación alguna relacionada con el estado de la infraestructura entregada, en tanto es obligación del Concesionario recibirla en el estado en que se encuentre.
</t>
  </si>
  <si>
    <t xml:space="preserve">Se aclara que, en materia de instalaciones sanitarias, el concesionario tendrá libertad para mantener, adecuar o cambiar dichas instalaciones, según lo considere necesario.
</t>
  </si>
  <si>
    <t xml:space="preserve">Los diseños planteados en los estudios existentes de la Intersección Sameco consideran que se conserva el puente existente, al respecto los datos disponibles se encuentran en el Cuarto de Información de Referencia en la carpeta G2. Se aclara que esta información estará disponible a título meramente informativo acorde con las condiciones de la Sección 1.7 Cuarto de Información de Referencia del Pliego de Condiciones. No obstante el análisis de del estado del puente existente corresponde a la debida diligencia del interesado para la presentación de la Oferta.
</t>
  </si>
  <si>
    <t xml:space="preserve">Se informa que la carpeta D5 ya se encuentra disponible en el Cuarto de Datos de Referencia. Se aclara que esta información estará disponible a título meramente informativo acorde con las condiciones de la Sección 1.7 Cuarto de Información de Referencia del Pliego de Condiciones. 
</t>
  </si>
  <si>
    <t xml:space="preserve">Se informa que en cuanto a las tiras topográficas, el archivo .GDB o MXD de la Unidad Funcional 3 se encuentra en la carpeta E131258, la de la Unidad Funcional 4 en la carpeta E141266 y la Unidad Funcional 5 en la carpeta E15126 del Cuarto de Información de Referencia.  Se aclara que esta información estará disponible a título meramente informativo acorde con las condiciones de la Sección 1.7 Cuarto de Información de Referencia del Pliego de Condiciones. 
</t>
  </si>
  <si>
    <t xml:space="preserve">Las zonas homogéneas tanto físicas como geoeconómicas, solo cuentan con planos en formato .pdf; sin embargo, en las gdb predial de las Unidades Funcionales 3 y 4 contenidas en las carpetas E131258, E141266 y E15126 respectivamente, se encuentran los predios afectados codificados y éstos se pueden relacionar con los archivos de excel E131211,  E141211 y E151211, correspondientes a los inventarios prediales de las Unidades Funcionales 3, 4 y 5. Se aclara que esta información estará disponible a título meramente informativo acorde con las condiciones de la Sección 1.7 Cuarto de Información de Referencia del Pliego de Condiciones. 
</t>
  </si>
  <si>
    <t xml:space="preserve">Esta información se incluyó en el informe de gestión predial en la carpeta G1111 del Cuarto de Información de Referencia. Se aclara que esta información estará disponible a título meramente informativo acorde con las condiciones de la Sección 1.7 Cuarto de Información de Referencia del Pliego de Condiciones. 
</t>
  </si>
  <si>
    <t xml:space="preserve">Los datos prediales disponibles del puente del río Bolo y la Variante el Bolo se encuentran en las carpetas H4081 y H4082 del Cuarto de Información de Referencia.
La Variante El Bolo fue licenciada mediante Resolución 1496 del 28 de julio de 2006, otorgada por el MAVDT; en la Carpeta denominada 4: Actos Administrativos 3423, se presentan la Resolución y demás actos administrativos con los que se cuenta, ubicada en la carpeta E3 del Cuarto de Información de Referencia. Se aclara que esta información estará disponible a título meramente informativo acorde con las condiciones de la Sección 1.7 Cuarto de Información de Referencia del Pliego de Condiciones. 
</t>
  </si>
  <si>
    <t xml:space="preserve">A título informativo se indica que en los tres tramos mencionados no se identificaron necesidades de gestión predial según las ocupaciones analizadas en los trazados de estructuración, y las intervenciones proyectadas a desarrollar por el Concesionario, excepto por las alternativas de mejoramiento de la Intersección Bulldozer, sin embargo tales análisis corresponden al interesado según las definiciones que haga sobre la geometría a utilizar y que deberá considerar en su Oferta.
</t>
  </si>
  <si>
    <t xml:space="preserve">Se informa al interesado que los formatos de Sábana Predial, anexo 5 del Apéndice Técnico 7, se incuirán en los documentos del Pliego de Condiciones Definitivo.
</t>
  </si>
  <si>
    <t xml:space="preserve">La intención de los formatos es tener una base unificada para proporcionar la información de todos los proyectos de ANI, cualquier modificación de encontrarse aceptable debe previamente acordarse con grupo interno de trabajo predial de la ANI.
</t>
  </si>
  <si>
    <t xml:space="preserve">Se informa al interesado que los formatos de Sábana de Avalúos, anexo 3 del Apéndice Técnico 7, se incuirán en los documentos del Pliego de Condiciones Definitivo.
</t>
  </si>
  <si>
    <t xml:space="preserve">Se informa al interesado que los formatos del Plano Predial, anexo 2 del Apéndice Técnico 7, se incuirán en los documentos del Pliego de Condiciones Definitivo. El tipo de archivo es dwg, pdf y geodatabase como se especifica en la definición de Tira Topográfica, y se aclara que deberá ser en todos los casos legible en varias plataformas de software de uso común.
</t>
  </si>
  <si>
    <t xml:space="preserve">Se informa al interesado que los formatos del Plano Predial, anexo 2 del Apéndice Técnico 7, se incuirán en los documentos del Pliego de Condiciones Definitivo.
</t>
  </si>
  <si>
    <t xml:space="preserve">En la actualidad el sistema de coordenadas vigente es el CTM12, definido por el IGAC mediante las Resoluciones 471 y 529 de 2020, por tanto la cartografía asociada a la información geográfica emitida por el IGAC o de alguna fuente oficial y que se haya generado a partir de la fecha de publicación de los actos administrativos mencionados anteriormente, deberá estar proyectada al nuevo sistema. Sin embargo, en el caso de la ANLA, sólo exigirán su obligatoriedad a partir del 01 de enero de 2021. Estas son condiciones de la Ley Aplicable y debeán ser verificadas por el interesado en la debida diligencia para la presentación de su oferta.
</t>
  </si>
  <si>
    <t xml:space="preserve">Las condiciones del personal de interventoría se darán a conocer en el concurso público de la Interventoría que se gestiona por aparte de este Proceso de Selección.
</t>
  </si>
  <si>
    <t xml:space="preserve">En caso de ser necesario, al momento de requerir algún permiso asociado a un cuerpo hídrico, en especial los mencionados de concesión de agua subterránea y de vertimientos, el Concesionario deberá realizar a su costa y riesgo, estudios actualizados para el cuerpo hídrico correspondiente. Se cuenta con las resoluciones de vertimientos y concesiones que se pueden consultar en la carpeta H, a partir de estas referencias el interesado puede investigar los estudios que dieron lugar a esos permisos.
</t>
  </si>
  <si>
    <t xml:space="preserve">Las autorizaciones temporales autorizadas a la antigua Concesión - fuentes de materiales fueron: 1. La Estancia; 2. Calandaima; 3. Quebrada Vanegas; 4. El Vínculo; 5. El Granado; 6. La Merced; 7. Los Naranjos.
Acorde con lo definido en el Capítulo Cuarto de la Ley 1682 de 2013, para los permisos mineros, a partir del Artículo 56 hasta el Artículo 59, que dentro de sus principales menciones indica una duración máxima de siete (7) años de la Autorización Temporal, igualmente como zonas de minería restringida las fuentes de materiales necesarias para la ejecución de un proyecto de infraestructura de transporte, siempre y cuando ya se encuentren los trazados y ubicación de los proyectos de infraestructura aprobados por la entidad competente, y se haya informado a la entidad minera de lo mencionado.
Esta Ley igualmente define que los Ministerios de Transporte y de Minas y Energía, establecerán la reglamentación de las Autorizaciones Temporales, lo cual, una vez se haya expedido, se aplicará en conjunto con la Ley 685 de 2001 para esta clase de solicitudes.
De tal forma que dichas autorizaciones temporales no estarían en disponibilidad de ser usadas por el futuro Concesionario; sin embargo, algunas de las capacidades aprovechables de algunas de dichas fuentes y su estado a 2015, se puede consultar en los informes de seguimiento 01659 E321 del Cuarto de Información de Referencia. No obstante esta información, el interesado debe incluir en su debida diligencia el análisis de opciones de fuentes de materiales para la presentación de su oferta.
</t>
  </si>
  <si>
    <t xml:space="preserve">Se puede consultar en la carpeta E3 del Cuarto de Información de Referencia.
La Resolución 0745 de 09 de septiembre de 1999 por la cual se otorgó la licencia ambiental determinó que no se requirió permiso de aprovechamiento forestal para las áreas licenciadas mediante dicha Resolución.
La Resolución 0747 de 1999 mediante la que se otorgó licencia ambiental, estableció que el INVIAS debía ejecutar el programa de Revegetalizacion y Reforestación indicado en el Plan de Manejo Ambiental.
La Resolución 0924 de 2002 modificó la Resolución 0745 de 1999 y otorgó permiso de aprovechamiento forestal y estableció el plan de compensación por aprovechamiento forestal.
La Resolución 1496 de 2006 del MAVDT, autorizó el aprovechamiento forestal de 22,5 m3 generados por 159 individuos arbóreos y arbustivos ubicados dentro del derecho de vía y estableció como medida de compensación, una proporción de 1:5 de los individuos afectados. Así mismo, la Resolución 1496 de 2006 del MAVDT, estableció las medidas de manejo paisajístico para glorietas e intersecciones para la Variante El Bolo.
El Auto 10287 del 25 de noviembre de 2019 hizo el seguimiento de las obligaciones de compensación por aprovechamiento forestal derivadas de la Resolución 1496 y estableció su estado - a esa fecha.
La Resolución 0706 de 2000 por medio de la cual se otorgó licencia ambiental, autorizó aprovechamiento forestal para un volumen de 288,006 m3 y estableció como medida compensatoria sembrar el triple del número de árboles talados, usando especies nativas, con seguimiento hasta que los árboles alcanzaran los 2 metros de altura o pasaran tres años después de la siembra.
La Resolución 0949 de 2000 que modificó la Resolución 745 de 1999, estableció que las áreas de explotación de material deberían ser reconformadas morfológicamente, empradizadas, reforestadas y realizar actividades de paisajismo, de tal manera que el área se integrara al entorno circundante.
Existe acta de entrega y de verificación de la Corporación Autónoma Regional del Cauca, de las siembras compensatorias derivadas de las Resoluciones 0706 de julio de 2000 y 0949 de mayo de 2009.
La Resolución 011684 de septiembre de 2017 de la CRC, otorgó permiso de aprovechamiento forestal único para un volumen de 30,58 m3 en el municipio de Santander de Quilichao y estableció las especies a aprovechar y las condiciones técnicas y de compensación del aprovechamiento forestal.
El Auto 02369 de 06 de mayo de 2019 por el cual se efectuó el seguimiento y control ambiental a lo establecido en la Resolución 0747 de septiembre 10 de 1999.
</t>
  </si>
  <si>
    <t xml:space="preserve">Los seguimientos administrativos de las licencias ambientales se encuentran publicados en la carpeta E3 del Cuarto de Información de Referencia.
Se indica, a título informativo que el proyecto licenciado bajo la Resolución 1496 de julio del 2006 y todas las demás licencias obtenidas antes del año 2012, no se impuso la obligación relacionada con la compensación por pérdida de biodiversidad, ya que la licencia ambiental fue expedida previamente a la Resolución 1517 del 31 de agosto de 2012, por la cual se adoptó el manual para la asignación de Compensaciones por Pérdida de Biodiversidad. No obstante la gestión de verificación del estado de compensaciones corresponde a la debida diligencia del interesado para la presentación de la oferta.
</t>
  </si>
  <si>
    <t xml:space="preserve">Los seguimientos administrativos de las licencias ambientales se encuentran publicados en la carpeta E3 del Cuarto de Información de Referencia.
La información sobre Fauna y Flora para el Corredor 1 (Unidad Funcional 1) se encuentra en el Documento “PLAN DE ADAPTACIÓN DE LA GUÍA DE MANEJO AMBIENTAL - PAGA. Tramo Palmira - El Cerrito - Buga, Tramo Yumbo (Paso Nivel) - Mediacanoa, Variante Yumbo, Variante Yotoco y Tramo Rozo - Paso La Torre, Palmaseca - Rozo - El Cerrito, La Torre - Acequia, Mulaló - La Torre, La Torre - Cantarrana, Cencar - Aeropuerto - Galicia; CAPÍTULO 2”
Ruta: E &gt; E2 &gt;E21&gt; E211&gt; E2111&gt; E21111
La información sobre Fauna y Flora para el Corredor 13 (Unidad Funcional 1) se encuentra en el Documento: PLAN DE ADAPTACIÓN DE LA GUÍA DE MANEJO AMBIENTAL - PAGA. Tramo Paso Nacional por Palmira, Intersección Versalles, Intersección Parque del Azúcar, Tramo salida Palmira - Pradera, Intersección Bulldozer, Tramo salida Palmira - Candelaria; CAPÍTULO 1
Ruta: E &gt; E2 &gt;E21&gt;E212&gt;E2121&gt;E21211
La información sobre Fauna y Flora para el Corredor 1 (Unidad Funcional 2) se encuentra en el documento “PLAN DE ADAPTACIÓN DE LA GUÍA DE MANEJO AMBIENTAL - PAGA. Tramo Santander de Quilichao - Ye de Villa Rica - Palmira; Variante Villa Rica, Variante Candelaria, Variante Sur de Palmira, Variante El Bolo y Tramo Palmira - Cali; Variante Norte Palmira, CAPÍTULO 3”
Ruta: E&gt;E2&gt;E22&gt;E221&gt;E2211&gt;E22113
La información sobre Fauna y Flora para el Corredor 4 (Unidad Funcional 2) se encuentra en el Documento “PLAN DE ADAPTACIÓN DE LA GUÍA DE MANEJO AMBIENTAL - PAGA. Corredor 4”
Ruta: E &gt; E2 &gt;E22&gt;E222&gt;E222&gt;E22213
La información sobre Fauna y Flora para el Corredor 3 (Unidad Funcional 4) se encuentra en el documento “LINEAMIENTOS PARA LA ELABORACIÓN DEL ESTUDIO DE IMPACTO AMBIENTAL - EIA. Corredor 3. Ye de Villa Rica hasta Paso de La Bolsa. CAPÍTULO 4”
Ruta E&gt;E2&gt;E24&gt;E241&gt;E2411&gt;E24111&gt;E2411105
La información de caracterización de Fauna y Flora para el Corredor 2 (Unidad Funcional 5) se encuentra en el documento “LINEAMIENTOS PARA LA ELABORACIÓN DEL ESTUDIO DE IMPACTO AMBIENTAL - EIA. Corredor 2” 
Ruta: E &gt; E2 &gt;E23&gt; E231&gt; E2311&gt; E231105
</t>
  </si>
  <si>
    <t xml:space="preserve">La información sobre Fauna y Flora para el Corredor 1 (Unidad Funcional 1) se encuentra en el Documento “PLAN DE ADAPTACIÓN DE LA GUÍA DE MANEJO AMBIENTAL - PAGA. Tramo Palmira - El Cerrito - Buga, Tramo Yumbo (Paso Nivel) - Mediacanoa, Variante Yumbo, Variante Yotoco y Tramo Rozo - Paso La Torre, Palmaseca - Rozo - El Cerrito, La Torre - Acequia, Mulaló - La Torre, La Torre - Cantarrana, Cencar - Aeropuerto - Galicia; CAPÍTULO 2”
Ruta: E &gt; E2 &gt;E21&gt; E211&gt; E2111&gt; E21111
La información sobre Fauna y Flora para el Corredor 13 (Unidad Funcional 1) se encuentra en el Documento: PLAN DE ADAPTACIÓN DE LA GUÍA DE MANEJO AMBIENTAL - PAGA. Tramo Paso Nacional por Palmira, Intersección Versalles, Intersección Parque del Azúcar, Tramo salida Palmira - Pradera, Intersección Bulldozer, Tramo salida Palmira - Candelaria; CAPÍTULO 1
Ruta: E &gt; E2 &gt;E21&gt;E212&gt;E2121&gt;E21211
La información sobre Fauna y Flora para el Corredor 1 (Unidad Funcional 2) se encuentra en el documento “PLAN DE ADAPTACIÓN DE LA GUÍA DE MANEJO AMBIENTAL - PAGA. Tramo Santander de Quilichao - Ye de Villa Rica - Palmira; Variante Villa Rica, Variante Candelaria, Variante Sur de Palmira, Variante El Bolo y Tramo Palmira - Cali; Variante Norte Palmira, CAPÍTULO 3”
Ruta: E&gt;E2&gt;E22&gt;E221&gt;E2211&gt;E22113
La información sobre Fauna y Flora para el Corredor 4 (Unidad Funcional 2) se encuentra en el Documento “PLAN DE ADAPTACIÓN DE LA GUÍA DE MANEJO AMBIENTAL - PAGA. Corredor 4”
Ruta: E &gt; E2 &gt;E22&gt;E222&gt;E222&gt;E22213
La información sobre Fauna y Flora para el Corredor 3 (Unidad Funcional 4) se encuentra en el documento “LINEAMIENTOS PARA LA ELABORACIÓN DEL ESTUDIO DE IMPACTO AMBIENTAL - EIA. Corredor 3. Ye de Villa Rica hasta Paso de La Bolsa. CAPÍTULO 4”
Ruta E&gt;E2&gt;E24&gt;E241&gt;E2411&gt;E24111&gt;E2411105
La información de caracterización de Fauna y Flora para el Corredor 2 (Unidad Funcional 5) se encuentra en el documento “LINEAMIENTOS PARA LA ELABORACIÓN DEL ESTUDIO DE IMPACTO AMBIENTAL - EIA. Corredor 2” 
Ruta: E &gt; E2 &gt;E23&gt; E231&gt; E2311&gt; E231105
No obstante la información dispuesta, corresponde a la debida diligencia del interesado la verificación de la caracterización de fauna para las consideraciones para la presentación de su oferta.
</t>
  </si>
  <si>
    <t xml:space="preserve">De acuerdo con lo revisado, se conoce que las actas de protocolización con estas comunidades fueron: el día 12 de febrero de 1999 con la comunidad negra de Santander de Quilichao, y el día 23 de abril de 2009 con la comunidad negra de la Vereda El Tajo del municipio de Santander de Quilichao; no se cuenta con las Certificaciones emitidas por el Ministerio del Interior, ni con las actas de Protocolización, las cuales podrán ser solicitadas por el interesado a la autoridad correspondiente.
</t>
  </si>
  <si>
    <t xml:space="preserve">Los seguimientos administrativos de las licencias ambientales se encuentran publicados en la carpeta E3 del Cuarto de Información de Referencia. Se indica que se dispone de dos actas de seguimiento del 2017; no se dispone de las Actas de Cierre de las Consultas.
</t>
  </si>
  <si>
    <t xml:space="preserve">Los seguimientos administrativos de las licencias ambientales, y las consultas previas que tiene vinculada cada licencia, se encuentran publicados en la carpeta E3 del Cuarto de Información de Referencia.
</t>
  </si>
  <si>
    <t xml:space="preserve">Los seguimientos administrativos de las licencias ambientales, y las consultas previas que tiene vinculada cada licencia, se encuentran publicados en la carpeta E3 del Cuarto de Información de Referencia. Se indica que en tales seguimientos se mencionan los avances en declaración de bien de interés cultural de la Hacienda de la Bolsa y que la adquisición predial la adelanta la autoridad local. No obstante la gestión de verificación del estado de compromisos con las comunidades corresponde a la debida diligencia del interesado para la presentación de la oferta.
</t>
  </si>
  <si>
    <t xml:space="preserve">Los seguimientos administrativos de las licencias ambientales, y las consultas previas que tiene vinculada cada licencia, se encuentran publicados en la carpeta E3 del Cuarto de Información de Referencia. 
</t>
  </si>
  <si>
    <t xml:space="preserve">Los seguimientos administrativos de las licencias ambientales, y las consultas previas que tiene vinculada cada licencia, se encuentran publicados en la carpeta E3 del Cuarto de Información de Referencia. Se evidenció que la Concesionaria los convirtió en Asociación y los capacitó, y en lo que refiere a la ubicación de las casetas para estos vendedores ambulantes, esta obligación quedó en cabeza de la Alcaldía Municipal, específicamente en la Personería Municipal. No obstante la gestión de verificación del estado de compromisos con las comunidades corresponde a la debida diligencia del interesado para la presentación de la oferta.
</t>
  </si>
  <si>
    <t xml:space="preserve">La consulta previa con el Consejo Comunitario San Isidro y Guabal tuvo como marco el proyecto de las Unidades Funcionales 3 y 4. Adicional a las actas del proceso de consulta que se consignan en la carpeta I, para ver las obras sobre las cuales se analizaron los impactos, pueden consultarse los certificados de presencia de comunidades del Ministerio del Interior en los anexos de la carpeta E23 del Cuarto de Información de Referencia. El Apéndice Técnico 1 ya incluye que dichos acuerdos se refieren a las Unidades Funcionales 3 y 4 por lo que no se estima necesario modificar el Apéndice Técnico. 
</t>
  </si>
  <si>
    <t xml:space="preserve">La ubicación ya se enuncia en el acta mencionada en la observación, PK11+060, que se indica como aproximada debido a la dependencia de ubicación de definitiva de los Estudios de Detalle. Las tipologías de puentes peatonales se encuentran en la carpeta D6 del Cuarto de Información de Referencia. Se aclara que esta información estará disponible a título meramente informativo acorde con las condiciones de la Sección 1.7 Cuarto de Información de Referencia del Pliego de Condiciones.
 </t>
  </si>
  <si>
    <t xml:space="preserve">La consulta previa con el Consejo Comunitario Bocas del Palo tuvo como marco el proyecto de la Unidad Funcional 3. Adicional a las actas del proceso de consulta que se consignan en la carpeta I, para ver las obras sobre las cuales se analizaron los impactos, pueden consultarse los certificados de presencia de comunidades del Ministerio del Interior en los anexos de la carpeta E23 del Cuarto de Información de Referencia. El Apéndice Técnico 1 ya incluye que dichos acuerdos se refieren a la Unidad Funcional 3 por lo que no se estima necesario modificar el Apéndice Técnico. 
</t>
  </si>
  <si>
    <t xml:space="preserve">Se puede consultar el puente numerado C02-04 Puente 12 del PK12, que se encuentra en los estudios de la carpeta D3 del Cuarto de Información de Referencia. Se aclara que esta información estará disponible a título meramente informativo acorde con las condiciones de la Sección 1.7 Cuarto de Información de Referencia del Pliego de Condiciones. 
</t>
  </si>
  <si>
    <t xml:space="preserve">La consulta previa con el Consejo Comunitario Dos Aguas de Cascajal tuvo como marco el proyecto de la Unidad Funcional 3. Adicional a las actas del proceso de consulta que se consignan en la carpeta I, para ver las obras sobre las cuales se analizaron los impactos, pueden consultarse los certificados de presencia de comunidades del Ministerio del Interior en los anexos de la carpeta E23 del Cuarto de Información de Referencia. El Apéndice Técnico 1 ya incluye que dichos acuerdos se refieren a la Unidad Funcional 3 por lo que no se estima necesario modificar el Apéndice Técnico. 
</t>
  </si>
  <si>
    <t xml:space="preserve">Las mediciones de línea base mencionadas deberán ser desarrolladas por el Concesionario dentro de los estudios que le permitan dar cumplimiento a las Especificaciones Técnicas. Los plazos establecidos contemplan que existen partes del Proyecto con alcances de Intervenciones que tras los 12 meses de la Fase de Preconstrucción reúnen condiciones para el Acta de Inicio de la Fase de Construcción, y el Concesionario cuenta con herramientas para gestionar los plazos detalladamente en el Plan de Obras para cumplir los límites de tiempo definidos en la Parte Especial, es así que el Plan de Obras puede incluir obras que comiencen en forma posterior al inicio de la Fase de Construcción si se llega a requerir para las actividades de alistamientos y, gestión de licencias y permisos.
</t>
  </si>
  <si>
    <t xml:space="preserve">Las mencionadas consultas previas tienen compromisos por cumplir que se incluyen en las obligaciones ambientales pendientes de cumplimiento y por ejecutar de las licencias ambientales a ceder. En tal sentido se informa según los últimos seguimientos consignados en el expediente LAM1015 y que se puede consultar para análisis en la carpeta E3 del Cuarto de Información de Referencia, permanecen pendientes relacionados con la conclusión de los puentes peatonales en Puerto Tejada (Seguro Social) y Villa Rica (Aguazul) y su iluminación, así como el seguimiento y cierre de las mencionadas consultas.
</t>
  </si>
  <si>
    <t xml:space="preserve">Si bien la ANI y el anterior concesionario adelantaron las gestiones pertienentes para culminar el cierre de las obligaciones, es posible que al momento del Acta de Inicio no se culminen todas, por lo que el Apéndice Técnico 6 Ambiental establece que será el nuevo Concesionario quien deberá asumir a su cuenta y riesgo la totalidad de las actividades de las licencias ambientales existentes dentro de los que se encuentran: 
- Informes de cumplimiento ambiental (ICA) hasta el cierre definitivo de las Licencias Ambientales 
- Pago por concepto de los seguimientos y cierres ambientales por parte de la autoridad ambiental competente hasta el cierre definitivo de las Licencias Ambientales. 
- Gestión y trámites requeridos para la modificación y/o cesión de las licencias ambientales  
- Pago por concepto de evaluación de tramites ambientales para la modificación, cesión y/o cierre de las Licencias Ambientales.   
- Entre otras. 
Para la información de las licencias existentes la Tabla 1 enumera los expedientes sobre los que se hará la cesión, y se dispone en la carpeta E3 del Cuarto de Información de Referencia los seguimientos más actualizados de dichos expedientes. Se aclara que esta información estará disponible a título meramente informativo acorde con las condiciones de la Sección 1.7 Cuarto de Información de Referencia del Pliego de Condiciones. Las obligaciones referidas al cierre de obligaciones pendientes y por ejecutar de las licencias ambientales que serán cedidas son a cuenta y riesgo del Concesionario.
</t>
  </si>
  <si>
    <t xml:space="preserve">Los plazos establecidos contemplan que existen partes del Proyecto con alcances de Intervenciones que tras los 12 meses de la Fase de Preconstrucción reúnen condiciones para el Acta de Inicio de la Fase de Construcción, y el Concesionario cuenta con herramientas para gestionar los plazos detalladamente en el Plan de Obras para cumplir los límites de tiempo definidos en la Parte Especial, es así que el Plan de Obras puede incluir obras que comiencen en forma posterior al inicio de la Fase de Construcción.
Se aclara que si bien la obligación de cesión de las licencias ambientales vigentes se define para las licencias de los tres expedientes que se detallan en la Tabla 1 del Apéndice Técnico 1, entre los pendientes por realizar se encuentran los seguimientos y cierres ambientales por parte de la autoridad ambiental. En tal sentido no se requiere la modificación de la licencias existentes. No obstante, el Concesionario podrá definir los instrumentos ambientales apropiados para cada alcance de las Intervenciones dentro del Plan de Trámites Ambientales y de esta forma optimizar las gestiones en cuanto a los plazos del contrato. Complementariamente se informa que con relación a los plazos de los trámites ambientales se ajustaron en el Contrato los eventos de Fuerza Mayor Ambiental.
</t>
  </si>
  <si>
    <t xml:space="preserve">Para los efectos de la solicitud, la Sección 8.2 Redes de la Parte General reúne la regulación frente a la gestión de Redes en el marco del Contrato, en concordancia con los alcances específicos del Apéndice Técnico 5. Al estar ya incluido no se considera necesario adicionar otra definición al respecto.
</t>
  </si>
  <si>
    <t xml:space="preserve">De acuerdo con el CAPÍTULO VI ETAPA PREOPERATIVA–ESTUDIOS Y DISEÑOS de la Parte General del Contrato de Concesión, los Estudios de Trazado y Diseño Geométrico se realizan en la Etapa Preoperativa y se presentan por parte del Concesionario a los doscientos diez (210) Días siguientes a la Fecha de Inicio. Adicionalmente, en el mismo término de doscientos diez (210) Días, los Estudios de Detalle correspondientes a las Unidades Funcionales cuya ejecución deba comenzar al inicio de la Fase de Construcción.
Dentro de las Sección “4.2 Principales Obligaciones del Concesionario durante la Fase de Preconstrucción” de la Parte General del Contrato de Concesión se estipula lo siguiente:
“(ee) El Concesionario bajo su responsabilidad y cargo, de acuerdo con las disposiciones del Apéndice Ambiental, iniciará uno o varios proyectos tendientes a la reducción de emisiones de gases de efecto invernadero GEI, en el marco de la Ley 1931 de junio 27 de 2018 o la que la sustituya o complemente a través de la implementación de un “Programa de Aporte Sostenible”. Tomada la decisión de ejecutar proyectos, el Concesionario deberá asumir toda la responsabilidad de su ejecución en términos de tiempo y recursos (humanos, técnicos y económicos), así como las consecuencias de su incumplimiento.”
Según el CAPÍTULO VIII ETAPA PREOPERATIVA - GESTIÓN SOCIAL Y AMBIENTAL, REDES, OTROS de la Parte General del Contrato de Concesión, las Gestión Social y Ambiental a cargo del Concesionario atenderá en un todo la distribución de obligaciones, responsabilidades y riesgos establecidos en los Apéndices Técnicos 6 y 8 y en el Contrato. 
El Apéndice Técnico 6 establece en la Sección 5.2 (b) que del Programa de Aporte Sostenible se entrega de parte del Concesionario a los 182 días después de la firma del Acta de Inicio, por lo tanto, este programa se entrega en forma anterior a los Estudios de Trazado y Diseño Geométrico que se entregan a los 210 días de la firma del Acta de Inicio. Dicha Sección dice lo siguiente tomando como referencia el Apéndice Técnico 6 del Proyecto de Pliego de Condiciones:
“(b) El desarrollo del Programa de Aporte Sostenible tiene como propósito contrarrestar el cambio climático y gestión del riesgo. El Concesionario deberá presentar a la Interventoría los 182 días después de la firma del acta de inicio (Fase de Preconstrucción) el “Programa de Aporte Sostenible”, destinado a contrarrestar el cambio climático el cual involucre las comunidades del área de influencia y su conexión inmediata con los centros urbanos de importancia regional, herramientas de planificación ambiental urbana y rural, educación y capacitación, adaptación y mitigación. La Interventoría contará con quince (15) días calendario para su revisión y aprobación y remisión del documento a la ANI.”
La misma Sección incluye las siguientes condiciones de carácter obligatorio:
…”Para el cumplimiento del “Programa de Aporte Sostenible”, el Concesionario deberá realizar de forma obligatoria lo siguiente:
✓ Desarrollar estudios de vulnerabilidad climática y riesgo por Unidad Funcional.
✓ Incorporar las consideraciones y medidas de adaptación y mitigación al cambio climático más pertinentes en la planificación, diseño, construcción y operación de las vías, dando prioridad a los tramos más vulnerables (puntos críticos) por Unidad Funcional.
✓ Incorporar indicadores de cambio climático (adaptación y mitigación) en el monitoreo de las vías por Unidad Funcional.
✓ Desarrollo de un sistema de información y alertas tempranas para sectores específicos o puntos críticos por Unidad Funcional con casos de vulnerabilidad (Gestión del Riesgo).” (subrayado fuera del texto).
…” Además, el documento debe contener:
(a) Georreferenciación y base de datos sobre la infraestructura existente para la determinación de amenazas con mayor probabilidad de ocurrencia (puntos críticos) por Unidad Funcional
(b) Crear una base de datos con información disponible de la concesión ingresando el reporte de emergencias y desastres ocurridos a lo largo del proyecto, indicando descripción, georreferenciación y solución aportada por Unidad Funcional.
(c) Realizar mapas de vulnerabilidad y amenaza de la concesión que alimenten las bases de datos de los mapas de vulnerabilidad y amenaza del país, según los lineamientos de la Unidad Nacional de Gestión del Riesgo y Desastres UNGRD.
(d) Se deberá tener en cuenta la incorporación de las variables climáticas en la fase de planificación y diseño con el fin de reducir costos de atención a emergencias y aumentar prevención en acciones de mantenimiento a infraestructura existente, anticipándose a los retos del clima del fututo de manera más costo efectiva e innovadora.
(e) Realizar cálculo de emisiones de carbono equivalente evitadas por Unidad Funcional, con relación a la reducción de tiempos de movilización de los usuarios de la concesión y diseños para aumentar la velocidad de movilidad vehicular.” (subrayado fuera del texto).
En razón de lo expuesto se puede concluir que el Programa de Aporte Sostenible es un instrumento del Contrato de Concesión que se realiza en forma anterior a los Estudios de Trazado y Diseño Geométrico. En línea con este requisito el Programa de Aporte Sostenible incluye estudios de vulnerabilidad climática y riesgo, consideraciones y medidas de adaptación y mitigación al cambio climático más pertinentes en la planificación, diseño, construcción y operación de las vías. Al referirse a medidas relativas a la operación esto incluye el periodo de operación del proyecto que es de los 29 años futuros a partir del Acta de Inicio (Sección 2.4 de la Parte General del Contrato). 
Adicionalmente, el Programa de Aporte Sostenible requiere la incorporación de las variables climáticas en la fase de planificación y diseño con el fin de reducir costos de atención a emergencias y aumentar prevención en acciones de mantenimiento a infraestructura existente, anticipándose a los retos del clima del fututo de manera más costo efectiva e innovadora. De esta forma está cubierto el requisito de incluir proyecciones futuras en las variables del cambio climático.
Finalmente, con relación a la mención del Apéndice Técnico 3, se aclara que los documentos que hacen parte del Contrato deberán interpretarse armónicamente según lo dispuesto en la Sección 19.15 del mismo Contrato. Es decir que las obligaciones de las especificaciones técnicas del Apéndice Técnico 3 se deben aplicar en conjunto con las obligaciones de la Gestión Social y Ambiental de los Apéndices Técnicos 6 y 8, y en tal sentido los aspectos de mitigación del cambio climático se desarrollan principalmente en el Apéndice Técnico 6 como ya fue expuesto en los párrafos anteriores.
</t>
  </si>
  <si>
    <t xml:space="preserve">Se informa al interesado que el trazado y alineamiento aplicable para la unidad funcional 3 ha sido fruto de un proceso iterativo de ajustes debidos a múltiples factores. En ese orden de ideas se incluyó información actualizada en el cuarto de datos.
Igualmente se aclara que la información contenida en el Cuarto de Datos es de referencia pues el Concesionario será responsable de ejecutar las intervenciones correspondientes a la longitud efectiva de acuerdo con el resultado de los Estudios de detalle y Estudios de Trazado y Diseño Geométrico, de acuerdo con lo dispuesto en el Apéndice Técnico 1 del contrato.
No obstante, en el Cuarto de Datos se encuentra un archivo KML con la alineación y ubicación aplicable a los corredores y tramos del proyecto. Así mismo, se publicará la franja declarada de utilidad pública obtenida en la estructuración del proyecto, acorde a la franja del alineamiento aplicable a esta Unidad Funcional 3.
</t>
  </si>
  <si>
    <t xml:space="preserve">El trazado y alineamiento aplicable a la unidad funcional 3, ha sido fruto de un proceso iterativo de ajustes debidos a múltiples factores, los cuales han ido surgiendo en diferentes etapas de la estructuración, motivo por el cual ha sido necesario actualizar el alineamiento de la UF3 en esta última etapa del proceso.
</t>
  </si>
  <si>
    <t xml:space="preserve">Se informa al interesado que se publicará la franja declarada de utilidad pública obtenida en la estructuración del proyecto, acorde a la franja del alineamiento aplicable a esta Unidad Funcional 3 (estableciendo las coordenadas del polígono) la cual establece el ancho previsto para albergar tanto la calzada a construir como la segunda calzada. No obstante, el Concesionario será responsable de ejecutar las intervenciones correspondientes a la longitud efecctiva de acuerdo con el resultado de los Estudios de detalle y Estudios de Trazado y Diseño Geométrico, de acuerdo con lo dispuesto en el Apéndice Técnico 1 del contrato. 
</t>
  </si>
  <si>
    <t xml:space="preserve">Se informa al interesado que su entendimiento es correcto.
</t>
  </si>
  <si>
    <t xml:space="preserve">Se informa al interesado que la Sección 6.3 de la Prte General tiene ajustes para la publicación de los documentos definitivos, en tal sentido la asignación de riesgos del Contrato se mantiene siempre que el trazado desarrollado por el Concesionario no sobrepase, exceda y/o se extienda más allá del área de la Franja de Utilidad Pública del Proyecto en una longitud máxima de 3 km de la longitud efectiva de construcción del Proyecto. 
La asignación de riesgos se modificará en el evento en que las modificaciones y/o adecuaciones sobrepasen, excedan y/o se extiendan más allá de la franja de terreno del corredor vial del Proyecto que ha sido declarada de utilidad pública e interés social en mas de 3 km. En todo caso, cualquier revisión y mejora que el Concesionario proponga debe tener en cuenta la asignación de riesgos y, en caso que supere la franja declarada de utilidad pública, evaluar si la nueva asignación de riesgos propone una mejora real al Proyecto.
</t>
  </si>
  <si>
    <t xml:space="preserve">En forma similar a la solicitud formulada se ajustó en la Sección 6.3 de la Parte General, que el sistema de bandas es aplicable mientras que la superación de la Franja de Utilidad Pública no se extienda longitudinalmente en más de tres (3) kilómetros de la longitud efectiva de construcción del Proyecto.
</t>
  </si>
  <si>
    <t xml:space="preserve">Se informa al interesado que en la carpeta A32 del Cuarto de Datos se ha incluido una solución alternativa a la intersección, la cual no implica modificaciones a los impactos evaluados en el proceso de consulta previa y ha sido considerada para establecer la franja declarada de utilidad pública del proyecto.
No obstante, el Concesionario será el responsable de ejecutar las intervenciones correspondientes a la longitud efecctiva de acuerdo con el resultado de los Estudios de detalle y Estudios de Trazado y Diseño Geométrico, de acuerdo con lo dispuesto en el Apéndice Técnico 1 del contrato. 
</t>
  </si>
  <si>
    <t xml:space="preserve">Se informa al interesado de que los acuerdos de protocolización se encuentran en la carpeta I del cuarto de información de referencia.
El diseño de la UF3 socializado con los consejos comunitarios contempla la doble calzada, informando que en esta etapa se construirá únicamente una calzada sencilla. Así mismo, el proceso de consulta previa se realizó sobre una fase de estructuración, dejando claro que en una fase posterior se podrían realizar ajustes y/o modificaciones menores.
Los ajustes que se han ido realizando a la UF3 en la última etapa del proceso de estructuración no implican modificaciones a los impactos evaluados en el proceso de consulta previa.
Asimismo, se informa al interesado que en la carpeta A32 del Cuarto de Datos se ha incluido una solución alternativa a la intersección, la cual no implica modificaciones a los impactos evaluados en el proceso de consulta previa y ha sido considerada para establecer la franja declarada de utilidad pública del proyecto. No obstante, el Concesionario será responsable de ejecutar las intervenciones correspondientes a la longitud efectiva de acuerdo con el resultado de los Estudios de Detalle y Estudios de Trazado y Diseño Geométrico, de acuerdo con lo dispuesto en el Apéndice Técnico 1 del Contrato.
</t>
  </si>
  <si>
    <t xml:space="preserve">Se informa al interesado que en la carpeta J3 y H211 del Cuarto de Información de Referencia se ha incluido la información actualizada de recaudo de peajes de 2018-2019-2020, esta información incluye la categorías de ejes cañeros. En las carpetas 0AI2 se incluyó información que incluye ejes cañeros en los volúmenes de información secundaria y en los aforos. La zonificación y bases de encuentas origen destino también se encuentran disponibles en los anexos de la carpeta 0AI2.
Debido a que el tráfico de las categorías de ejes adicionales (eje grúa, eje remolque, eje adicional y eje cañero) corresponden a alrededor del 4% del tráfico del mes de cada estación de peaje, se considera que no representan un volumen considerable de tráfico y no genera un impacto relevante en el flujo de ingresos del proyecto. 
Se aclara que esta información estará disponible a título meramente informativo acorde con las condiciones de la Sección 1.7 Cuarto de Información de Referencia del Pliego de Condiciones. 
</t>
  </si>
  <si>
    <t xml:space="preserve">En caso de ser necesario, al momento de requerir algún permiso asociado a un cuerpo hídrico, en especial los mencionados de concesión de agua subterránea y de vertimientos, el Concesionario deberá realizar a su costa y riesgo, estudios actualizados para el cuerpo hídrico correspondiente. Se cuenta con las resoluciones de vertimientos y concesiones que se pueden consultar en la carpeta H, a partir de estas referencias el interesado puede investigar los estudios que dieron lugar a esos permisos._x000D_
</t>
  </si>
  <si>
    <t xml:space="preserve">Las autorizaciones temporales autorizadas a la antigua Concesión - fuentes de materiales fueron: 1. La Estancia; 2. Calandaima; 3. Quebrada Vanegas; 4. El Vínculo; 5. El Granado; 6. La Merced; 7. Los Naranjos.
Acorde con lo definido en el Capítulo Cuarto de la Ley 1682 de 2013, para los permisos mineros, a partir del Artículo 56 hasta el Artículo 59, que dentro de sus principales menciones indica una duración máxima de siete (7) años de la Autorización Temporal, igualmente como zonas de minería restringida las fuentes de materiales necesarias para la ejecución de un proyecto de infraestructura de transporte, siempre y cuando ya se encuentren los trazados y ubicación de los proyectos de infraestructura aprobados por la entidad competente, y se haya informado a la entidad minera de lo mencionado.
Esta Ley igualmente define que los Ministerios de Transporte y de Minas y Energía, establecerán la reglamentación de las Autorizaciones Temporales, lo cual, una vez se haya expedido, se aplicará en conjunto con la Ley 685 de 2001 para esta clase de solicitudes.
De tal forma que dichas autorizaciones temporales no estarían en disponibilidad de ser usadas por el futuro Concesionario; sin embargo, algunas de las capacidades aprovechables de algunas de dichas fuentes y su estado a 2015, se puede consultar en los informes de seguimiento 01659 E321 del Cuarto de Información de Referencia. No obstante esta información, el interesado debe incluir en su debida diligencia el análisis de opciones de fuentes de materiales para la presentación de su oferta.
</t>
  </si>
  <si>
    <t xml:space="preserve">Los seguimientos administrativos de las licencias ambientales se encuentran publicados en la carpeta E3 del Cuarto de Información de Referencia.
</t>
  </si>
  <si>
    <t xml:space="preserve">Se informa que no hay permisos tramitados de aprovechamiento forestal sobre la infraestructura proyectada de este Proyecto. La obligación de obtención de Licencias y Permisos es del Concesionario, por lo tanto debe tener en consideración estas gestiones así como la obligación de definirlos en el Plan de Trámites Ambientales, dentro de la debida diligencia para la presentación de su Oferta.
Respecto a la infraestructura existente, la carpeta E3 contiene las resoluciones de licencias otorgadas y los actos administrativos de seguimiento. Se puede consultar lo siguiente:
_x000D_
La Resolución 0745 de 09 de septiembre de 1999 por la cual se otorgó la licencia ambiental determinó que no se requirió permiso de aprovechamiento forestal para las áreas licenciadas mediante dicha Resolución._x000D_
La Resolución 0747 de 1999 mediante la que se otorgó licencia ambiental, estableció que el INVIAS debía ejecutar el programa de Revegetalizacion y Reforestación indicado en el Plan de Manejo Ambiental._x000D_
La Resolución 0924 de 2002 modificó la Resolución 0745 de 1999 y otorgó permiso de aprovechamiento forestal y estableció el plan de compensación por aprovechamiento forestal._x000D_
La Resolución 1496 de 2006 del MAVDT, autorizó el aprovechamiento forestal de 22,5 m3 generados por 159 individuos arbóreos y arbustivos ubicados dentro del derecho de vía y estableció como medida de compensación, una proporción de 1:5 de los individuos afectados. Así mismo, la Resolución 1496 de 2006 del MAVDT, estableció las medidas de manejo paisajístico para glorietas e intersecciones para la Variante El Bolo._x000D_
El Auto 10287 del 25 de noviembre de 2019 hizo el seguimiento de las obligaciones de compensación por aprovechamiento forestal derivadas de la Resolución 1496 y estableció su estado - a esa fecha._x000D_
La Resolución 0706 de 2000 por medio de la cual se otorgó licencia ambiental, autorizó aprovechamiento forestal para un volumen de 288,006 m3 y estableció como medida compensatoria sembrar el triple del número de árboles talados, usando especies nativas, con seguimiento hasta que los árboles alcanzaran los 2 metros de altura o pasaran tres años después de la siembra._x000D_
La Resolución 0949 de 2000 que modificó la Resolución 745 de 1999, estableció que las áreas de explotación de material deberían ser reconformadas morfológicamente, empradizadas, reforestadas y realizar actividades de paisajismo, de tal manera que el área se integrara al entorno circundante._x000D_
Existe acta de entrega y de verificación de la Corporación Autónoma Regional del Cauca, de las siembras compensatorias derivadas de las Resoluciones 0706 de julio de 2000 y 0949 de mayo de 2009._x000D_
La Resolución 011684 de septiembre de 2017 de la CRC, otorgó permiso de aprovechamiento forestal único para un volumen de 30,58 m3 en el municipio de Santander de Quilichao y estableció las especies a aprovechar y las condiciones técnicas y de compensación del aprovechamiento forestal._x000D_
El Auto 02369 de 06 de mayo de 2019 por el cual se efectuó el seguimiento y control ambiental a lo establecido en la Resolución 0747 de septiembre 10 de 1999.
</t>
  </si>
  <si>
    <t xml:space="preserve">Se puede consultar en la carpeta E3 del Cuarto de Información de Referencia._x000D_
La Resolución 0745 de 09 de septiembre de 1999 por la cual se otorgó la licencia ambiental determinó que no se requirió permiso de aprovechamiento forestal para las áreas licenciadas mediante dicha Resolución._x000D_
La Resolución 0747 de 1999 mediante la que se otorgó licencia ambiental, estableció que el INVIAS debía ejecutar el programa de Revegetalizacion y Reforestación indicado en el Plan de Manejo Ambiental._x000D_
La Resolución 0924 de 2002 modificó la Resolución 0745 de 1999 y otorgó permiso de aprovechamiento forestal y estableció el plan de compensación por aprovechamiento forestal._x000D_
La Resolución 1496 de 2006 del MAVDT, autorizó el aprovechamiento forestal de 22,5 m3 generados por 159 individuos arbóreos y arbustivos ubicados dentro del derecho de vía y estableció como medida de compensación, una proporción de 1:5 de los individuos afectados. Así mismo, la Resolución 1496 de 2006 del MAVDT, estableció las medidas de manejo paisajístico para glorietas e intersecciones para la Variante El Bolo._x000D_
El Auto 10287 del 25 de noviembre de 2019 hizo el seguimiento de las obligaciones de compensación por aprovechamiento forestal derivadas de la Resolución 1496 y estableció su estado - a esa fecha._x000D_
La Resolución 0706 de 2000 por medio de la cual se otorgó licencia ambiental, autorizó aprovechamiento forestal para un volumen de 288,006 m3 y estableció como medida compensatoria sembrar el triple del número de árboles talados, usando especies nativas, con seguimiento hasta que los árboles alcanzaran los 2 metros de altura o pasaran tres años después de la siembra._x000D_
La Resolución 0949 de 2000 que modificó la Resolución 745 de 1999, estableció que las áreas de explotación de material deberían ser reconformadas morfológicamente, empradizadas, reforestadas y realizar actividades de paisajismo, de tal manera que el área se integrara al entorno circundante._x000D_
Existe acta de entrega y de verificación de la Corporación Autónoma Regional del Cauca, de las siembras compensatorias derivadas de las Resoluciones 0706 de julio de 2000 y 0949 de mayo de 2009._x000D_
La Resolución 011684 de septiembre de 2017 de la CRC, otorgó permiso de aprovechamiento forestal único para un volumen de 30,58 m3 en el municipio de Santander de Quilichao y estableció las especies a aprovechar y las condiciones técnicas y de compensación del aprovechamiento forestal._x000D_
El Auto 02369 de 06 de mayo de 2019 por el cual se efectuó el seguimiento y control ambiental a lo establecido en la Resolución 0747 de septiembre 10 de 1999.
</t>
  </si>
  <si>
    <t xml:space="preserve">Se indica que la información disponible de caracterización es la mencionada, realizada con información secundaria.
</t>
  </si>
  <si>
    <t xml:space="preserve">No se cuenta con certificados de consultas previas de proyectos anteriores, sin embargo en los actos administrativos de seguimiento se incluye información del estado de cumplimiento de los acuerdos protocolizados y pueden consultarse en la carpeta E3 del Cuarto de Información de Referencia.
</t>
  </si>
  <si>
    <t xml:space="preserve">No se cuenta con actas de cierre de consultas previas de proyectos anteriores, sin embargo en los actos administrativos de seguimiento se incluye información del estado de cumplimiento de los acuerdos protocolizados y pueden consultarse en la carpeta E3 del Cuarto de Información de Referencia.
</t>
  </si>
  <si>
    <t>Se aclara al interesado que la solicitud no se acepta. Esta medida propende por incentivar el uso de materiales reciclados y que los impactos de transporte de los materiales no disminuyan los beneficios ambientales de la medida, en esto recae la importancia que provengan del territorio nacional.</t>
  </si>
  <si>
    <t>Se aclara al interesado que los POT, PBOT y EOT vigentes al momento de los estudios de estructuración se encuentran en los anexos de los volúmenes prediales de la carpeta E1 del Cuarto de Información de Referencia, sin embargo se aclara que corresponde al Oferente la revisión y actualización de las versiones vigentes al momento de la apertura del Proceso de Selección conforme a lo dispuesto en la Parte Especial sobre los proyectos excluidos del concepto del Elusión</t>
  </si>
  <si>
    <t>Se acepta la observación respecto a modificar la autorización de concejos y asambleas, y se aclara en los eventos de Fuerza Mayor Predial para predios de uso público. En particular se definen dos eventos para la Fuerza Mayor Predial, si transcurrieren  noventa (90) días contados a partir de la solicitud de cesión de los predios sin que la entidad pública competente hubiera realizado la entrega del Predio Faltante a favor de la ANI, y si transcurrieran doce (12) Meses contados a partir de la solicitud de  cesión de los predios, sin que la entidad pública competente hubiera realizado la transferencia del derecho real de dominio a favor de la ANI. En estas definiciones ajustadas no se hace referencia a la autorización de los concejos o asambleas, en su lugar  se define en los términos descritos.</t>
  </si>
  <si>
    <t>Se aclara al interesado que el CONPES 3714  de 2012 no es aplicable a este tipo de proyectos toda vez que los mismos se enmarcan en proyectos de Asociación Público Privada, los cuales están asociada al CONPES 3107 de 2001  y 3760 de 2013. 
Adicionalmente, se informa al interesado que no se acepta su observación. En el momento de presentar su oferta correspondiente al Factor de Calidad el interesado deberá evaluar el manejo de riesgos prediales, socioambientales y de redes de acuerdo con lo previsto en el Contrato Parte General. Se informa al interesado que los alcances de las obras del Factor de Calidad serán aclarados en los documentos definitivos en el sentido que son intervenciones que se realizan en vías existentes de categorías secundaria y terciaria por lo tanto los riesgos prediales, socioambientales y de redes son sustancialmente menores.</t>
  </si>
  <si>
    <t>El numeral 5.1.1 del Proyecto de Pliego de Condiciones establece que son factores de selección la Oferta Económica, la Oferta de Mano de Obra Local, el Factor de Calidad, el Apoyo a la Industria Nacional y la acreditación de trabajadores en condición de discapacidad. Respecto del Factor de Calidad: (i) Su evaluación consiste en un puntaje por el compromiso de realizar unas obras adicionales y por el uso de mezcla densa en caucho reciclado, y (ii) también es el cuarto criterio de desempate. 
La Sección 5.5 del Proyecto de Pliego de Condiciones, que regula el Factor de Calidad, establece en su numeral 5.5.4(a) que las obras adicionales, de haberse comprometido el futuro Concesionario a realizarlas, tienen una asignación de riesgos específica indicada en la Sección 3.11 de la Parte Especial de la minuta del Contrato de Concesión (la “Parte Especial”). 
Ahora, al revisar la Sección 3.11 de la Parte Especial, vemos que la distribución de riesgos consiste, básicamente, en que el Concesionario asuma: (i) los riesgos de mayor valor de los Predios y de Compensaciones Económicas, (ii) los mayores costos por traslado y/o intervención de Redes, y (iii) los mayores costos de Compensaciones Socioambientales. Las obras del Factor de Calidad tienen, adicionalmente, una reversión especial regulada en la Sección 3.10 de la Parte Especial. 
Vemos que la regulación del Factor de Calidad por parte de la Agencia Nacional de Infraestructura pretende establecer una excepción a las reglas de asignación de riesgos definidas en el artículo 4º de la Ley 1150 de 2007, el numeral 5º del artículo 24 de la Ley 80 de 1993, el artículo 4º de la Ley 1508 de 2012 y las políticas CONPES de asignación y valoración de riesgos. Lo anterior teniendo en cuenta que riesgos cuyo impacto es absolutamente imprevisible, como el costo de los Predios requeridos para el desarrollo de las Intervenciones, los costos de traslado y protección de Redes y el valor de las Compensaciones Sociambientales se asignan al colaborador privado de forma ilimitada e indefinida, lo que constituye una abierta transgresión a lo establecido en el numeral 5º del artículo 24 de la Ley 80 de 1993, y que prohíbe que en los Pliegos de Condiciones y en los contratos estatales se establezcan condiciones o requisitos de extensión ilimitada o indefinida, so pena de ser ineficaces de pleno derecho. 
El documento CONPES 3714 recomienda que cláusulas como estás, de asignación de riesgos imprevisibles al futuro contratista, y que pretenden eludir el restablecimiento del equilibrio económico asignando aleas indefinidas o ilimitadas, se sustraigan de los textos contractuales y de la modelación económica y financiera por ser absolutamente ineficaces. Lo anterior va de la mano con la vasta línea jurisprudencial del Consejo de Estado que ha definido que a los contratistas no les pueden ser asignados riesgos anormales o extraordinarios, ni riesgos cuya existencia es previsible, pero sus impactos son desconocidos, como, por ejemplo, el riesgo geológico. 
En el caso que nos ocupa, vemos que las obras del Factor de Calidad, y que tienen las mismas connotaciones de diseño, estructurales, constructivas y financieras que el resto del alcance contractual, tienen una asignación de riesgos disímil y diferente que no encuentra justificación y, por ende, debe ajustarse. Expliquemos un poco lo señalando anteriormente: (i) las obras que son del alcance se regulan por una asignación de riesgos diferente a la establecida para las obras del Factor de Calidad; (ii) sin embargo, la diferenciación no se explica; (iii) adicionalmente, la asignación de riesgos para el Factor de Calidad no tiene ninguna valoración o cuantificación, por lo que se asigna de forma ilimitada e infinita al Concesionario, y (iv) la asignación no se hace bajo las políticas de riesgo imperantes, en la medida que no se asignan a la parte que están en mejores condiciones para asumir las contingencias derivadas de la mayor valoración de predios y compensaciones socioeconómicas, traslado y protección de Redes y Compensaciones Socioambientales. 
En consecuencia, la única diferencia entre las obras que son objeto del alcance y las que hacen parte del Factor de Calidad es que las segundas son factor de puntaje por parte de la ANI, lo que parece que, para la ANI, implica automáticamente una mayor responsabilidad o exposición al riesgo. Pues bien, consideramos que esa mayor exposición al riesgo que pueda llegar asumir el proponente que decida ejecutar las obras del Factor de Calidad no constituye una “eficiencia” de la cual pueda beneficiarse la ANI porque lo que va a generarse es que: (i) los costos de las obras del Factor de Calidad se incrementen para poder cubrir la excesiva asignación de riesgos; (ii) que correlativamente se reduzcan los costos del alcance original del proyecto, y (iii) que el proyecto sea menos atractivo para la inversión privada.
Finalmente, podría pensarse que, ante estas consideraciones, bien pueden los proponentes no ofertar las obras del Factor de Calidad y ya está. Pues bien, esta postura no protege otro de los principios fundantes de la contratación estatal, cual es la selección objetiva, y es que no se puede dar prevalencia a la selección de proponentes que se arriesguen a asumir riesgos que no van a poder cubrir, en desmedro de los otros tantos proponentes que decidan, de forma justificada y cuidadosa, no ejecutar las obras del Factor de Calidad. Evidentemente que la fijación de este criterio de asignación de puntaje (el Factor de Calidad) no está sustentado en seleccionar la oferta más favorable para la ANI, sino en seleccionar la oferta más costosa, en perjuicio del alcance del proyecto, y que genera una contingencia adicional para la entidad, cual es la de tener que asumir los perjuicios derivados de una indebida valoración y asignación de riesgos.</t>
  </si>
  <si>
    <t xml:space="preserve">Se informa al interesado que su entendimiento es correcto en la medida en que el Periodo Especial corresponde al periodo durante el cual, bajo el amparo del Evento Eximente de Responsabilidad, se entenderá suspendida la obligación de  Giros de Equity como se establece en la Sección 3.9 (e) Parte General. </t>
  </si>
  <si>
    <t>Se informa al interesado que de acuerdo con la definición del contrato la Evasión "Corresponde al no pago de las tarifas de Peaje definidas en la(s) Resolución(es) de Peaje(s) por parte de los usuarios de la vía al pasar por las Estaciones de Peaje asociadas al Proyecto", por lo tanto no se considera procedente su observación toda vez que las actividades de control de evasión son facultativas del concesionario y no de temas de manejo público como establece la observación.
Adicionalmente, el Concesionario contará con el apoyo de la Policía de Carreteras para los procedimientos relacionados, conforme a la Sección 3.3.9. del Apéndice Técnico 2.</t>
  </si>
  <si>
    <t>Se aclara al interesado que la prestación de los Servicios Adicionales, es optativa por parte del Concesionario. En este sentido es responsabilidad del privado asumir los efectos positivos y negativos derivados de la ejecución de dichas prestaciones y por lo tanto no es procedente su observación.</t>
  </si>
  <si>
    <t>En línea con las disposiciones generales establecidas en la Ley 1508 de 2012 y sus Decretos reglamentarios y los documentos CONPES asociados, uno de los elementos principales de las Asociaciones Públicos Privadas es la transferencia de riesgos del público al privado y enmarcada en esta transferencia el riesgo de financiación, el cual se considera un elemento crítico del proyecto, y por esta razón la obligación del Concesionario abarca procurar la totalidad de recursos necesarios para llevar a cabo todas las obligaciones del Contrato en las condiciones de mercado vigentes. Por lo anterior las condiciones posibles para lograr el Cierre Financiero deberán ser evaluadas por parte de cada interesado y consideradas dentro de su presupuesto por lo que no se considera procedente su observación.</t>
  </si>
  <si>
    <t>Se aclara al interesado que el CONPES 3714 no es aplicable a este tipo de proyectos toda vez que por tratarse de contratos de Asociación Público Privada, están asociados a los CONPES 3107 y 3760 (modificado por el CONPES 3800 en dos temas particulares)
Ahora bien es preciso indicar que los riesgos dentro del área regulatoria de la matriz están asignados al público, con excepción del riesgo de cambios en la normatividad tributaria el cual está asignado como compartido. Respecto a este último la regla que se plasmó en el contrato para medir y compartir el riesgo, se  deriva directamente del CONPES 3800. Esta asignación es comprensible en el entendido que un cambio tributario tiene implicaciones en cualquier proyecto de inversión y por lo tanto es lógico que el privado asuma parte del riesgo. Por lo anterior no es procedente su observación.</t>
  </si>
  <si>
    <t>Se aclara al interesado que la Entidad considera que lo mencionado sobre nuevos desarrollos tecnológicos ya está contenido en el riesgo de especificaciones técnicas que establece la sección 13.3(p) del contrato parte general. Adicionalmente para el caso particular de las tecnologías de recaudo que refiere el interesado, este evento ya se encuentra plasmado en la matriz en el riesgo 34 "Los sobrecostos y/o ahorro generados por la implementación de nuevas tecnologías de recaudo" asignado al público, en línea con lo establecido en la sección 8.3 de la parte general a la que refiere el interesado. Por lo tanto se invita al interesado a revisar estas secciones y no se considera necesario realizar ninguna precisión adicional.</t>
  </si>
  <si>
    <t>A. Ingresos
1. Se aclara al interesado que el Soporte de Ingresos, buscará cubrir un monto del ingreso específico detallado en cada Contrato en la Parte Especial que no  corresponde a la totalidad de los ingresos esperados pero se estima suficiente para atender las obligaciones principales durante los años en que se encuentre vigente incluyendo servicio de la deuda. La entidad incluirá esta figura para este Proyecto en la parte especial que se publicará con los pliegos definitivos.
2. De manera general la entidad considera que esta condición (no compensación final de VPIP) está alineada con el riesgo de no obtención del VPIP y que el proyecto es suficientemente atractivo y tiene condiciones estructurales sólidas. 
3. Se informa al interesado que el traslado de una parte de los Ingresos por Explotación Comercial a la subcuenta Excedentes ANI viene desde los proyectos 4G y se considera adecuado en el sentido de alinear incentivos y beneficios. Sin emargo se aclara al interesado que se presentará un ajuste en el porcentaje de distribución de los Ingresos por Explotación Comercial en la minuta que acompañará los Pliegos definitivos.</t>
  </si>
  <si>
    <t>B. contractual:
1. Se aclara al interesado que de acuerdo con las estimaciones realizadas en la estructuración, el proyecto está diseñado para tener una duración de 29 años o cercana independiente de choques de tráfico que puedan haber en la medida que este proyecto cuenta con una serie de información histórica y estable de más de 15 años. Dicho lo anterior cada interesado deberá realizar su debida diligencia y definir las condiciones de financiación y simular los escenarios posibles.
2. Se informa al interesado que en la Sección 8.1 del contrato Parte general se encuentran las regulaciones respecto a los costos derivados de los compromisos de nuevas consultas previas. En todo caso se informa que se ha realizado un ajuste en esta cláusula estableciendo un valor de referencia a partir del cual aplicará una compartición del riesgo por un sistema de bandas. Lo anterior, no aplica para los costo de las gestiones sociales y ambientales requeridas para adelantar la(s) Nueva(s) consulta(s) previa(s) la(s) cual(es) seguirá(n) 100% en cabeza del Privado. Esta nueva redacción se encontrará en la minuta que acompañe los pliegos definitivos.
3. Se aclara al interesado que este alcance se encontraba ya incorporado en algunos contratos 4G. Al tratarse de recursos relacionados con la ejecución del proyecto la entidad considera necesario contar con la facultad de inspeccionar o auditar el manejo de los recursos en ese patrimonio autónomo por ser conexos al patrimonio autónomo principal, sin que por esto se entienda como parte de ese contrato de fiducia
4. Se aclara al interesado que se ha ajustado la redacción de condiciones de obtención del Cierre Financiero en razón a estas consideraciones. La nueva redacción se encontrará en la minuta que se presentará con los pliegos definitivos.</t>
  </si>
  <si>
    <t>Entendemos que las consultas de esta sección hacen referencia a las fórmulas de liquidación por terminación anticipada. A continuación las consideraciones para cada una:
1.La entidad considera que tomando como base las experiencias en terminaciones de contratos 4G es necesario incluir un límite para las fórmulas de liquidación en terminación anticipada, por lo que no es procedente la observación. Se informa al interesado que ambas fórmulas son consistentes con la evolución del proyecto.
En este sentido y con el fin de ejemplificar el entendimiento de la fórmula,  las variables Uh y Eh de la fórmula F por defecto deberían ser consistentes con la variable ARh de la fórmula C, en el mismo sentido la variable Rh es la fuente de recursos con la cual se atienden las variables Amorth, Inth y Divh  (amortizaciones de capital, intereses y repago de dividendos) con lo cual el resultado de ambas fórmulas debería ser consistente a lo largo del ejercicio generando un límite asociado únicamente a las restricciones que se definan sobre la fórmula F, lo cual genera únicamente un límite específico
2. Se informa al interesado que en atención a esta preocupación se ha incluido en la fórmula F un componente llamado SProv el cual "corresponde al saldo contable a la fecha del Acta de Reversión de las cuentas por pagar por facturas causadas en el Patrimonio Autónomo del Proyecto asociadas únicamente al Contrato de Construcción, que cumplan con los criterios para ser reconocidas en la variable ARh, y que no hayan sido pagadas, expresado en pesos corrientes.". Este se encontrará en la minuta de contrato que se presentará con los pliegos definitivos.
3. La entidad considera para el caso hipotético que se plantea en el cual se ha refinanciado la deuda, que los montos que se demuestre que corresponden a la sustitución exacta de una deuda para la cual se puede demostrar a su vez el cumplimiento de dichas condiciones, gozarán del mismo reconocimient por supuesto sin que sea posible reconocer dos veces un mismo valor. Por lo anterior no se considera necesario realizar ajustes adicionales.
4. La certificación del ARh está indicada en contexto en el párrafo donde se indica que para cada rubro examinado "su valor no podrá ser superior al consignado en los registros contables del Patrimonio Autónomo para estos rubros, registrados en los estados financieros y certificados por el Interventor, ni superior al valor de mercado, de acuerdo con las condiciones particulares del Proyecto", en este sentido es claro porqué la certificación no apunta al valor definitivo sino al valor máximo que se podría reconocer bajo estos criterios, pero el valor definitivo solo podrá establecerse luego de surtido un riguroso análisis y auditoría a cada una de las facturas que se pretendan reconocer y sus soportes contractuales, contables y comerciales respectivos que permitan evaluar cada uno de los criterios de reconocimiento establecidos en esa sección, cuando se presente efectivamente la terminación. Por lo anterior no es pertinente realizar ajustes sobre esta cláusula.</t>
  </si>
  <si>
    <t xml:space="preserve">APÉNDICE TÉCNIO 1
Capítulo IX OBLIGACIONES DE LAS CONSULTAS PREVIAS 
ACUERDOS CONCERTADOS CON EL CONSEJO COMUNITARIO BOCAS DEL PALO, UF 3 AVENIDA CIUDAD DE CALI 
Medidas implementadas por el Consejo Comunitario de Bocas del Palo 
1.	COMPONENTE AMBIENTAL: 
26.	El concesionario o ejecutor del proyecto garantizará la suficiencia de las obras construidas para el manejo de escorrentía: para lo cual se construirán 44 obras hidráulicas (cajones, alcantarillas y puentes). Así mismo, se evaluará la necesidad de obras adicionales. En los puntos de preocupación de la comunidad (zanjón Potrerillo, intersección de la vía nueva con la vía de la comunidad y por el paso de la vía cercana al bosque Colindres) se estipulan las siguientes obras de drenaje: Zanjón Potrerillo: 1 alcantarilla, un puente de 70 metros de luz y 1 box coulvert; en la intersección y el bosque: 5 alcantarillas y 2 box coulvert (uno de 5 x 2 y otro de 1 x 1), en una menor distancia (en promedio menor a los 50 metros estipulados para el resto de las obras de drenaje). </t>
  </si>
  <si>
    <t>Respecto a los cuatro elementos mencionados se considera que el Contrato actualmente contempla y regula los mismos y por lo tanto la ANI considera que la asignación del riesgo por eventos geológicos es razonable y responde a las obligaciones específicas del Concesionario en esta materia.
Se aclara que dicha Sección 13.2(xi) tiene modificaciones, en primer lugar en el caso general en el que se determinen condiciones para expresamente prever coberturas del riesgo a cargo de la ANI se deja abierta esa posibilidad en el marco 5G, sin embargo se aclara que para este Proyecto en específico no se comparten riesgos geológicos. Esta condición específica se determina conociendo que la infraestructura existente construida con anterioridad y dentro de la Concesión 005 de 1999, tal como se presenta actualmente no presenta fenómenos geológicos complejos que indiquen la necesidad de modificar la asignación de riesgos.
En segundo lugar se aclara al interesado que la definición del riesgo se enmarca en los eventos relacionados por las Intervenciones, por lo cual existen condiciones para que el Concesionario lo gestione tanto en los Estudios de Trazado y Diseño Geométrico y Estudios de Detalle como en el desarrollo mismo de las Intervenciones. Para tal efecto la definición de los eventos geológicos se ajusta en los documentos definitivos quedando como el conjunto de amenazas o peligros para la infraestructura, recursos y las actividades humanas, provocados por la ejecución de las Intervenciones en desarrollo del Proyecto, que afecten la dinámica de diversos procesos geológicos naturales.</t>
  </si>
  <si>
    <t>1.      </t>
  </si>
  <si>
    <t>2.      </t>
  </si>
  <si>
    <r>
      <t>Unidad Funcional Cero:</t>
    </r>
    <r>
      <rPr>
        <sz val="12"/>
        <rFont val="Calibri Light"/>
        <family val="2"/>
        <scheme val="major"/>
      </rPr>
      <t> (UF) estará encargada de la operación y mantenimiento de 310 km de vía.</t>
    </r>
  </si>
  <si>
    <r>
      <t>Unidad Funcional 1:</t>
    </r>
    <r>
      <rPr>
        <sz val="12"/>
        <rFont val="Calibri Light"/>
        <family val="2"/>
        <scheme val="major"/>
      </rPr>
      <t> Estará a cargo de la puesta a punto y mantenimiento de los corredores existentes del sector norte, además de rehabilitación y mejoramiento del Paso Nacional por Palmira, intersección Versalles y de la intersección Parque del Azúcar. En total serán 151 Km.</t>
    </r>
  </si>
  <si>
    <r>
      <t>Unidad Funcional 2: </t>
    </r>
    <r>
      <rPr>
        <sz val="12"/>
        <rFont val="Calibri Light"/>
        <family val="2"/>
        <scheme val="major"/>
      </rPr>
      <t>Contempla la intervención de 111 km, tendrá a su cargo, la conexión del Cauca y el Valle del Cauca, pues tendrá la puesta a punto y mantenimiento de los corredores existentes del sector sur comprendidos entre Santander de Quilichao y la intersección Ingenio Providencia en Palmira.</t>
    </r>
  </si>
  <si>
    <r>
      <t>La tercera UF:</t>
    </r>
    <r>
      <rPr>
        <sz val="12"/>
        <rFont val="Calibri Light"/>
        <family val="2"/>
        <scheme val="major"/>
      </rPr>
      <t> Contempla la construcción y mantenimiento periódico de una calzada sencilla con compra de predios para doble calzada de la Avenida Bicentenario. Así mismo, construcción y mantenimiento de la intersección a desnivel del corredor con la vía Ye de Villa Rica - Jamundí así como la intersección con el corredor Cali - Puerto Tejada. Serán 15,6 km.</t>
    </r>
  </si>
  <si>
    <r>
      <t>La cuarta UF:</t>
    </r>
    <r>
      <rPr>
        <sz val="12"/>
        <rFont val="Calibri Light"/>
        <family val="2"/>
        <scheme val="major"/>
      </rPr>
      <t> Contempla la construcción de segunda calzada adosada en el corredor Intersección Av. Bicentenario hasta Ye de Villarrica, así como la puesta a punto del tramo Jamundí – Ye de Villarrica. Serán 15.4 km.</t>
    </r>
  </si>
  <si>
    <r>
      <t>La quinta UF</t>
    </r>
    <r>
      <rPr>
        <sz val="12"/>
        <rFont val="Calibri Light"/>
        <family val="2"/>
        <scheme val="major"/>
      </rPr>
      <t> Contempla la construcción del intercambiador Sameco, la puesta a punto del tramo Intercambiador Sameco – Glorieta Cencar, la construcción de segunda calzada adosada en el tramo Glorieta Cencar – Glorieta las Américas y la rehabilitación del tramo Glorieta las Américas – Paso Nivel en Yumbo. Serán 12 km.</t>
    </r>
  </si>
  <si>
    <t>3.      </t>
  </si>
  <si>
    <t>4.      </t>
  </si>
  <si>
    <t>5.      </t>
  </si>
  <si>
    <t>6.      </t>
  </si>
  <si>
    <t>7.      </t>
  </si>
  <si>
    <t>8.      </t>
  </si>
  <si>
    <t>9.      </t>
  </si>
  <si>
    <t>10.    </t>
  </si>
  <si>
    <t>11.    </t>
  </si>
  <si>
    <t>12.    </t>
  </si>
  <si>
    <t>13.    </t>
  </si>
  <si>
    <t>14.    </t>
  </si>
  <si>
    <t>15.    </t>
  </si>
  <si>
    <t>16.    </t>
  </si>
  <si>
    <t>17.    </t>
  </si>
  <si>
    <t>18.    </t>
  </si>
  <si>
    <t>19.    </t>
  </si>
  <si>
    <t>20.    </t>
  </si>
  <si>
    <t>21.    </t>
  </si>
  <si>
    <t>22.    </t>
  </si>
  <si>
    <r>
      <t>Modificar redacción. Revisar la definición de Beneficiario Real, porque tal y como están las sociedades matrices y/o de sus accionistas cabrían dentro de la misma, con las responsabilidades que ello implica. Ello puede afectar hasta dónde alcanza la responsabilidad del Consorcio. Se sugiere modificar redacción: "</t>
    </r>
    <r>
      <rPr>
        <i/>
        <sz val="12"/>
        <rFont val="Calibri Light"/>
        <family val="2"/>
        <scheme val="major"/>
      </rPr>
      <t>Es cualquier persona o grupo de personas que, directa o indirectamente por sí mismas o a través de interpuesta persona, por virtud de contrato, convenio o de cualquier otra manera, tenga respecto del Contrato, del Concesionario o del Patrimonio Autónomo capacidad decisoria; esto es, la facultad o el poder de votar en la elección de directivas o representantes o, de dirigir, orientar y controlar dicho voto, así como la facultad o el poder de enajenar y ordenar la enajenación o gravamen de la acción en el Concesionario o la participación en el Contrato o en el Patrimonio Autónomo. Igualmente, constituyen un mismo Beneficiario Real las sociedades matrices del Concesionario, así como sus subordinadas o subsidiarias y sus subordinadas</t>
    </r>
    <r>
      <rPr>
        <sz val="12"/>
        <rFont val="Calibri Light"/>
        <family val="2"/>
        <scheme val="major"/>
      </rPr>
      <t>."</t>
    </r>
  </si>
  <si>
    <t>23.    </t>
  </si>
  <si>
    <t>24.    </t>
  </si>
  <si>
    <t>25.    </t>
  </si>
  <si>
    <t>26.    </t>
  </si>
  <si>
    <t>27.    </t>
  </si>
  <si>
    <t>28.    </t>
  </si>
  <si>
    <r>
      <t>"</t>
    </r>
    <r>
      <rPr>
        <i/>
        <sz val="12"/>
        <rFont val="Calibri Light"/>
        <family val="2"/>
        <scheme val="major"/>
      </rPr>
      <t>Se refiere a los ingresos brutos efectivamente obtenidos como consecuencia de la prestación de los Servicios Adicionales, de acuerdo con lo previsto en la Sección 3.3 de este Contrato"</t>
    </r>
  </si>
  <si>
    <t>29.    </t>
  </si>
  <si>
    <t>30.    </t>
  </si>
  <si>
    <t>31.    </t>
  </si>
  <si>
    <t>32.    </t>
  </si>
  <si>
    <t>33.    </t>
  </si>
  <si>
    <t>34.    </t>
  </si>
  <si>
    <t>35.    </t>
  </si>
  <si>
    <t>36.    </t>
  </si>
  <si>
    <t>37.    </t>
  </si>
  <si>
    <t>38.    </t>
  </si>
  <si>
    <t>39.    </t>
  </si>
  <si>
    <t>40.    </t>
  </si>
  <si>
    <r>
      <t>Se debe establecer un límite a la obligación del Concesionario de mantener las garantías vigentes. Se propone siguiente redacción: "</t>
    </r>
    <r>
      <rPr>
        <i/>
        <sz val="12"/>
        <rFont val="Calibri Light"/>
        <family val="2"/>
        <scheme val="major"/>
      </rPr>
      <t>En todo caso la obligación del Concesionario se limitará a los sesenta (60) Días contados a partir de la firma del Acta de Reversión</t>
    </r>
    <r>
      <rPr>
        <sz val="12"/>
        <rFont val="Calibri Light"/>
        <family val="2"/>
        <scheme val="major"/>
      </rPr>
      <t>."</t>
    </r>
  </si>
  <si>
    <t>41.    </t>
  </si>
  <si>
    <t>42.    </t>
  </si>
  <si>
    <t>43.    </t>
  </si>
  <si>
    <t>44.    </t>
  </si>
  <si>
    <t>45.    </t>
  </si>
  <si>
    <t>46.    </t>
  </si>
  <si>
    <t>47.    </t>
  </si>
  <si>
    <t>48.    </t>
  </si>
  <si>
    <t>49.    </t>
  </si>
  <si>
    <t>50.    </t>
  </si>
  <si>
    <t>51.    </t>
  </si>
  <si>
    <r>
      <t>Se propone modificación en la redacción, ajustándolo a las facultades exorbitantes. Sustituir "</t>
    </r>
    <r>
      <rPr>
        <i/>
        <sz val="12"/>
        <rFont val="Calibri Light"/>
        <family val="2"/>
        <scheme val="major"/>
      </rPr>
      <t>interpretación de alguna de las estipulaciones del mismo</t>
    </r>
    <r>
      <rPr>
        <sz val="12"/>
        <rFont val="Calibri Light"/>
        <family val="2"/>
        <scheme val="major"/>
      </rPr>
      <t>" por "</t>
    </r>
    <r>
      <rPr>
        <i/>
        <sz val="12"/>
        <rFont val="Calibri Light"/>
        <family val="2"/>
        <scheme val="major"/>
      </rPr>
      <t>el ejercicio de las atribuciones exorbitantes de la ANI</t>
    </r>
    <r>
      <rPr>
        <sz val="12"/>
        <rFont val="Calibri Light"/>
        <family val="2"/>
        <scheme val="major"/>
      </rPr>
      <t>".</t>
    </r>
  </si>
  <si>
    <t>52.    </t>
  </si>
  <si>
    <t>53.    </t>
  </si>
  <si>
    <t>54.    </t>
  </si>
  <si>
    <r>
      <t xml:space="preserve">Ajuste en la redacción, eliminando el valor mínimo de la garantía y sustitución por </t>
    </r>
    <r>
      <rPr>
        <i/>
        <sz val="12"/>
        <rFont val="Calibri Light"/>
        <family val="2"/>
        <scheme val="major"/>
      </rPr>
      <t>"al porcentaje estandar de mercado</t>
    </r>
    <r>
      <rPr>
        <sz val="12"/>
        <rFont val="Calibri Light"/>
        <family val="2"/>
        <scheme val="major"/>
      </rPr>
      <t>".</t>
    </r>
  </si>
  <si>
    <t>55.    </t>
  </si>
  <si>
    <t>56.    </t>
  </si>
  <si>
    <t>57.    </t>
  </si>
  <si>
    <t>58.    </t>
  </si>
  <si>
    <t>59.    </t>
  </si>
  <si>
    <t>60.    </t>
  </si>
  <si>
    <t>61.    </t>
  </si>
  <si>
    <r>
      <t>Se proponen ajustes en la redacción, con el fin de que sea claro que la indemnidad es bilateral. "</t>
    </r>
    <r>
      <rPr>
        <i/>
        <sz val="12"/>
        <rFont val="Calibri Light"/>
        <family val="2"/>
        <scheme val="major"/>
      </rPr>
      <t>Si el Concesionario no obtuviere los Permisos y/o Licencias, dentro de los plazos previstos en el Contrato, por causas no imputables al Concesionario, la obtención tardía o parcial de los Permisos y/o Licencias se considerará un Evento Eximente de Responsabilidad</t>
    </r>
    <r>
      <rPr>
        <sz val="12"/>
        <rFont val="Calibri Light"/>
        <family val="2"/>
        <scheme val="major"/>
      </rPr>
      <t>."</t>
    </r>
  </si>
  <si>
    <t>62.    </t>
  </si>
  <si>
    <t>63.    </t>
  </si>
  <si>
    <t>64.    </t>
  </si>
  <si>
    <t>65.    </t>
  </si>
  <si>
    <t>66.    </t>
  </si>
  <si>
    <t>67.    </t>
  </si>
  <si>
    <t>68.    </t>
  </si>
  <si>
    <t>69.    </t>
  </si>
  <si>
    <t>70.    </t>
  </si>
  <si>
    <t>71.    </t>
  </si>
  <si>
    <t>72.    </t>
  </si>
  <si>
    <t>73.    </t>
  </si>
  <si>
    <t>74.    </t>
  </si>
  <si>
    <t>75.    </t>
  </si>
  <si>
    <t>76.    </t>
  </si>
  <si>
    <t>77.    </t>
  </si>
  <si>
    <t>78.    </t>
  </si>
  <si>
    <t>79.    </t>
  </si>
  <si>
    <t>80.    </t>
  </si>
  <si>
    <t>81.    </t>
  </si>
  <si>
    <t>82.    </t>
  </si>
  <si>
    <r>
      <t xml:space="preserve">Se solicita confirmar si las especificaciones técnicas definidas en la Tabla 11, corresponden a las </t>
    </r>
    <r>
      <rPr>
        <u/>
        <sz val="12"/>
        <rFont val="Calibri Light"/>
        <family val="2"/>
        <scheme val="major"/>
      </rPr>
      <t>características de entrega</t>
    </r>
    <r>
      <rPr>
        <sz val="12"/>
        <rFont val="Calibri Light"/>
        <family val="2"/>
        <scheme val="major"/>
      </rPr>
      <t xml:space="preserve"> del tramo.</t>
    </r>
  </si>
  <si>
    <t>83.    </t>
  </si>
  <si>
    <t>84.    </t>
  </si>
  <si>
    <t>85.    </t>
  </si>
  <si>
    <t>86.    </t>
  </si>
  <si>
    <t>87.    </t>
  </si>
  <si>
    <t>88.    </t>
  </si>
  <si>
    <t>89.    </t>
  </si>
  <si>
    <r>
      <t>PARÁGRAFO:</t>
    </r>
    <r>
      <rPr>
        <sz val="12"/>
        <rFont val="Calibri Light"/>
        <family val="2"/>
        <scheme val="major"/>
      </rPr>
      <t xml:space="preserve"> La Entidad NO solicita que todos los proponentes levanten el Velo Corporativo, sino únicamente aquellos que se encuentren en las circunstancias aquí descritas.”</t>
    </r>
  </si>
  <si>
    <t>90.    </t>
  </si>
  <si>
    <t>91.    </t>
  </si>
  <si>
    <t>92.    </t>
  </si>
  <si>
    <t>93.    </t>
  </si>
  <si>
    <t>94.    </t>
  </si>
  <si>
    <t>95.    </t>
  </si>
  <si>
    <t>96.    </t>
  </si>
  <si>
    <t>97.    </t>
  </si>
  <si>
    <t>98.    </t>
  </si>
  <si>
    <t>99.    </t>
  </si>
  <si>
    <r>
      <t>"(b) Incorporación de bienes nacionales: Para la aplicación de este criterio se tendrá en cuenta lo dispuesto por el segundo inciso del artículo 2º de la Ley 816 de 2003. Los Oferentes de origen extranjero, o aquellos en que la totalidad de la estructura plural no sea nacional</t>
    </r>
    <r>
      <rPr>
        <u/>
        <sz val="12"/>
        <rFont val="Calibri Light"/>
        <family val="2"/>
        <scheme val="major"/>
      </rPr>
      <t xml:space="preserve"> y no hayan acreditado la reciprocidad o trato nacional</t>
    </r>
    <r>
      <rPr>
        <sz val="12"/>
        <rFont val="Calibri Light"/>
        <family val="2"/>
        <scheme val="major"/>
      </rPr>
      <t>, de conformidad con lo dispuesto en el Sección 5.4 de este Pliego de Condiciones, que ofrezcan determinado porcentaje de bienes nacionales en la infraestructura objeto del contrato, obtendrán el siguiente puntaje (...)"</t>
    </r>
  </si>
  <si>
    <r>
      <t>8.1 (c) Las Compensaciones Socioambientales deberán ser realizadas por el Concesionario, con cargo a los recursos que a continuación se establecen: (ii) (…) Al finalizar la ejecución de las Compensaciones Socioambientales, el remanente de los recursos de la Subcuenta Compensaciones Socioambientales s</t>
    </r>
    <r>
      <rPr>
        <i/>
        <strike/>
        <sz val="12"/>
        <rFont val="Calibri Light"/>
        <family val="2"/>
        <scheme val="major"/>
      </rPr>
      <t>erá de libre disposición de la ANI, siendo la única beneficiaria de la totalidad de los recursos remanentes y, por tanto, estos recursos se trasladarán</t>
    </r>
    <r>
      <rPr>
        <i/>
        <sz val="12"/>
        <rFont val="Calibri Light"/>
        <family val="2"/>
        <scheme val="major"/>
      </rPr>
      <t xml:space="preserve"> de haberlo, será distribuido entre el Concesionario y la ANI en una proporción sesenta (60)/cuarenta (40) respectivamente. Los remanentes a favor de la ANI, serán transferidos a la Subcuenta Excedentes ANI.</t>
    </r>
  </si>
  <si>
    <r>
      <t>"</t>
    </r>
    <r>
      <rPr>
        <u/>
        <sz val="12"/>
        <rFont val="Calibri Light"/>
        <family val="2"/>
        <scheme val="major"/>
      </rPr>
      <t>El FMV se establecerá en un importe igual a la suma de (i) el equity en la concesionaria, (ii) el saldo vivo de las deudas subordinadas de accionistas al precio que ambos pudieran ser vendidos bajo criterio de mercado abierto asumiendo las siguientes hipótesis:</t>
    </r>
  </si>
  <si>
    <r>
      <t>La determinación del FMV la calculará un experto independiente elegido de mutuo acuerdo entre las Partes, y el cálculo se hará siguiendo la metodología definida en esta sección.</t>
    </r>
    <r>
      <rPr>
        <sz val="12"/>
        <rFont val="Calibri Light"/>
        <family val="2"/>
        <scheme val="major"/>
      </rPr>
      <t>"</t>
    </r>
  </si>
  <si>
    <r>
      <t xml:space="preserve">Es por esto que respetuosamente solicitamos se ajuste la definición de Elusión como sigue: "Se entiende como el uso legítimo de Nuevas Vías Públicas que no fueron contempladas durante la etapa de estructuración y hasta </t>
    </r>
    <r>
      <rPr>
        <u/>
        <sz val="12"/>
        <rFont val="Calibri Light"/>
        <family val="2"/>
        <scheme val="major"/>
      </rPr>
      <t xml:space="preserve">30 días antes del Cierre del Plazo de la Licitación Pública </t>
    </r>
    <r>
      <rPr>
        <strike/>
        <u/>
        <sz val="12"/>
        <rFont val="Calibri Light"/>
        <family val="2"/>
        <scheme val="major"/>
      </rPr>
      <t>el cierre del Proceso de Selección del Proyecto</t>
    </r>
    <r>
      <rPr>
        <sz val="12"/>
        <rFont val="Calibri Light"/>
        <family val="2"/>
        <scheme val="major"/>
      </rPr>
      <t xml:space="preserve"> y que tenga como efecto el no paso por las Estaciones de Peaje. No se entenderá como Elusión el uso de las vías que se listen en la Parte Especial, ni el uso ilegítimo de cualquier otra vía alterna utilizada por parte de los usuarios del Proyecto". </t>
    </r>
  </si>
  <si>
    <r>
      <t xml:space="preserve">Ninguna cobertura podrá ser inferior al valor asegurado mínimo requerido, excepto los amparos de responsabilidad civil patronal y vehículos propios y no propios que no podrán ser inferiores por evento, al cincuenta por ciento (50%) del valor asegurado mínimo. </t>
    </r>
    <r>
      <rPr>
        <i/>
        <strike/>
        <sz val="12"/>
        <rFont val="Calibri Light"/>
        <family val="2"/>
        <scheme val="major"/>
      </rPr>
      <t>No</t>
    </r>
    <r>
      <rPr>
        <i/>
        <sz val="12"/>
        <rFont val="Calibri Light"/>
        <family val="2"/>
        <scheme val="major"/>
      </rPr>
      <t xml:space="preserve"> </t>
    </r>
    <r>
      <rPr>
        <b/>
        <i/>
        <u/>
        <sz val="12"/>
        <rFont val="Calibri Light"/>
        <family val="2"/>
        <scheme val="major"/>
      </rPr>
      <t>Solo</t>
    </r>
    <r>
      <rPr>
        <b/>
        <i/>
        <sz val="12"/>
        <rFont val="Calibri Light"/>
        <family val="2"/>
        <scheme val="major"/>
      </rPr>
      <t xml:space="preserve"> </t>
    </r>
    <r>
      <rPr>
        <i/>
        <sz val="12"/>
        <rFont val="Calibri Light"/>
        <family val="2"/>
        <scheme val="major"/>
      </rPr>
      <t>se aceptará</t>
    </r>
    <r>
      <rPr>
        <b/>
        <i/>
        <u/>
        <sz val="12"/>
        <rFont val="Calibri Light"/>
        <family val="2"/>
        <scheme val="major"/>
      </rPr>
      <t>n</t>
    </r>
    <r>
      <rPr>
        <i/>
        <sz val="12"/>
        <rFont val="Calibri Light"/>
        <family val="2"/>
        <scheme val="major"/>
      </rPr>
      <t xml:space="preserve"> </t>
    </r>
    <r>
      <rPr>
        <i/>
        <strike/>
        <sz val="12"/>
        <rFont val="Calibri Light"/>
        <family val="2"/>
        <scheme val="major"/>
      </rPr>
      <t>ningún</t>
    </r>
    <r>
      <rPr>
        <i/>
        <sz val="12"/>
        <rFont val="Calibri Light"/>
        <family val="2"/>
        <scheme val="major"/>
      </rPr>
      <t xml:space="preserve"> otro tipo de sublímites </t>
    </r>
    <r>
      <rPr>
        <i/>
        <strike/>
        <sz val="12"/>
        <rFont val="Calibri Light"/>
        <family val="2"/>
        <scheme val="major"/>
      </rPr>
      <t xml:space="preserve">ni de limitación al valor asegurado por cada una de las coberturas de la Garantía de Responsabilidad Extracontractual. </t>
    </r>
    <r>
      <rPr>
        <b/>
        <sz val="12"/>
        <rFont val="Calibri Light"/>
        <family val="2"/>
        <scheme val="major"/>
      </rPr>
      <t xml:space="preserve"> </t>
    </r>
    <r>
      <rPr>
        <b/>
        <u/>
        <sz val="12"/>
        <rFont val="Calibri Light"/>
        <family val="2"/>
        <scheme val="major"/>
      </rPr>
      <t>que respondan a la práctica habitual del mercado asegurador.</t>
    </r>
    <r>
      <rPr>
        <b/>
        <sz val="12"/>
        <rFont val="Calibri Light"/>
        <family val="2"/>
        <scheme val="major"/>
      </rPr>
      <t xml:space="preserve"> </t>
    </r>
  </si>
  <si>
    <r>
      <t>"independientemente de la causa que lo genere"</t>
    </r>
    <r>
      <rPr>
        <sz val="12"/>
        <rFont val="Calibri Light"/>
        <family val="2"/>
        <scheme val="major"/>
      </rPr>
      <t>. Las pólizas de seguro, incluso las contratadas en formato Todo Riesgo están sujetas a exclusiones. Esta definición debería revisarse</t>
    </r>
  </si>
  <si>
    <r>
      <t>El contrato establece que en la fórmula de liquidación en caso de terminación unilateral de la ANI, en caso de no cumplirse los requisitos del estudio de estimación de ingresos, se asumirán "0" ingresos. Esto no es aceptable, más aún cuando las Partes deben acordar el especialista técnico que realizará los estudios y definirle los requerimientos del trabajo a realizar. De la manera más respetuosa posible se solicita eliminar el siguiente párrafo de esta cláusula: "</t>
    </r>
    <r>
      <rPr>
        <i/>
        <sz val="12"/>
        <rFont val="Calibri Light"/>
        <family val="2"/>
        <scheme val="major"/>
      </rPr>
      <t>De no existir informacion histórica suficiente o en el caso en que el modelo estadistico no cumpla con las condiciones indicadas, el monto de estos ingresos tomará el valor de cero (0)</t>
    </r>
    <r>
      <rPr>
        <sz val="12"/>
        <rFont val="Calibri Light"/>
        <family val="2"/>
        <scheme val="major"/>
      </rPr>
      <t>"</t>
    </r>
  </si>
  <si>
    <r>
      <t xml:space="preserve">De acuerdo con el numeral 4.3.4 Patrimonio Neto, literal (c) del proyecto de pliego de condiciones se indica que “El Oferente deberá contar con un Patrimonio Neto mínimo de Quinientos ochenta y un mil cuatrocientos millones ($581.400.000.000) </t>
    </r>
    <r>
      <rPr>
        <u/>
        <sz val="12"/>
        <rFont val="Calibri Light"/>
        <family val="2"/>
        <scheme val="major"/>
      </rPr>
      <t>Pesos del Mes de Referencia</t>
    </r>
    <r>
      <rPr>
        <sz val="12"/>
        <rFont val="Calibri Light"/>
        <family val="2"/>
        <scheme val="major"/>
      </rPr>
      <t xml:space="preserve"> según sus Estados Financieros, al último cierre ordinario.” (subrayado fuera de texto)</t>
    </r>
  </si>
  <si>
    <r>
      <t xml:space="preserve">El numeral 1.3.43 “Mes de Referencia” del proyecto de pliego de condiciones indica: “Es el Mes en el cual se expresan los valores constantes. Para efectos del presente Proceso de Selección, es el </t>
    </r>
    <r>
      <rPr>
        <u/>
        <sz val="12"/>
        <rFont val="Calibri Light"/>
        <family val="2"/>
        <scheme val="major"/>
      </rPr>
      <t>31 de diciembre de 2018</t>
    </r>
    <r>
      <rPr>
        <sz val="12"/>
        <rFont val="Calibri Light"/>
        <family val="2"/>
        <scheme val="major"/>
      </rPr>
      <t>.” (subrayado fuera de texto)</t>
    </r>
  </si>
  <si>
    <r>
      <t xml:space="preserve">El numeral 1.3.25 “Estados Financieros” del proyecto de pliego de condiciones indica. “Son, para los propósitos del presente Proceso de Selección, los balances generales y el estado de pérdidas y ganancias de la persona jurídica en el cual se reflejen los resultados correspondientes al </t>
    </r>
    <r>
      <rPr>
        <u/>
        <sz val="12"/>
        <rFont val="Calibri Light"/>
        <family val="2"/>
        <scheme val="major"/>
      </rPr>
      <t>31 de diciembre de 2019</t>
    </r>
    <r>
      <rPr>
        <sz val="12"/>
        <rFont val="Calibri Light"/>
        <family val="2"/>
        <scheme val="major"/>
      </rPr>
      <t xml:space="preserve"> o el último cierre ordinario si fuese distinto, que hayan sido tomados como base para decretar dividendos y para la liquidación del impuesto de renta o su equivalente, debidamente aprobados por la Asamblea de accionistas, junta de socios o el órgano social competente y deberán encontrarse debidamente auditados y dictaminados de conformidad con lo establecido por la legislación del país de origen.  (subrayado fuera de texto).</t>
    </r>
  </si>
  <si>
    <r>
      <t xml:space="preserve">En la coyuntura mundial actual y buscando facilitar la participacion de inversionistas y financiadores del proyecto, </t>
    </r>
    <r>
      <rPr>
        <u/>
        <sz val="12"/>
        <rFont val="Calibri Light"/>
        <family val="2"/>
        <scheme val="major"/>
      </rPr>
      <t>solicitamos se mantenga el mecanismo de Soporte de Ingresos descrito en la Parte General, teniendo en cuenta adicionalmente que</t>
    </r>
    <r>
      <rPr>
        <sz val="12"/>
        <rFont val="Calibri Light"/>
        <family val="2"/>
        <scheme val="major"/>
      </rPr>
      <t>:
- Los estudios de Factibilidad cuentan con un estudio de trafico
- De acuerdo con el numeral 3.4 (d), al terminar la Etapa de Operación y Mantenimiento, la ANI no reconocerá al concesionario el saldo no devengado del VPIP y al no contar con Soporte de Ingresos, el riesgo comercial es asumido 100% por el Concesionario.
 - “Las proyecciones de ingresos por concepto de tráfico están relacionadas con variables macroeconómicas, y de desarrollo regional, entre otras, las cuales son variables exógenas al desarrollo de los proyectos y por ende de difícil control por parte del concesionario, quien controla de manera efectiva la calidad y disponibilidad de la infraestructura a su cargo.” - Documento Conpes 3760
 - Los ingresos del proyecto provendrán exclusivamente por el recaudo de peajes sin tener en cuenta los ingresos por explotación comercial.</t>
    </r>
  </si>
  <si>
    <r>
      <t>Se Solicita que en la Tabla de Referencia a la Parte General del Capítulo II del Contrato Parte Especial, en la fila que hace referencia a la sección 1.55, se liste los proyectos explícitamente</t>
    </r>
    <r>
      <rPr>
        <sz val="12"/>
        <rFont val="Calibri Light"/>
        <family val="2"/>
        <scheme val="major"/>
      </rPr>
      <t>, (nombre del proyecto y las vías que lo componen) que el estructurador contempló en sus análisis que se encuentran incorporados en el/los Plan/es de Ordenamiento Territorial o Departamental pertinentes, así como los que se encuentran registrados en el RUAPP y su prefactibilidad ha sido aprobada o se hayan contratado la estructuración pública por parte de entidades estales.</t>
    </r>
  </si>
  <si>
    <r>
      <t>Se solicita eliminar el concepto de Nueva via publica</t>
    </r>
    <r>
      <rPr>
        <sz val="12"/>
        <rFont val="Calibri Light"/>
        <family val="2"/>
        <scheme val="major"/>
      </rPr>
      <t>.</t>
    </r>
  </si>
  <si>
    <r>
      <t xml:space="preserve">Teniendo en cuenta que en el alcance del contrato definido en el numeral 3.2 de la Parte Especial "El objeto del Contrato corresponde a la financiación, elaboración de estudios y diseños definitivos" se incluye los estudios de trazado de Diseño geometrico y estudios de detalle definidos en los numerales 1.63 y 1.64 Parte General que modificarán (no por optimizaciones) los Estudios realizados por la ANI </t>
    </r>
    <r>
      <rPr>
        <b/>
        <sz val="12"/>
        <rFont val="Calibri Light"/>
        <family val="2"/>
        <scheme val="major"/>
      </rPr>
      <t>a nivel de factibilidad</t>
    </r>
    <r>
      <rPr>
        <sz val="12"/>
        <rFont val="Calibri Light"/>
        <family val="2"/>
        <scheme val="major"/>
      </rPr>
      <t xml:space="preserve"> y que de acuerdo al concepto de la CCI el grado de exactitud en las cuantificaciones para Estudios de Factibilidad esta alrededor del 75% a 80%, se solicita la eliminación del numeral 6.3 de la Parte General a menos que los diseños de referencia presentados por la ANI correspondan a diseños fase III.</t>
    </r>
  </si>
  <si>
    <r>
      <t>Teniendo en cuenta el numeral 6.3 del Contrato Parte General, que los Estudios de Factibilidad son de referencia y que dichos estudios no son de detalle, s</t>
    </r>
    <r>
      <rPr>
        <u/>
        <sz val="12"/>
        <rFont val="Calibri Light"/>
        <family val="2"/>
        <scheme val="major"/>
      </rPr>
      <t>e solicita incluir dentro de las salvedades del numeral 6.3 (b) el caso en que</t>
    </r>
    <r>
      <rPr>
        <sz val="12"/>
        <rFont val="Calibri Light"/>
        <family val="2"/>
        <scheme val="major"/>
      </rPr>
      <t xml:space="preserve"> el área de la franja de terreno del corredor vial del Proyecto que ha sido declarada de utilidad pública e interés social determinada en los Estudios de Factibilidad de Trazado y Diseño Geométrico resulte escasa para poder cumplir con las Especificaciones Técnicas del contrato de acuerdo con los hallazgos encontrados en los estudios de detalle de las distintas diciplinas, como lo son geotecnia (taludes más tendidos que los determinados en los estudios de factibilidad), geología, (áreas geológicamente inestables no detectadas en los estudios de factibilidad), hidráulica (obras hidráulicas más grandes, y/o gálibos hidráulicos más altos que las determinados en los estudios de factibilidad), estudio de Topografía (Accidentes topográficos no mostrados en los estudios de factibilidad), diseño geométrico (Intersecciones más amplias, mayor número de carriles en los peajes y otros, no dimensionados en los diseños de factibilidad), entre otros estudios.</t>
    </r>
  </si>
  <si>
    <r>
      <t>Se solicita que se indique cual fue la metodología efectuada para establecer el área de la franja de terreno</t>
    </r>
    <r>
      <rPr>
        <sz val="12"/>
        <rFont val="Calibri Light"/>
        <family val="2"/>
        <scheme val="major"/>
      </rPr>
      <t xml:space="preserve"> del corredor vial del Proyecto que ha sido declarada de utilidad pública e interés social determinada en los Estudios de Factibilidad de Trazado y Diseño Geométrico establecida en el numeral 6.2 (b) del Contrato parte General.</t>
    </r>
  </si>
  <si>
    <r>
      <t xml:space="preserve">Solicitamos que el riesgo establecido en el numeral 13.2 a.(vii) del Contrato Parte General </t>
    </r>
    <r>
      <rPr>
        <i/>
        <sz val="12"/>
        <rFont val="Calibri Light"/>
        <family val="2"/>
        <scheme val="major"/>
      </rPr>
      <t>"Los efectos favorables y/o desfavorables derivados de los Estudios de Detalle y Estudios de Trazado y Diseño Geométrico o cualquier otro componente de diseño</t>
    </r>
    <r>
      <rPr>
        <sz val="12"/>
        <rFont val="Calibri Light"/>
        <family val="2"/>
        <scheme val="major"/>
      </rPr>
      <t>" sea compartido con la ANI, toda vez que el Concesionario no podrá modificar el trazado y diseño geométrico fuera del área de la franja de terreno del corredor vial del Proyecto que ha sido declarada de utilidad pública e interés social determinada en los Estudios de Factibilidad de Trazado y Diseño Geométrico efectuados por la ANI</t>
    </r>
  </si>
  <si>
    <r>
      <t xml:space="preserve">Teniendo en cuenta que estos pasivos corresponden a obligaciones de terceros como parte del alcance básico del Contrato de Concesión No, 005 de 1999, </t>
    </r>
    <r>
      <rPr>
        <u/>
        <sz val="12"/>
        <rFont val="Calibri Light"/>
        <family val="2"/>
        <scheme val="major"/>
      </rPr>
      <t>Solicitamos se excluya del alcance del contrato las obligaciones ambientales (expedientes ambientales 1659, 1015 y 3423 del Ministerio de Ambiente)</t>
    </r>
  </si>
  <si>
    <r>
      <t>Se solicita modificar la Nota 4 del numeral 7.2.2 Mezcla Densa en Caucho Reciclado: "El Concesionario deberá asegurar que las garantías que amparan el cumplimiento del contrato amparen la totalidad de obras a ejecutar, incluidas las actividades y obras en las cuales se empleé mezclas asfálticas según el porcentaje indicado utilizando cemento asfáltico modificado con grano de caucho reciclado" eliminando "</t>
    </r>
    <r>
      <rPr>
        <b/>
        <sz val="12"/>
        <rFont val="Calibri Light"/>
        <family val="2"/>
        <scheme val="major"/>
      </rPr>
      <t xml:space="preserve">según el porcentaje indicado utilizando cemento asfáltico modificado" y cambiarlo por "modificada" </t>
    </r>
    <r>
      <rPr>
        <sz val="12"/>
        <rFont val="Calibri Light"/>
        <family val="2"/>
        <scheme val="major"/>
      </rPr>
      <t xml:space="preserve"> con el fin que se permitá la modificación de la mezcla asfáltica tanto por vía húmeda como por vía seca.</t>
    </r>
  </si>
  <si>
    <r>
      <t xml:space="preserve">Se solicita modificar el primer parrafo del numeral 7.2.2 del Apendice Tecnico 1, del Anexo 19 y del pliego de condiciones numeral 5.5.1 y demas referencias de los documentos de licitación: "El Concesionario deberán incluir el uso de Mezcla Asfáltica reciclada en una longitud continua, mínimo igual al 10% de la longitud total que conforma cada una de las Unidades Funcionales del proyecto" eliminando del mismo la palabra </t>
    </r>
    <r>
      <rPr>
        <b/>
        <sz val="12"/>
        <rFont val="Calibri Light"/>
        <family val="2"/>
        <scheme val="major"/>
      </rPr>
      <t>continua.</t>
    </r>
    <r>
      <rPr>
        <sz val="12"/>
        <rFont val="Calibri Light"/>
        <family val="2"/>
        <scheme val="major"/>
      </rPr>
      <t xml:space="preserve">  </t>
    </r>
  </si>
  <si>
    <r>
      <t>“</t>
    </r>
    <r>
      <rPr>
        <i/>
        <sz val="12"/>
        <rFont val="Calibri Light"/>
        <family val="2"/>
        <scheme val="major"/>
      </rPr>
      <t>El Concesionario deberá destinar un carril por sentido para el paso de vehículos con cargas extra-dimensionadas y extra-pesadas, con un ancho mínimo de 6.00 m.</t>
    </r>
  </si>
  <si>
    <r>
      <t>El diseño y la construcción de los sistemas de cobro y dimensionamiento del carril serán responsabilidad del Concesionario, quien asumirá todos los costos asociados, incluyendo los ajustes a la infraestructura que fuesen necesarios en las Estaciones de Peaje, entre otros</t>
    </r>
    <r>
      <rPr>
        <sz val="12"/>
        <rFont val="Calibri Light"/>
        <family val="2"/>
        <scheme val="major"/>
      </rPr>
      <t>.“</t>
    </r>
  </si>
  <si>
    <r>
      <t xml:space="preserve">Se solicita especificar en el Apéndice Técnico 1 que los enlaces de las intersecciones podrán tener velocidades de diseño, radios mínimos y pendientes máximas distintas a las especificadas a las tablas de </t>
    </r>
    <r>
      <rPr>
        <i/>
        <sz val="12"/>
        <rFont val="Calibri Light"/>
        <family val="2"/>
        <scheme val="major"/>
      </rPr>
      <t>"Características Geométricas y técnicas de Entrega de cada Tramo para vías a cielo abierto"</t>
    </r>
    <r>
      <rPr>
        <sz val="12"/>
        <rFont val="Calibri Light"/>
        <family val="2"/>
        <scheme val="major"/>
      </rPr>
      <t xml:space="preserve"> de cada unidad funcional siempre teniendo en cuenta las recomendaciones establecidas en el Manual de Diseño Geométrico para carreteras del INVIAS..</t>
    </r>
  </si>
  <si>
    <r>
      <t xml:space="preserve">Teniendo en cuenta que el Concesionario deberá habilitar, reformar (si aplica), operar y mantener cómo mínimo las seis (6) Estaciones fijas de Pesaje presentadas en el numeral 3.3 del Apéndice Técnico 1, se solicita eliminar el tercer párrafo del numeral 3.3.8 del Apéndice Técnico 2 que establece: </t>
    </r>
    <r>
      <rPr>
        <i/>
        <sz val="12"/>
        <rFont val="Calibri Light"/>
        <family val="2"/>
        <scheme val="major"/>
      </rPr>
      <t>“Las Estaciones de Pesajes deberán realizar controles de pesaje en los dos sentidos de circulación del tránsito. La infraestructura por sentido de la estación de pesaje debe estar en la margen derecha del flujo de los vehículos.”</t>
    </r>
    <r>
      <rPr>
        <sz val="12"/>
        <rFont val="Calibri Light"/>
        <family val="2"/>
        <scheme val="major"/>
      </rPr>
      <t>, toda vez que las seis estaciones de pesaje son existentes.</t>
    </r>
  </si>
  <si>
    <r>
      <t>Se solicita incluir dentro del Metodo de medida del indicador IRI, la excepción de la medida de este indicador</t>
    </r>
    <r>
      <rPr>
        <b/>
        <sz val="12"/>
        <rFont val="Calibri Light"/>
        <family val="2"/>
        <scheme val="major"/>
      </rPr>
      <t xml:space="preserve"> en pasos urbano</t>
    </r>
    <r>
      <rPr>
        <sz val="12"/>
        <rFont val="Calibri Light"/>
        <family val="2"/>
        <scheme val="major"/>
      </rPr>
      <t xml:space="preserve">s, dado que por el gran número de alcantarillas, cajas, tapas de inspección y otras obras que generalmente se encuentran en estos pasos, el IRI tendrá errores o interferencias en la medición.  </t>
    </r>
  </si>
  <si>
    <r>
      <t xml:space="preserve">Se solicita cambiar "Valor caracteristico de cálculo Dc" por "Deflexión central media del tramo"  del Valor de aceptación del </t>
    </r>
    <r>
      <rPr>
        <b/>
        <sz val="12"/>
        <rFont val="Calibri Light"/>
        <family val="2"/>
        <scheme val="major"/>
      </rPr>
      <t>indicador Capacidad estuctural</t>
    </r>
    <r>
      <rPr>
        <sz val="12"/>
        <rFont val="Calibri Light"/>
        <family val="2"/>
        <scheme val="major"/>
      </rPr>
      <t>.  La deflexión caracteristica o valor caracteristico es el promedio de deflexiones del tramo, más las desviación estandar afectada por la confiabilidad, este valor no representa la deflexión del tramo dado que esta afectada por una variable estadistica externa.  El valor de la deflexión central promedio permtirá evaluar el comportamiento de la estructura sin ningú valor adicional que la afecte.</t>
    </r>
  </si>
  <si>
    <r>
      <t xml:space="preserve"> “Podrán participar en la presente Licitación Pública y presentar Ofertas las personas naturales y/o jurídicas de Derecho Privado, l</t>
    </r>
    <r>
      <rPr>
        <u/>
        <sz val="12"/>
        <rFont val="Calibri Light"/>
        <family val="2"/>
        <scheme val="major"/>
      </rPr>
      <t>as Sociedades de Economía Mixta, sus filiales, las empresas de servicios públicos domiciliarios y las Empresas Industriales y Comerciales del Estado o sus asimiladas</t>
    </r>
    <r>
      <rPr>
        <sz val="12"/>
        <rFont val="Calibri Light"/>
        <family val="2"/>
        <scheme val="major"/>
      </rPr>
      <t>, sean nacionales o extranjeras, todas ellas de manera individual o bajo Estructuras Plurales.”</t>
    </r>
  </si>
  <si>
    <r>
      <t>Solicitamos respetuosamente a la entidad que incorpore en la definición de Prestamistas, adicionalmente a los fondos y otras modalidades previstas en la Sección 3.8(a) de esta Parte General, a quienes: (i) se subroguen o sean cesionarios de los derechos de los Prestamistas; y/o (ii) a quienes otorguen garantías en favor de los Prestamistas</t>
    </r>
    <r>
      <rPr>
        <i/>
        <sz val="12"/>
        <rFont val="Calibri Light"/>
        <family val="2"/>
        <scheme val="major"/>
      </rPr>
      <t>.</t>
    </r>
    <r>
      <rPr>
        <sz val="12"/>
        <rFont val="Calibri Light"/>
        <family val="2"/>
        <scheme val="major"/>
      </rPr>
      <t xml:space="preserve"> Lo anterior permitirá vincular agencias y entidades internacionales que promueven y facilitan los esquemas de financiación bien sea otorgando garantías a los prestamistas o a los tenedores de bonos. </t>
    </r>
  </si>
  <si>
    <r>
      <t>"</t>
    </r>
    <r>
      <rPr>
        <i/>
        <sz val="12"/>
        <rFont val="Calibri Light"/>
        <family val="2"/>
        <scheme val="major"/>
      </rPr>
      <t>Para las Estructuras Plurales, la Entidad tendrá en cuenta la planta de personal del</t>
    </r>
    <r>
      <rPr>
        <i/>
        <u/>
        <sz val="12"/>
        <rFont val="Calibri Light"/>
        <family val="2"/>
        <scheme val="major"/>
      </rPr>
      <t xml:space="preserve"> integrante y/o de sus sociedades controladas, Matrices, o sociedades controladas por sus Matrices que aportaron</t>
    </r>
    <r>
      <rPr>
        <i/>
        <sz val="12"/>
        <rFont val="Calibri Light"/>
        <family val="2"/>
        <scheme val="major"/>
      </rPr>
      <t xml:space="preserve"> como mínimo el cuarenta por ciento (40%) de la experiencia requerida para el Proceso de Contratación</t>
    </r>
    <r>
      <rPr>
        <sz val="12"/>
        <rFont val="Calibri Light"/>
        <family val="2"/>
        <scheme val="major"/>
      </rPr>
      <t>."</t>
    </r>
  </si>
  <si>
    <r>
      <t>Se solicita a la Entidad publicar los Expedientes MAVDT 1659, 1015 y 3423 relacionados en el Capitulo VIII, asi como la Licencias ambientales allí mencionadas, con el objetivo de validar lo pertinente en materia de tramites pendientes en materia ambiental que deba continuar el nuevo Concesionario y a efectos de poder asumir con el debido conocimiento lo indicado en el literal (b) de la sección 8.1. que indica que "</t>
    </r>
    <r>
      <rPr>
        <i/>
        <sz val="12"/>
        <rFont val="Calibri Light"/>
        <family val="2"/>
        <scheme val="major"/>
      </rPr>
      <t>El Concesionario deberá aceptar la cesión respectiva sin reserva alguna, haciéndose titular de todos los derechos y/u obligaciones derivadas del trámite respectivo</t>
    </r>
    <r>
      <rPr>
        <sz val="12"/>
        <rFont val="Calibri Light"/>
        <family val="2"/>
        <scheme val="major"/>
      </rPr>
      <t>."</t>
    </r>
  </si>
  <si>
    <r>
      <t>"</t>
    </r>
    <r>
      <rPr>
        <i/>
        <sz val="12"/>
        <rFont val="Calibri Light"/>
        <family val="2"/>
        <scheme val="major"/>
      </rPr>
      <t>Se entenderá por Fuerza Mayor lo estipulado en la Ley Aplicable y la jurisprudencia.</t>
    </r>
  </si>
  <si>
    <r>
      <t>Además se considerará una Fuerza Mayor si transcurriere más del ciento cincuenta por ciento (150%) adicional del tiempo máximo establecido por la Ley Aplicable dentro de los trámites ante las Autoridades Estatales para el cumplimiento del objeto del Contrato, [...]</t>
    </r>
    <r>
      <rPr>
        <sz val="12"/>
        <rFont val="Calibri Light"/>
        <family val="2"/>
        <scheme val="major"/>
      </rPr>
      <t>"</t>
    </r>
  </si>
  <si>
    <r>
      <t>El literal (j) del numeral 8.1 señala "</t>
    </r>
    <r>
      <rPr>
        <i/>
        <sz val="12"/>
        <rFont val="Calibri Light"/>
        <family val="2"/>
        <scheme val="major"/>
      </rPr>
      <t>Vencido el nuevo Plan de Obras modificado o si transcurrieren quinientos cincuenta y cinco (555) Días contados desde el vencimiento del plazo originalmente previsto para la terminación de la Unidad Funcional afectada sin que se logren culminar las Intervenciones correspondientes por un evento de Fuerza Mayor Ambiental</t>
    </r>
    <r>
      <rPr>
        <sz val="12"/>
        <rFont val="Calibri Light"/>
        <family val="2"/>
        <scheme val="major"/>
      </rPr>
      <t>".</t>
    </r>
  </si>
  <si>
    <r>
      <t>El numeral 3.16 Cambio tributario establece "(</t>
    </r>
    <r>
      <rPr>
        <i/>
        <sz val="12"/>
        <rFont val="Calibri Light"/>
        <family val="2"/>
        <scheme val="major"/>
      </rPr>
      <t>i) Si la variación en el valor de todos los tributos efectivamente pagados por parte del Concesionario correspondiente al año fiscal inmediatamente anterior (enero a diciembre), originada por el Cambio Tributario, no supera positiva o negativamente un monto equivalente al tres por ciento (3%) del valor de los ingresos brutos (estados financieros, reportados bajo normas NIIF) del Concesionario correspondientes al mismo año fiscal, el impacto económico será asumido por el Concesionario, por su cuenta y riesgo</t>
    </r>
    <r>
      <rPr>
        <sz val="12"/>
        <rFont val="Calibri Light"/>
        <family val="2"/>
        <scheme val="major"/>
      </rPr>
      <t>."</t>
    </r>
  </si>
  <si>
    <r>
      <t>"</t>
    </r>
    <r>
      <rPr>
        <i/>
        <sz val="12"/>
        <rFont val="Calibri Light"/>
        <family val="2"/>
        <scheme val="major"/>
      </rPr>
      <t>(ii) Si el valor correspondiere a una cuantía superior al ciento veinte por ciento (120%) y hasta el doscientos por ciento (200%) inclusive, con relación a la fracción que exceda el ciento veinte por ciento (120%) el Concesionario aportará el treinta por ciento (30%) y la ANI el setenta por ciento (70%) del Valor Estimado de Predios y Compensaciones Socioeconómicas, esta obligación se generará de manera simultánea para ambas Partes y conforme a las necesidades del Proyect</t>
    </r>
    <r>
      <rPr>
        <sz val="12"/>
        <rFont val="Calibri Light"/>
        <family val="2"/>
        <scheme val="major"/>
      </rPr>
      <t>o."</t>
    </r>
  </si>
  <si>
    <r>
      <t>"</t>
    </r>
    <r>
      <rPr>
        <i/>
        <sz val="12"/>
        <rFont val="Calibri Light"/>
        <family val="2"/>
        <scheme val="major"/>
      </rPr>
      <t>(iii) (2) Si el valor correspondiere a una cuantía superior al ciento veinte por ciento (120%) y hasta el doscientos por ciento (200%) inclusive, con relación a la fracción que exceda el ciento veinte por ciento (120%) el Concesionario aportará el treinta por ciento (30%) y la ANI el setenta por ciento (70%) del Valor Estimado de Compensaciones Socioambientales, esta obligación se generará de manera simultánea para ambas Partes y conforme a las necesidades del Proyecto</t>
    </r>
    <r>
      <rPr>
        <sz val="12"/>
        <rFont val="Calibri Light"/>
        <family val="2"/>
        <scheme val="major"/>
      </rPr>
      <t>."</t>
    </r>
  </si>
  <si>
    <r>
      <t>"</t>
    </r>
    <r>
      <rPr>
        <i/>
        <sz val="12"/>
        <rFont val="Calibri Light"/>
        <family val="2"/>
        <scheme val="major"/>
      </rPr>
      <t>Los compromisos derivados de dichos acuerdos que sean protocolizados, serán asumido por las Partes en proporciones iguales (cincuenta por ciento 50%), simultáneamente, siempre y cuando no se originen con ocasión de lo previsto en la Sección 6.3 de esta Parte General. (...)</t>
    </r>
    <r>
      <rPr>
        <sz val="12"/>
        <rFont val="Calibri Light"/>
        <family val="2"/>
        <scheme val="major"/>
      </rPr>
      <t xml:space="preserve"> "</t>
    </r>
  </si>
  <si>
    <r>
      <t>"</t>
    </r>
    <r>
      <rPr>
        <i/>
        <sz val="12"/>
        <rFont val="Calibri Light"/>
        <family val="2"/>
        <scheme val="major"/>
      </rPr>
      <t>ii) Si el valor correspondiere a una cuantía superior al ciento veinte por ciento (120%) y hasta el doscientos por ciento (200%) inclusive, con relación a la fracción que exceda el ciento veinte por ciento (120%) el Concesionario aportará el treinta por ciento (30%) y la ANI el setenta por ciento (70%) del Valor Estimado de Redes, esta obligación se generará de manera simultánea para ambas Partes y conforme a las necesidades del Proyecto</t>
    </r>
    <r>
      <rPr>
        <sz val="12"/>
        <rFont val="Calibri Light"/>
        <family val="2"/>
        <scheme val="major"/>
      </rPr>
      <t>."</t>
    </r>
  </si>
  <si>
    <r>
      <t>"</t>
    </r>
    <r>
      <rPr>
        <i/>
        <sz val="12"/>
        <rFont val="Calibri Light"/>
        <family val="2"/>
        <scheme val="major"/>
      </rPr>
      <t>(xviii) Salvo por las coberturas expresamente a cargo de la ANI, derivadas del cálculo de Soporte de Ingresos, los efectos favorables y/o desfavorables de la variación de los ingresos en el Recaudo de Peaje por los cambios en el tráfico durante la vida del Proyecto, en  la medida en que la asunción de este riesgo conlleva la obtención del VPIP por parte del Concesionario dentro del Plazo establecido en la Sección 2.4 de esta Parte General</t>
    </r>
    <r>
      <rPr>
        <sz val="12"/>
        <rFont val="Calibri Light"/>
        <family val="2"/>
        <scheme val="major"/>
      </rPr>
      <t>."</t>
    </r>
  </si>
  <si>
    <r>
      <t>"</t>
    </r>
    <r>
      <rPr>
        <i/>
        <sz val="12"/>
        <rFont val="Calibri Light"/>
        <family val="2"/>
        <scheme val="major"/>
      </rPr>
      <t>Este Proyecto no reconocerá el Soporte de Ingreso. Entiéndase eliminada del Contrato cualquier referencia al Soporte de Ingreso</t>
    </r>
    <r>
      <rPr>
        <sz val="12"/>
        <rFont val="Calibri Light"/>
        <family val="2"/>
        <scheme val="major"/>
      </rPr>
      <t>."</t>
    </r>
  </si>
  <si>
    <r>
      <t>En el numeral 3.11.1 Riesgos Específicos del Proyecto por Factor de Calidad se establece que los efectos derivados de las variaciones en los valores estimados en Predios (incluyendo expropiación), Compensaciones Socioeconómicas, traslado y/o intervención de Redes, y en Compensaciones Socioambientales</t>
    </r>
    <r>
      <rPr>
        <u/>
        <sz val="12"/>
        <rFont val="Calibri Light"/>
        <family val="2"/>
        <scheme val="major"/>
      </rPr>
      <t xml:space="preserve"> que se generen como consecuencia de adelantar las intervenciones ofrecidas por el Concesionario para obtener mayor puntaje como factor de calidad</t>
    </r>
    <r>
      <rPr>
        <sz val="12"/>
        <rFont val="Calibri Light"/>
        <family val="2"/>
        <scheme val="major"/>
      </rPr>
      <t xml:space="preserve"> de conformidad con el Pliego de Condiciones para el Proceso de Selección, estarán a cargo 100% del Concesionario.</t>
    </r>
  </si>
  <si>
    <r>
      <t>Es importante aclarar que las "obras adicionales" del ofrecimiento del Factor de Calidad "</t>
    </r>
    <r>
      <rPr>
        <i/>
        <sz val="12"/>
        <rFont val="Calibri Light"/>
        <family val="2"/>
        <scheme val="major"/>
      </rPr>
      <t>formarán parte del Alcance del Contrato de Concesión</t>
    </r>
    <r>
      <rPr>
        <sz val="12"/>
        <rFont val="Calibri Light"/>
        <family val="2"/>
        <scheme val="major"/>
      </rPr>
      <t>" como bien lo establece el literal (a) del numeral 5.5.4 del pliego de condiciones y por lo mismo los riesgos que le son aplicables al resto de la infraestructura a construir y/o mantener les deberían aplicar a estas obras también, razón por la cual se solicita eliminar el numeral 3.11.1 de la parte especial y mantener el esquema de riesgos contractual para todas las obras del contrato de concesión, incluidas las ofertadas en el factor de calidad.</t>
    </r>
  </si>
  <si>
    <r>
      <t>Riesgo No. 3: Los efectos de los costos y las demoras en la obtención de las licencias ambientales, planes de manejo ambiental, conceptos y demás permisos de carácter ambiental, así como las gestiones y actividades derivadas de los acuerdos de nuevas consultas previas con las comunidade</t>
    </r>
    <r>
      <rPr>
        <sz val="12"/>
        <rFont val="Calibri Light"/>
        <family val="2"/>
        <scheme val="major"/>
      </rPr>
      <t>s</t>
    </r>
  </si>
  <si>
    <r>
      <t>En ese sentido, agradecemos eliminar la condición "</t>
    </r>
    <r>
      <rPr>
        <i/>
        <sz val="12"/>
        <rFont val="Calibri Light"/>
        <family val="2"/>
        <scheme val="major"/>
      </rPr>
      <t xml:space="preserve">si el contrato está en ejecución la certificación no podrá tener una fecha de expedición mayor de tres (3) meses contados desde la publicación de la presente Licitación Pública en el SECOP", </t>
    </r>
    <r>
      <rPr>
        <sz val="12"/>
        <rFont val="Calibri Light"/>
        <family val="2"/>
        <scheme val="major"/>
      </rPr>
      <t>para los contratos suscritos con la ANI, en concordancia con la Ley 019 de 2012 (Ley Anti trámites) máxime en esta época donde los procesos de aislamientos han reducido el rendimiento de los procesos administrativos.</t>
    </r>
  </si>
  <si>
    <r>
      <t xml:space="preserve">De acuerdo con el numeral 4.1. (b) del contrato parte especial se indica que las intervenciones de la UF0 serán de Operación y Mantenimiento </t>
    </r>
    <r>
      <rPr>
        <b/>
        <u/>
        <sz val="12"/>
        <rFont val="Calibri Light"/>
        <family val="2"/>
        <scheme val="major"/>
      </rPr>
      <t>Rutinario</t>
    </r>
    <r>
      <rPr>
        <sz val="12"/>
        <rFont val="Calibri Light"/>
        <family val="2"/>
        <scheme val="major"/>
      </rPr>
      <t>. Así mismo, se indica que el tramo correspondiente a la UF0 corresponde a "</t>
    </r>
    <r>
      <rPr>
        <i/>
        <sz val="12"/>
        <rFont val="Calibri Light"/>
        <family val="2"/>
        <scheme val="major"/>
      </rPr>
      <t>Toda la infraestructura, la que se describe en el CAPÍTULO III y la resultante de las Intervenciones de la Tabla 5 del presente Apéndice</t>
    </r>
    <r>
      <rPr>
        <sz val="12"/>
        <rFont val="Calibri Light"/>
        <family val="2"/>
        <scheme val="major"/>
      </rPr>
      <t>."</t>
    </r>
  </si>
  <si>
    <r>
      <t>Adicionalmente se hace la siguiente precisión: "</t>
    </r>
    <r>
      <rPr>
        <i/>
        <sz val="12"/>
        <rFont val="Calibri Light"/>
        <family val="2"/>
        <scheme val="major"/>
      </rPr>
      <t>Nota 4: La UF0 tendrá una longitud origen-destino variable, dependiendo de la etapa en la que se evalúe. Al comienzo, la longitud de la UF0 será igual a la longitud de las vías recibidas, expresadas en el numeral 3.1 del presente Apéndice. Una vez se suscriba el Acta de Terminación de cada Unidad Funcional, la longitud origen-destino será igual a la resultante de las intervenciones expresadas en la Tabla 5 menos la longitud de los tramos con Reversión Especial".</t>
    </r>
  </si>
  <si>
    <r>
      <t xml:space="preserve">Sin embargo, la Parte Especial establece que el valor del Contrato es la suma de Tres Billones Seiscientos Noventa Y Siete Millones Ciento Veintiséis Mil Doscientos Cuarenta Y Nueve Pesos del Mes de Referencia </t>
    </r>
    <r>
      <rPr>
        <b/>
        <sz val="12"/>
        <rFont val="Calibri Light"/>
        <family val="2"/>
        <scheme val="major"/>
      </rPr>
      <t>($3.000.697.126.249)</t>
    </r>
  </si>
  <si>
    <t>·       Solicitamos se confirme que el 10% de la longitud total debe ser continua y por tanto no se realiza por tramos inferiores o parches.</t>
  </si>
  <si>
    <t>·       Entendemos que esta obligación se cumple por una sola vez y no permanentemente a lo largo del contrato.</t>
  </si>
  <si>
    <t>·       Entendemos que esta obligación aplica solo durante la Fase de Construcción y por tanto, no se lleva a cabo en la realización de mantenimientos periódicos del proyecto.</t>
  </si>
  <si>
    <t>·       La gestión de la consulta previa existentes y las nuevas, son asumidas por el Concesionario con cargo a su remuneración?</t>
  </si>
  <si>
    <t>·       La ejecución de las obras y compromisos que se desprendan de la consulta previa (nuevas) serán asumidos proporcionalmente por las partes?</t>
  </si>
  <si>
    <t>·       La porción que corresponde a la ANI se cancelará con cargo a las Compensaciones Socioambientales? De no ser así, con cargo a cuál rubro del proyecto se pagarán?</t>
  </si>
  <si>
    <t>·       De ser ello así, se entiende que las consultas previas se encuentran incluidas en la distribución de riesgos por bandas señaladas en la cláusula 8.1 del Contrato?</t>
  </si>
  <si>
    <r>
      <t>·       Solicitamos se precise que significa “, será obligación del Concesionario asumir los efectos favorables y/o desfavorables de dichas modificaciones, en cuanto al valor base de la modificación y a la totalidad de los riesgos, entiéndase la totalidad, como la sumatoria de los riesgos y/o la porción del riesgos a cargo del Concesionario más los riesgos y</t>
    </r>
    <r>
      <rPr>
        <b/>
        <sz val="12"/>
        <rFont val="Calibri Light"/>
        <family val="2"/>
        <scheme val="major"/>
      </rPr>
      <t>/o porción de riesgos a cargo de la ANI descritos en las Secciones 13.3(a), 13.3(b), 13.3(c) y 13.3(e)</t>
    </r>
    <r>
      <rPr>
        <sz val="12"/>
        <rFont val="Calibri Light"/>
        <family val="2"/>
        <scheme val="major"/>
      </rPr>
      <t xml:space="preserve"> de esta Parte General.</t>
    </r>
  </si>
  <si>
    <t xml:space="preserve">a               (i) Durante el Plazo del Contrato, el cual se extenderá en los términos dispuestos en la Sección 2.4 de la Parte General, el Concesionario deberá transferir el Treinta y Siete coma Veintiocho por ciento (37,28%) del total del Recaudo de Peaje obtenido de las Estaciones de Peaje del Proyecto mencionadas en la sección 3.7 de esta Parte Especial a la Subcuenta Depósito Especial del Recaudo. Dicha transferencia se realizará de manera previa y de forma prioritaria antes de efectuar el depósito en la Subcuenta Contingencias y en la Subcuenta de Recaudo. </t>
  </si>
  <si>
    <t>1.     Se entiende que cuando la cláusula hace alusión a fondear, corresponde exclusivamente al traslado de los recursos del recaudo una vez se recibe a la respectiva subcuenta y no la obligación del Concesionario de fondear el % señalado destinado a esta subcuenta. Favor confirmar.</t>
  </si>
  <si>
    <t>2.     Se entiende que el Concesionario exclusivamente debe completar aquellos dineros que por concepto de evasión se generen y que se calcula sobre el valor de los recaudos por peaje.</t>
  </si>
  <si>
    <t>3.     Cuál es la duración de esta subcuenta? Es por la totalidad del plazo del contrato?</t>
  </si>
  <si>
    <t>4.     De ser así, esta subcuenta tendría prelación sobre cualquiera de las subcuentas que soliciten los prestamistas en la cascada de fondeos en la subcuenta del patrimonio, en la medida en que el 37,28% de los recaudos de peaje de la totalidad de las estaciones del proyecto en realidad pertenecen a la ANI y no hacen parte de la remuneración al concesionario?</t>
  </si>
  <si>
    <t>5.     El valor del VPIP incluye el valor depositado por el Concesionario en la Subcuenta de Depósito Especial?</t>
  </si>
  <si>
    <t>6.     De ser así, el concesionario asume la totalidad de impuestos, costos y gastos por la asunción del VPIP, así el 37, 28% de los recaudos del peaje sean propiedad de la ANI para su libre destinación?</t>
  </si>
  <si>
    <t>·       Se entiende que las labores de rehabilitación deben dar cumplimiento a los diseños iniciales de la obra, es decir, aquellos provenientes del Contrato 005 de 1999 o el “se diseñó” hace alusión a los diseños que debe adelantar el concesionario en la fase de preconstrucción y por ende, la rehabilitación en la puesta a punto implica actualizar las obras con las especificaciones y normas técnicas vigentes. Ratificar nuestro entender.</t>
  </si>
  <si>
    <t>·       De ser así, esto aplica para vías, puentes y pasos urbanos?</t>
  </si>
  <si>
    <t>·       Se encuentran en el cuarto de datos los estudios y diseños de las obras actualizados con las especificaciones y normas técnicas vigentes? Esta inquietud surge dado que no se encontraron.</t>
  </si>
  <si>
    <t>·       El CAPEX del proyecto incluyó estas actualizaciones de especificación y norma técnica?</t>
  </si>
  <si>
    <r>
      <t>Cuando dice en el alcance "</t>
    </r>
    <r>
      <rPr>
        <b/>
        <sz val="12"/>
        <rFont val="Calibri Light"/>
        <family val="2"/>
        <scheme val="major"/>
      </rPr>
      <t>adaptarse para las existentes un carril en cada sentido con el sistema de recaudo electrónico</t>
    </r>
    <r>
      <rPr>
        <sz val="12"/>
        <rFont val="Calibri Light"/>
        <family val="2"/>
        <scheme val="major"/>
      </rPr>
      <t>" ¿Significa que no hay que realizar ninguna ampliación, solo adecuar un carril de cobro ya construido a nuevo sistema de recaudo?.</t>
    </r>
  </si>
  <si>
    <r>
      <t>Respecto a la restricción de acceso a mercados de reaseguro en garantías del contrato de concesión, En el documento CONTRATO DE CONCESIÓN BAJO EL ESQUEMA DE APP No [•] DE [•] PARTE GENERAL su CAPÍTULO XII GARANTÍAS Y MECANISMOS DE COBERTURA DE RIESGOS clausula 12.3 Reglas Generales Aplicables a las Garantías Literal (i) indica: “</t>
    </r>
    <r>
      <rPr>
        <i/>
        <sz val="12"/>
        <rFont val="Calibri Light"/>
        <family val="2"/>
        <scheme val="major"/>
      </rPr>
      <t xml:space="preserve">En el caso de incorporarse reaseguros los reaseguradores deberán encontrarse inscritos en el Registro de Reaseguradores y Corredores de Reaseguros del Exterior (REACOEX) que administra la Superintendencia Financiera de Colombia y, además, cumplir con las características que a continuación se expresan: y que ampliamente se encuentran detalladas en los incisos (i) y (ii) sub-numerales (1) a (4)”; </t>
    </r>
    <r>
      <rPr>
        <sz val="12"/>
        <rFont val="Calibri Light"/>
        <family val="2"/>
        <scheme val="major"/>
      </rPr>
      <t xml:space="preserve">sin embargo en REACOEX se admiten reaseguradores con calificación BBB- de acuerdo con los criterios definidos por el Regulador: </t>
    </r>
  </si>
  <si>
    <r>
      <t xml:space="preserve">Según lo establecido en el PROYECTO DE PLIEGO DE CONDICIONES en su Numeral 4.1.14 (a) Tipos de garantías (i) Contrato de seguro contenido en una póliza, se indica: </t>
    </r>
    <r>
      <rPr>
        <i/>
        <sz val="12"/>
        <rFont val="Calibri Light"/>
        <family val="2"/>
        <scheme val="major"/>
      </rPr>
      <t>“En el caso de incorporarse reaseguros, los reaseguradores deberán encontrarse inscritos en el Registro de Reaseguradores y Corredores de Reaseguros del Exterior (REACOEX) que administra la Superintendencia Financiera de Colombia y, además, cumplir con las siguientes características: (i). Si se trata de reaseguros automáticos, el reasegurador deberá contar con una calificación de riesgo en la escala de largo plazo admisible en el REACOEX; (ii). En el caso de reaseguros facultativos, el reasegurador deberá contar con la siguiente calificación de riesgo mínima en la escala de largo plazo aplicable en el REACOEX: (1) Standard &amp; Poor’s: A; (2) A. M. Best: a; (3) Duff and Phelps / Fitch Ratings: A; (4) Moody’s: Aa3.”</t>
    </r>
  </si>
  <si>
    <r>
      <t xml:space="preserve">Según lo establecido en el PROYECTO DE PLIEGO DE CONDICIONES en su Numeral 4.1.14 Garantía de Seriedad de la Oferta, literal (a) Tipos de garantías inciso (v) (1) se indica: </t>
    </r>
    <r>
      <rPr>
        <i/>
        <sz val="12"/>
        <rFont val="Calibri Light"/>
        <family val="2"/>
        <scheme val="major"/>
      </rPr>
      <t>“Las garantías deberán cumplir con los requisitos señalados para cada una de ellas en el Decreto 1082 de 2015 (Parte 2 Título 1 Capítulo 2 Sección 3 Subsección 1, 2, 3 y 4), según se modifique o adicione. Las garantías, cualquiera que sea su naturaleza, deberán estar constituidas con Bancos Aceptables”.</t>
    </r>
    <r>
      <rPr>
        <sz val="12"/>
        <rFont val="Calibri Light"/>
        <family val="2"/>
        <scheme val="major"/>
      </rPr>
      <t xml:space="preserve"> </t>
    </r>
  </si>
  <si>
    <r>
      <t xml:space="preserve">Según lo establecido en el numeral 12.6 Garantía Única de Cumplimiento, literal (a), inciso (ii) del documento CONTRATO DE CONCESIÓN BAJO EL ESQUEMA DE APP No [•] DE [•] PARTE GENERAL CAPITULO XII, se está haciendo la exigencia en relación con que el amparo de Cumplimiento de la Garantía Única de Cumplimiento cubra la obligación referente a </t>
    </r>
    <r>
      <rPr>
        <i/>
        <sz val="12"/>
        <rFont val="Calibri Light"/>
        <family val="2"/>
        <scheme val="major"/>
      </rPr>
      <t>“(ii) La prórroga o renovación de este amparo para las fases subsiguientes estará cubierta por el mismo amparo de cumplimiento, que además cubrirá la renovación y prórroga de los demás que componen la Garantía Única, así como la constitución y prórroga de las demás garantías exigidas en este Contrato”.</t>
    </r>
  </si>
  <si>
    <r>
      <t xml:space="preserve"> “</t>
    </r>
    <r>
      <rPr>
        <i/>
        <sz val="12"/>
        <rFont val="Calibri Light"/>
        <family val="2"/>
        <scheme val="major"/>
      </rPr>
      <t xml:space="preserve">(i) Préstamos Bancarios: El Concesionario deberá aportar a) el contrato de crédito suscrito y/o b) una certificación emitida por el Prestamista (o el banco líder, agente administrador o similar, en caso de créditos sindicados) o el agente de manejo del crédito que contenga al menos lo siguiente: (i) valor del crédito; (ii) acreedor; (iii) garantías; (iv) plazo para el pago; (v) tasa; (vi) condiciones para el desembolso...". </t>
    </r>
  </si>
  <si>
    <r>
      <t xml:space="preserve">Como referencia en el Contrato de Concesión APP 002 de 2017: Sección 7.2 (b) Subcuenta Predios: </t>
    </r>
    <r>
      <rPr>
        <i/>
        <sz val="12"/>
        <rFont val="Calibri Light"/>
        <family val="2"/>
        <scheme val="major"/>
      </rPr>
      <t>“Una vez realizada y verificada la adquisición del cien por ciento (100%) de los Predios del Proyecto y ejecutado en su totalidad el Plan de Compensaciones Socioeconómicas, el remanente de los recursos de la Subcuenta Predios será distribuido entre el Concesionario y la ANI en una proporción 60/40 respectivamente”.</t>
    </r>
    <r>
      <rPr>
        <sz val="12"/>
        <rFont val="Calibri Light"/>
        <family val="2"/>
        <scheme val="major"/>
      </rPr>
      <t xml:space="preserve"> </t>
    </r>
  </si>
  <si>
    <r>
      <t>Proporcionamos como referencia la redacción aplicable en el Contrato de Concesión APP  002 de 2017 Sección 18.3.: “</t>
    </r>
    <r>
      <rPr>
        <i/>
        <sz val="12"/>
        <rFont val="Calibri Light"/>
        <family val="2"/>
        <scheme val="major"/>
      </rPr>
      <t>*Comisiones y otros pagos a prestamistas distintos al servicio de la deuda (intereses y capital), en el Mes h”.</t>
    </r>
    <r>
      <rPr>
        <sz val="12"/>
        <rFont val="Calibri Light"/>
        <family val="2"/>
        <scheme val="major"/>
      </rPr>
      <t xml:space="preserve"> </t>
    </r>
  </si>
  <si>
    <r>
      <t xml:space="preserve">El VPIP equivale a Dos Billones Setecientos Ochenta Y Cuatro Mil Seiscientos Cinco Millones Setecientos Noventa Y Seis Mil Cuatrocientos Cuarenta Y Nueve Pesos ($2.784.605.796.449) en valor presente de la Fecha de Inicio y expresado en Pesos del Mes de Referencia </t>
    </r>
    <r>
      <rPr>
        <strike/>
        <sz val="12"/>
        <rFont val="Calibri Light"/>
        <family val="2"/>
        <scheme val="major"/>
      </rPr>
      <t>en valor presente de la Fecha de Inicio y expresado en Pesos del Mes de Referencia.”</t>
    </r>
  </si>
  <si>
    <r>
      <t xml:space="preserve">La distribución de Ingresos por Explotación Comercial debería ser por encima del 97% para la Concesionaria, teniendo en cuenta que es la segunda fuente de Retribución del proyecto. Esto seguiría los precedentes de 4G tanto de APP públicas como iniciativas privadas. Según el contrato de la APP 002 de 2017, la redacción debería quedar así: </t>
    </r>
    <r>
      <rPr>
        <i/>
        <sz val="12"/>
        <rFont val="Calibri Light"/>
        <family val="2"/>
        <scheme val="major"/>
      </rPr>
      <t xml:space="preserve">”El 2,2% de los Ingresos por Explotación Comercial será transferido a la Subcuenta Excedentes ANI. El 97,8% restante será consignado en la Subcuenta de Ingresos por Explotación Comercial como una de las fuentes para el traslado de la Retribución –o de la Compensación Especial, cuando sea aplicable–“. </t>
    </r>
  </si>
  <si>
    <r>
      <t xml:space="preserve">“Toda controversia que surja entre las Partes con ocasión del presente Contrato, cuando se configure alguno de los presupuestos señalados en el artículo 62 de la ley 1563 de 2012, </t>
    </r>
    <r>
      <rPr>
        <i/>
        <strike/>
        <sz val="12"/>
        <rFont val="Calibri Light"/>
        <family val="2"/>
        <scheme val="major"/>
      </rPr>
      <t>a excepción de las controversias que corresponden a la competencia exclusiva del Amigable Componedor</t>
    </r>
    <r>
      <rPr>
        <i/>
        <sz val="12"/>
        <rFont val="Calibri Light"/>
        <family val="2"/>
        <scheme val="major"/>
      </rPr>
      <t>, de conformidad con lo establecido en las Secciones 15.1 y 15.2(g), podrá ser resuelta por un Tribunal de Arbitramento internacional, de conformidad con lo previsto para el arbitraje internacional en la ley 1563 de 2012, en armonía con las normas de procedimiento aplicables a la controversia y el artículo 14 de la Ley 1682 de 2013, o con las normas que los modifiquen, complementen o sustituyan y las reglas que a continuación se establecen.”</t>
    </r>
  </si>
  <si>
    <r>
      <t xml:space="preserve">De acuerdo con la Cláusula 4.10. del Pliego de Condiciones, a los efectos de la acreditación de la experiencia en inversión se posibilita adjuntar </t>
    </r>
    <r>
      <rPr>
        <i/>
        <sz val="12"/>
        <rFont val="Calibri Light"/>
        <family val="2"/>
        <scheme val="major"/>
      </rPr>
      <t>“(ii) adjuntar copia del contrato de crédito junto con una constancia de los desembolsos;”.</t>
    </r>
  </si>
  <si>
    <r>
      <t xml:space="preserve">Entendemos que esta obligación no resultaría materializable en virtud de las cláusulas de confidencialidades incorporadas en los contratos de crédito así como de los </t>
    </r>
    <r>
      <rPr>
        <i/>
        <sz val="12"/>
        <rFont val="Calibri Light"/>
        <family val="2"/>
        <scheme val="major"/>
      </rPr>
      <t>non-disclosure agreements</t>
    </r>
    <r>
      <rPr>
        <sz val="12"/>
        <rFont val="Calibri Light"/>
        <family val="2"/>
        <scheme val="major"/>
      </rPr>
      <t xml:space="preserve"> (NDA) firmados con los prestamistas. Por estos motivos solicitamos que se suprima de la Cláusula 4.10. la redacción entrecomillada en el párrafo anterior. </t>
    </r>
  </si>
  <si>
    <r>
      <t xml:space="preserve">Adicionalmente, solicitamos que en la Cláusula 4.6. (j) se precise lo siguiente: </t>
    </r>
    <r>
      <rPr>
        <i/>
        <sz val="12"/>
        <rFont val="Calibri Light"/>
        <family val="2"/>
        <scheme val="major"/>
      </rPr>
      <t>“cualquier solicitud de modificación u observación del Interventor al Avalúo Comercial Corporativo se hará una sola vez dentro del plazo de diez (10) Días Hábiles señalado en la sección 4.6. (i)”.</t>
    </r>
    <r>
      <rPr>
        <sz val="12"/>
        <rFont val="Calibri Light"/>
        <family val="2"/>
        <scheme val="major"/>
      </rPr>
      <t xml:space="preserve"> </t>
    </r>
  </si>
  <si>
    <t xml:space="preserve">1.     ¿Estos recursos se cargarán a la Subcuenta Predios? </t>
  </si>
  <si>
    <t xml:space="preserve">2.     ¿Cuál es el procedimiento establecido para el cálculo de la compensación minera? </t>
  </si>
  <si>
    <t xml:space="preserve">3.     ¿Cuál es el procedimiento establecido para la suscripción del acuerdo de compensación minera? </t>
  </si>
  <si>
    <t>4.     ¿El reconocimiento de la compensación minera se realizará dentro del proceso de adquisición predial?</t>
  </si>
  <si>
    <r>
      <t>Frente a las  Características y Calibración se indica: "</t>
    </r>
    <r>
      <rPr>
        <i/>
        <sz val="12"/>
        <rFont val="Calibri Light"/>
        <family val="2"/>
        <scheme val="major"/>
      </rPr>
      <t>Para la medición del CRT se podrá medir con cualquiera de los siguientes equipos: el SCRIM, el GRIPTESTER, y el Mu Meter, siempre que se acredite la fórmula de paso para la obtención de los valores del CRT".</t>
    </r>
  </si>
  <si>
    <r>
      <t xml:space="preserve">Teniendo en cuenta que el plazo solicitado podría terminar siendo mayor que el plazo realmente utilizado,  sugerimos respetuosamente a la Entidad ajustar la redacción de esta sección, para que sea </t>
    </r>
    <r>
      <rPr>
        <u/>
        <sz val="12"/>
        <rFont val="Calibri Light"/>
        <family val="2"/>
        <scheme val="major"/>
      </rPr>
      <t>plazo utilizado</t>
    </r>
    <r>
      <rPr>
        <sz val="12"/>
        <rFont val="Calibri Light"/>
        <family val="2"/>
        <scheme val="major"/>
      </rPr>
      <t>, en este escenario esto también aplicaría para los fondeos adicionales que se contemplan de la subcuenta de interventoría en la sección 4.10 i)</t>
    </r>
  </si>
  <si>
    <r>
      <t>RICHARD HOEFLINGER</t>
    </r>
    <r>
      <rPr>
        <sz val="12"/>
        <rFont val="Calibri Light"/>
        <family val="2"/>
        <scheme val="major"/>
      </rPr>
      <t xml:space="preserve">, identificado como aparece al pie de mi firma, en representación de </t>
    </r>
    <r>
      <rPr>
        <b/>
        <sz val="12"/>
        <rFont val="Calibri Light"/>
        <family val="2"/>
        <scheme val="major"/>
      </rPr>
      <t xml:space="preserve">STRABAG S.A.S. </t>
    </r>
    <r>
      <rPr>
        <sz val="12"/>
        <rFont val="Calibri Light"/>
        <family val="2"/>
        <scheme val="major"/>
      </rPr>
      <t xml:space="preserve">por medio del presente escrito solicito respetuosamente el aplazamiento como mínimo en diez (10) semanas (2.5 meses) de todas las fechas relacionadas con la Licitación, tal y como como están previstas por la ANI en el Aviso Modificatorio No 1 a la Licitación, debido a las dificultades que actualmente afrontan los actores del sector de infraestructura para realizar actividades de campo que resultan fundamentales para evaluar la posible participación en el proyecto y preparar responsable y diligentemente y con suficiente tiempo una eventual oferta en la Licitación. </t>
    </r>
  </si>
  <si>
    <r>
      <t xml:space="preserve">3.14(h)(iv)(2) </t>
    </r>
    <r>
      <rPr>
        <i/>
        <sz val="12"/>
        <rFont val="Calibri Light"/>
        <family val="2"/>
        <scheme val="major"/>
      </rPr>
      <t>(…)"iv. Con los recursos provenientes del Recaudo de Peaje, mensualmente se fondearán en el siguiente orden las subcuentas:</t>
    </r>
  </si>
  <si>
    <r>
      <t xml:space="preserve">4. En cuarto lugar y con posterioridad a los anteriores fondeos, a las Subcuentas creadas para </t>
    </r>
    <r>
      <rPr>
        <b/>
        <u/>
        <sz val="12"/>
        <rFont val="Calibri Light"/>
        <family val="2"/>
        <scheme val="major"/>
      </rPr>
      <t>todas las UFs</t>
    </r>
    <r>
      <rPr>
        <sz val="12"/>
        <rFont val="Calibri Light"/>
        <family val="2"/>
        <scheme val="major"/>
      </rPr>
      <t xml:space="preserve"> dentro de la Subcuenta de Recaudo con los recursos remanentes del Recaudo de Peaje con el porcentaje correspondiente a cada UF señalado en la Sección 4.1 de esta Parte Especial.</t>
    </r>
  </si>
  <si>
    <r>
      <t>Observación</t>
    </r>
    <r>
      <rPr>
        <sz val="12"/>
        <rFont val="Calibri Light"/>
        <family val="2"/>
        <scheme val="major"/>
      </rPr>
      <t>: Teniendo en cuenta que el Contrato vincula trámites y permisos en curso que se encuentran pendientes de finiquitar, es importante conocer el sentido y directrices señalados en cada uno de ellos, a efectos de conocer en debida forma no solo el alcance de estos, sino que adicionalmente el margen de las obligaciones y/o responsabilidades pendientes de cumplir para obtener su cierre. Por lo tanto, se hace necesario contar con la relación y contenido de cada uno de los Actos Administrativos a que se ha hecho mención.</t>
    </r>
  </si>
  <si>
    <r>
      <t xml:space="preserve">• SECCION 3.11.1 (a) </t>
    </r>
    <r>
      <rPr>
        <i/>
        <sz val="12"/>
        <rFont val="Calibri Light"/>
        <family val="2"/>
        <scheme val="major"/>
      </rPr>
      <t>“(…)  En este sentido será responsabilidad del Concesionario la adquisición de la totalidad de los Predios por efecto de las intervenciones ofrecidas para obtener mayor puntaje como factor de calidad y no podrá utilizar los recursos previstos en la Subcuenta de Predios”.</t>
    </r>
  </si>
  <si>
    <r>
      <t>Observación</t>
    </r>
    <r>
      <rPr>
        <sz val="12"/>
        <rFont val="Calibri Light"/>
        <family val="2"/>
        <scheme val="major"/>
      </rPr>
      <t>: El aparte antes señalado es una clara vulneración al Principio de Planeación que debe gobernar para la ANI, comoquiera que al exigir compra de todos los predios otorgando así una mayor calificación, hace que dicha compra no sea o pueda evaluar como un factor de calidad, más cuando los predios deben ser adquiridos en los periodos acordados para el efecto. No tiene sentido que realizada una matriz de riesgos, la cual ha surtido todos los tramites de ley; se le asigne al concesionario un riesgo que no ha sido dimensionado por la ANI.</t>
    </r>
  </si>
  <si>
    <r>
      <t xml:space="preserve">SECCION 4.4 </t>
    </r>
    <r>
      <rPr>
        <i/>
        <sz val="12"/>
        <rFont val="Calibri Light"/>
        <family val="2"/>
        <scheme val="major"/>
      </rPr>
      <t>“Los costos de estructuración a que se hace referencia en la Sección 4.7 de esta Parte Especial no serán tenidos en cuenta para efectos de los Aportes de Equity a que se hace referencia en esta Sección”.</t>
    </r>
  </si>
  <si>
    <r>
      <t>Observación</t>
    </r>
    <r>
      <rPr>
        <sz val="12"/>
        <rFont val="Calibri Light"/>
        <family val="2"/>
        <scheme val="major"/>
      </rPr>
      <t>: No guarda relación que los Costos de Estructuración, no se comprendan como un Aporte de Equity por parte del Originador, cuando el mismo Contrato prevé que el adjudicatario del mismo una vez haya fondeado las Subcuentas del Patrimonio Autónomo con los recursos aportados como Equity, pague al originador la comisión de éxito respectiva. Por lo tanto, los Costos de Estructuración al tener origen en el desarrollo del proyecto mismo, deben poder ser tenidos como Aportes de Equity.</t>
    </r>
  </si>
  <si>
    <r>
      <t xml:space="preserve"> SECCION 4.5 (a) (i) </t>
    </r>
    <r>
      <rPr>
        <i/>
        <sz val="12"/>
        <rFont val="Calibri Light"/>
        <family val="2"/>
        <scheme val="major"/>
      </rPr>
      <t>“Dentro de los doscientos diez (210) días siguientes a la suscripción del Acta de Inicio o la expedición de la Orden de Inicio, el Concesionario deberá presentar un cronograma de adquisición predial, donde se detallen los predios requeridos para la ejecución del Corredor del Proyecto.”</t>
    </r>
  </si>
  <si>
    <r>
      <t>Observación</t>
    </r>
    <r>
      <rPr>
        <sz val="12"/>
        <rFont val="Calibri Light"/>
        <family val="2"/>
        <scheme val="major"/>
      </rPr>
      <t>: No guarda relación alguna realizar los Fondeos a la Subcuenta Predios de manera anticipada a los 210 días desde la suscripción del Acta de Inicio, si se tiene el mismo periodo de tiempo para tener un cronograma de adquisición predial, y antes de contar con el mismo no se puede realizar la adquisición predial, por lo tanto, efectuar los fondeos de la manera como se tiene redactado, hace necesariamente que el Concesionario dispongan más de CIENTO CINCO MIL OCHOCIENTOS OCHENTA Y NUEVE MILLONES TRESCIENTOS VEINTITRES MIL DOSCIENTOS DIECISEIS  PESOS ($105.889.323.216) sin que se pueda hacer uso de los mismos.</t>
    </r>
  </si>
  <si>
    <t xml:space="preserve">Observación: Del mismo modo, no guarda relación alguna, proceder con el fondeo o aporte en un periodo que abarque los primeros ocho  (8) Aportes relacionados, comoquiera que la gestión de Redes debe tener aval de interventoría en el sentido de contar con un programa de traslado de redes  y diseños geométricos No Objetados. Por lo anterior, los Aportes en mención se deben correr por lo menos en ocho (8) meses, periodo que atiende a la fase de pre-construcción y fecha estimada de No Objeción. </t>
  </si>
  <si>
    <r>
      <t xml:space="preserve">SECCION 4.5 (d) </t>
    </r>
    <r>
      <rPr>
        <i/>
        <sz val="12"/>
        <rFont val="Calibri Light"/>
        <family val="2"/>
        <scheme val="major"/>
      </rPr>
      <t>“En el evento que las Fases contenidas en la Etapa Preoperativa tengan una duración superior a la establecida en la Sección 3.8 de esta Parte Especial, el Concesionario deberá seguir fondeando la subcuenta, en el monto correspondiente al plazo adicional de la Fase. Estos aportes deberán realizarse de tal forma que garanticen los valores faltantes y en los plazos y montos que le establezca la ANI, de tal forma que el mecanismo sea eficiente y oportuno.”</t>
    </r>
  </si>
  <si>
    <r>
      <t>Observación</t>
    </r>
    <r>
      <rPr>
        <sz val="12"/>
        <rFont val="Calibri Light"/>
        <family val="2"/>
        <scheme val="major"/>
      </rPr>
      <t>: El contenido de la obligación señalada en el aparte en cita, tendría cabida únicamente si se relaciona con situaciones atribuibles al Concesionario, sin embargo, las mismas no se pueden predicar cuando se trate de un Evento Eximente de Responsabilidad (EER) pues el mismo no es atribuible a aquel.</t>
    </r>
  </si>
  <si>
    <r>
      <t xml:space="preserve">SECCION 4.5 (g) </t>
    </r>
    <r>
      <rPr>
        <i/>
        <sz val="12"/>
        <rFont val="Calibri Light"/>
        <family val="2"/>
        <scheme val="major"/>
      </rPr>
      <t>“Los rendimientos de las operaciones de tesorería que se efectúen con cargo a los recursos de la Subcuenta Policía de Carreteras, serán trasladados mensualmente a la Subcuenta Excedentes ANI.”</t>
    </r>
  </si>
  <si>
    <r>
      <t>Observación</t>
    </r>
    <r>
      <rPr>
        <sz val="12"/>
        <rFont val="Calibri Light"/>
        <family val="2"/>
        <scheme val="major"/>
      </rPr>
      <t>: Los excedentes deberían ir a la Subcuenta Proyecto y no a subcuenta ANI, más cuando se tiene que la citada Subcuenta corresponde a una de las que pertenecen al Proyecto.</t>
    </r>
  </si>
  <si>
    <r>
      <t xml:space="preserve">SECCION 4.5 (h) (iv) </t>
    </r>
    <r>
      <rPr>
        <i/>
        <sz val="12"/>
        <rFont val="Calibri Light"/>
        <family val="2"/>
        <scheme val="major"/>
      </rPr>
      <t>“En el momento en que la ANI así lo determine, el Concesionario ordenará a la Fiduciaria trasladar, en las condiciones que indique la ANI, los recursos disponibles en esta Subcuenta sin descontar ningún tipo de impuesto, tasa o contribución y demás gastos asociados a dicho traslado”.</t>
    </r>
  </si>
  <si>
    <r>
      <t>Observación</t>
    </r>
    <r>
      <rPr>
        <sz val="12"/>
        <rFont val="Calibri Light"/>
        <family val="2"/>
        <scheme val="major"/>
      </rPr>
      <t>: Al respecto, es importante que se modifique que los costos que implique el cambio por la determinación que unilateralmente formule la ANI, deben ser asumidos por la subcuenta misma.</t>
    </r>
  </si>
  <si>
    <r>
      <t xml:space="preserve">SECCION 4.5 (h) (viii) </t>
    </r>
    <r>
      <rPr>
        <i/>
        <sz val="12"/>
        <rFont val="Calibri Light"/>
        <family val="2"/>
        <scheme val="major"/>
      </rPr>
      <t>“Los recursos disponibles en la Subcuenta Depósito Especial del Recaudo serán de libre disposición de la ANI para servir como fuente de pago de otro proyecto de infraestructura.”</t>
    </r>
  </si>
  <si>
    <r>
      <t>Observación</t>
    </r>
    <r>
      <rPr>
        <sz val="12"/>
        <rFont val="Calibri Light"/>
        <family val="2"/>
        <scheme val="major"/>
      </rPr>
      <t xml:space="preserve">: La fuente de pago debería predicarse tanto para el presente Proyecto de Infraestructura, como para otros proyectos. Es importante que la ANI se concientice que todos los efectos que ha venido y generará el Covid-19, no fueron tenidos en cuenta para el mismo, toda vez que al ser objetivos en la evaluación respectiva se tiene que este proyecto se estructuró sin tener en cuenta el fenómeno que se afronta y por lo tanto se pueden presentar contingencias para el futuro concesionario. Por esta razón, consideramos y le hacemos una respetuosa solicitud a la ANI para que el proyecto actual también sea beneficiario de la Subcuenta de Deposito Especial de Recaudo y con la misma se puedan prever los impactos que se generen para el proyecto. </t>
    </r>
  </si>
  <si>
    <r>
      <t xml:space="preserve">SECCION 6.1 (g) </t>
    </r>
    <r>
      <rPr>
        <i/>
        <sz val="12"/>
        <rFont val="Calibri Light"/>
        <family val="2"/>
        <scheme val="major"/>
      </rPr>
      <t>“En caso de que el Concesionario adquiera mayor área a la requerida para el proyecto se causará una Multa por un valor equivalente al área adquirida en exceso, sin perjuicio que la titularidad de las áreas se mantenga en cabeza de la ANI.”</t>
    </r>
  </si>
  <si>
    <r>
      <t>Observación</t>
    </r>
    <r>
      <rPr>
        <sz val="12"/>
        <rFont val="Calibri Light"/>
        <family val="2"/>
        <scheme val="major"/>
      </rPr>
      <t>: El aparte en cita, resulta completamente contrario a derecho, toda vez que de una misma situación, se estaría condenando con multa, e igualmente fruto de la misma se estaría generando o entregando la titularidad a la ANI, situación ésta que a todas luces de no ser modificada genera un posible enriquecimiento sin causa en favor de la ANI, con sus consecuencias legales que ello acarree.</t>
    </r>
  </si>
  <si>
    <r>
      <t xml:space="preserve">SECCION 6.1 (h) </t>
    </r>
    <r>
      <rPr>
        <i/>
        <sz val="12"/>
        <rFont val="Calibri Light"/>
        <family val="2"/>
        <scheme val="major"/>
      </rPr>
      <t>“Multa por incumplimiento en la entrega de información al Interventor y/o a la ANI: Si el Concesionario no entrega la información completa que le solicite el Interventor, siempre y cuando ésta se relacione con el objeto del presente Contrato, dentro de los plazos y en los términos de cada requerimiento, se causará una Multa diaria hasta de siete (7) salarios mínimos mensuales legales vigentes por cada Día transcurrido a partir de la fecha prevista para el cumplimiento de esta obligación. Para efectos de lo señalado en la Sección 10.2(c) de la Parte General, el término máximo contado desde la expiración del Plazo de Cura es de treinta (30) Días.”</t>
    </r>
  </si>
  <si>
    <r>
      <t>Observación</t>
    </r>
    <r>
      <rPr>
        <sz val="12"/>
        <rFont val="Calibri Light"/>
        <family val="2"/>
        <scheme val="major"/>
      </rPr>
      <t xml:space="preserve">: Teniendo en cuenta que el posible incumplimiento por la no entrega de la información a la Interventoría puede quedar muy abierto, así como al arbitrio de la Interventoría, merece la pena que se fije el tipo de información requerida por la Interventoría, así como la particular exigencia y relevancia de la misma, con la finalidad de evitar que se presenten irregularidades en los procesos respectivos, así como posibles abusos y subjetividades de la Interventoría. </t>
    </r>
  </si>
  <si>
    <r>
      <t xml:space="preserve">SECCION 6.1 (p) </t>
    </r>
    <r>
      <rPr>
        <i/>
        <sz val="12"/>
        <rFont val="Calibri Light"/>
        <family val="2"/>
        <scheme val="major"/>
      </rPr>
      <t>“Incumplimiento en el pago de los salarios, prestaciones sociales y parafiscales: Por el incumplimiento de la obligación de estar al día en el pago de salarios, prestaciones sociales y parafiscales de los empleados del Concesionario, así como de cualquier trabajador (ya sea del Concesionario, de los Contratistas o Subcontratistas), la ANI podrá imponer una multa diaria equivalente hasta de veinte (20) salarios mínimos mensuales legales por cada Día transcurrido a partir de la fecha prevista para el cumplimiento de esta obligación. Para efectos de lo señalado en la Sección 10.2(c) de la Parte General, el término máximo contado desde la expiración del Plazo de Cura es de noventa (90) Días.”</t>
    </r>
  </si>
  <si>
    <r>
      <t>Observación</t>
    </r>
    <r>
      <rPr>
        <sz val="12"/>
        <rFont val="Calibri Light"/>
        <family val="2"/>
        <scheme val="major"/>
      </rPr>
      <t>: Teniendo en cuenta que algunos proveedores o trabajadores no tienen relación directa alguna para con la Concesión, se sugiere que sea incluido el aparte “Siempre que tenga relación directa.”</t>
    </r>
  </si>
  <si>
    <r>
      <t xml:space="preserve">SECCION 6.1 (s) </t>
    </r>
    <r>
      <rPr>
        <i/>
        <sz val="12"/>
        <rFont val="Calibri Light"/>
        <family val="2"/>
        <scheme val="major"/>
      </rPr>
      <t>“Multa por no cumplimiento de los requisitos para la suscripción del Acta de Inicio: Si con posterioridad a la expedición de la Orden de Inicio en los términos señalados en la Parte General, el Concesionario no cumple con alguno de los requisitos de que trata la Sección 2.3(b) de la Parte General, se causará una Multa diaria hasta de veinte (20) salarios mínimos mensuales legales vigentes por cada Día transcurrido a partir de la fecha prevista para el cumplimiento de la obligación correspondiente. Para efectos de lo señalado en la Sección 10.2(c) de la Parte General, no habrá el término máximo de imposición”.</t>
    </r>
  </si>
  <si>
    <r>
      <t>Observación</t>
    </r>
    <r>
      <rPr>
        <sz val="12"/>
        <rFont val="Calibri Light"/>
        <family val="2"/>
        <scheme val="major"/>
      </rPr>
      <t>: Teniendo en cuenta que el no cumplimiento de los requisitos de la suscripción del Acta de Inicio puede escapar al dominio y debida diligencia del Concesionario, se sugiere la inclusión de “Siempre que sea una situación atribuible a aquel”.</t>
    </r>
  </si>
  <si>
    <r>
      <t xml:space="preserve">SECCION 6.1 (u) </t>
    </r>
    <r>
      <rPr>
        <i/>
        <sz val="12"/>
        <rFont val="Calibri Light"/>
        <family val="2"/>
        <scheme val="major"/>
      </rPr>
      <t>“Multa por no suscripción del Acta de Inicio de la Fase de Construcción: Si el Concesionario no suscribe el Acta de Inicio de la Fase de Construcción durante el plazo establecido en el Contrato, se causará una Multa diaria de hasta quince (15) salarios mínimos mensuales legales vigentes por cada Día transcurrido a partir de la fecha prevista en el Contrato para su suscripción. Esta multa no se causará cuando ocurra un Evento Eximente de Responsabilidad que impida la suscripción del Acta de Inicio de la Fase de Construcción”.</t>
    </r>
  </si>
  <si>
    <r>
      <t>Observación</t>
    </r>
    <r>
      <rPr>
        <sz val="12"/>
        <rFont val="Calibri Light"/>
        <family val="2"/>
        <scheme val="major"/>
      </rPr>
      <t>: Teniendo en cuenta que la ANI cuenta con la herramienta de poder emitir una Orden de Inicio que supla el Acta de Inicio, no tiene sustento alguno la imposición de multa por tal concepto; en el evento de ratificar la causal, se sugiere que sea incluido en el texto de la misma que únicamente procede ésta por “situaciones atribuibles al Concesionario”.</t>
    </r>
  </si>
  <si>
    <r>
      <t>Observación</t>
    </r>
    <r>
      <rPr>
        <sz val="12"/>
        <rFont val="Calibri Light"/>
        <family val="2"/>
        <scheme val="major"/>
      </rPr>
      <t>: En general se encuentra que los porcentajes allí determinados son sustancialmente altos de cara a la cuantía del Contrato.</t>
    </r>
  </si>
  <si>
    <r>
      <t xml:space="preserve">SECCION 7.4 (c) (ii) </t>
    </r>
    <r>
      <rPr>
        <i/>
        <sz val="12"/>
        <rFont val="Calibri Light"/>
        <family val="2"/>
        <scheme val="major"/>
      </rPr>
      <t>“El valor del amparo mínimo es de Novecientos Treinta Y Cinco Mil Ciento Cuarenta Y Tres Millones Doscientos Ochenta Y Ocho Mil Ochenta Y Cuatro Pesos Del Mes De Referencia ($935.143.288.084)”.</t>
    </r>
  </si>
  <si>
    <r>
      <t>Observación</t>
    </r>
    <r>
      <rPr>
        <sz val="12"/>
        <rFont val="Calibri Light"/>
        <family val="2"/>
        <scheme val="major"/>
      </rPr>
      <t>: El valor contemplado en la Operación y Mantenimiento no debería ser superior al que se encuentra contenido para la Fase de Pre Construcción, toda vez que el mayor riesgo que se pueda generar en la responsabilidad civil extracontractual opera propiamente en la construcción de las Unidades Funcionales, pues en esa Fase es cuando mayor cantidad de vehículos de construcción se encuentran en el corredor vial, originando así un riesgo para los usuarios de la misma, sin embargo, una vez se entre en la Operación de la misma, se tiene una vía que cumple con los índices de seguridad que demanda la Concesión y por lo tanto se reducen inmediatamente las posibilidades de tener incidentes de ese tipo.</t>
    </r>
  </si>
  <si>
    <r>
      <t>Observación</t>
    </r>
    <r>
      <rPr>
        <sz val="12"/>
        <rFont val="Calibri Light"/>
        <family val="2"/>
        <scheme val="major"/>
      </rPr>
      <t>: En general, el valor de las pólizas tiene unos montos y amparos muy altos lo cual necesariamente hará que las primas de seguro sean sustancialmente altas, generando entonces que los costos del proyecto sean mayores para el mismo Estado Colombiano. Situación ésta que no solo hace que nos cuestionemos si los montos de las garantías y sus correspondientes primas se encuentran contenidas en el modelo financiero, así como si se valoraron las mismas de cara a la obtención de una financiación.</t>
    </r>
  </si>
  <si>
    <r>
      <t>Observación</t>
    </r>
    <r>
      <rPr>
        <sz val="12"/>
        <rFont val="Calibri Light"/>
        <family val="2"/>
        <scheme val="major"/>
      </rPr>
      <t>: Teniendo en cuenta que en el pie de página del documento se menciona que la última página del archivo es la página 52 de 65, merece la pena que se aclare si quedan pendientes apartes de regularse en el documento, o si por el contrario la numeración del mismo debe ajustarse.</t>
    </r>
  </si>
  <si>
    <r>
      <t>El Numeral 4.1.14 (a) Tipos de garantías (i) Contrato de seguro contenido en una póliza del proyecto de pliego de condiciones indica: “</t>
    </r>
    <r>
      <rPr>
        <i/>
        <sz val="12"/>
        <rFont val="Calibri Light"/>
        <family val="2"/>
        <scheme val="major"/>
      </rPr>
      <t xml:space="preserve">En el caso de incorporarse reaseguros, los reaseguradores deberán encontrarse inscritos en el Registro de Reaseguradores y Corredores de Reaseguros del Exterior (REACOEX) que administra la Superintendencia Financiera de Colombia y, además, cumplir con las siguientes características: (i). Si se trata de reaseguros automáticos, el reasegurador deberá contar con una calificación de riesgo en la escala de largo plazo admisible en el REACOEX; </t>
    </r>
    <r>
      <rPr>
        <i/>
        <u/>
        <sz val="12"/>
        <rFont val="Calibri Light"/>
        <family val="2"/>
        <scheme val="major"/>
      </rPr>
      <t>(ii). En el caso de reaseguros facultativos, el reasegurador deberá contar con la siguiente calificación de riesgo mínima en la escala de largo plazo aplicable en el REACOEX: (1) Standard &amp; Poor’s: A; (2) A. M. Best: a; (3) Duff and Phelps / Fitch Ratings: A; (4) Moody’s: Aa3</t>
    </r>
    <r>
      <rPr>
        <i/>
        <sz val="12"/>
        <rFont val="Calibri Light"/>
        <family val="2"/>
        <scheme val="major"/>
      </rPr>
      <t>.</t>
    </r>
    <r>
      <rPr>
        <sz val="12"/>
        <rFont val="Calibri Light"/>
        <family val="2"/>
        <scheme val="major"/>
      </rPr>
      <t xml:space="preserve">” </t>
    </r>
  </si>
  <si>
    <r>
      <t xml:space="preserve">No obstante lo anterior, en REACOEX se admiten reaseguradores con calificación </t>
    </r>
    <r>
      <rPr>
        <b/>
        <i/>
        <u/>
        <sz val="12"/>
        <rFont val="Calibri Light"/>
        <family val="2"/>
        <scheme val="major"/>
      </rPr>
      <t>BBB-</t>
    </r>
    <r>
      <rPr>
        <sz val="12"/>
        <rFont val="Calibri Light"/>
        <family val="2"/>
        <scheme val="major"/>
      </rPr>
      <t xml:space="preserve"> de acuerdo con los criterios definidos por el Regulador:</t>
    </r>
  </si>
  <si>
    <r>
      <t>"</t>
    </r>
    <r>
      <rPr>
        <i/>
        <sz val="12"/>
        <rFont val="Calibri Light"/>
        <family val="2"/>
        <scheme val="major"/>
      </rPr>
      <t>3.7. Agencias calificadoras de riesgo admisibles para la inscripción y calificaciones mínimas admisibles. A efectos de la inscripción en el REACOEX de entidades reaseguradoras del exterior, se considerarán admisibles las calificaciones internacionales de fortaleza financiera vigentes, que no tengan más de 12 meses de antigüedades realizadas por las siguientes agencias y calificaciones:</t>
    </r>
  </si>
  <si>
    <r>
      <t>Solicitamos a la Entidad Contratante la eliminacion de la exigencia del anexo 21: condiciones de colocación de las garantías, eliminando el Anexo 21 y el aparte al que hace referencia a este Anexo en el Numeral 4.1.14 (a) Tipos de garantías (i) Contrato de seguro contenido en una póliza que indica: “</t>
    </r>
    <r>
      <rPr>
        <i/>
        <sz val="12"/>
        <rFont val="Calibri Light"/>
        <family val="2"/>
        <scheme val="major"/>
      </rPr>
      <t>Adicionalmente, deberá venir acompañada de una certificación expedida por el asegurador en la que declare las condiciones de la colocación de la garantía (según el modelo que se adjunta al presente Pliegos como Anexo 21)</t>
    </r>
    <r>
      <rPr>
        <sz val="12"/>
        <rFont val="Calibri Light"/>
        <family val="2"/>
        <scheme val="major"/>
      </rPr>
      <t>”.</t>
    </r>
  </si>
  <si>
    <r>
      <t>El numeral 4.1.14 Garantía de Seriedad de la oferta, literal (a) Tipos de garantías inciso (v) (1) indica: “</t>
    </r>
    <r>
      <rPr>
        <i/>
        <sz val="12"/>
        <rFont val="Calibri Light"/>
        <family val="2"/>
        <scheme val="major"/>
      </rPr>
      <t>Las garantías deberán cumplir con los requisitos señalados para cada una de ellas en el Decreto 1082 de 2015 (Parte 2 Título 1 Capítulo 2 Sección 3 Subsección 1, 2, 3 y 4), según se modifique o adicione. Las garantías, cualquiera que sea su naturaleza, deberán estar constituidas con Bancos Aceptables</t>
    </r>
    <r>
      <rPr>
        <sz val="12"/>
        <rFont val="Calibri Light"/>
        <family val="2"/>
        <scheme val="major"/>
      </rPr>
      <t>”.</t>
    </r>
  </si>
  <si>
    <r>
      <t>Se solicita a la Entidad eliminar la exigencia de cobertura para renovacion o prorroga de garantias en fases subsiguientes referenciada en el numeral 12.6 Garantía Única de Cumplimiento, literal (a), inciso (ii) del Contrato de concesión - Parte General, ya que se está haciendo la exigencia en relación con que el amparo de Cumplimiento de la Garantía Única de Cumplimiento cubra la obligación referente a “</t>
    </r>
    <r>
      <rPr>
        <i/>
        <sz val="12"/>
        <rFont val="Calibri Light"/>
        <family val="2"/>
        <scheme val="major"/>
      </rPr>
      <t>La prórroga o renovación de este amparo para las fases subsiguientes estará cubierta por el mismo amparo de cumplimiento, que además cubrirá la renovación y prórroga de los demás que componen la Garantía Única, así como la constitución y prórroga de las demás garantías exigidas en este Contrato.</t>
    </r>
    <r>
      <rPr>
        <sz val="12"/>
        <rFont val="Calibri Light"/>
        <family val="2"/>
        <scheme val="major"/>
      </rPr>
      <t>”.</t>
    </r>
  </si>
  <si>
    <r>
      <t>En este sentido la cobertura de esta obligación resulta contraria a lo establecido en el Articulo 2.2.1.2.3.1.3 del Decreto 1082 de 2015 y al numeral 12. Indivisibilidad de la garantía – excepciones del clausulado de la Entidad respecto de la póliza única de seguro de cumplimiento para contratos estatales en donde se indica lo siguiente: “</t>
    </r>
    <r>
      <rPr>
        <i/>
        <sz val="12"/>
        <rFont val="Calibri Light"/>
        <family val="2"/>
        <scheme val="major"/>
      </rPr>
      <t>La vigencia será igual a la de la respectiva etapa, período contractual o unidad funcional y el valor asegurado corresponde a las obligaciones del contratista que nacen y que son exigibles en cada una de las respectivas etapas, períodos contractuales o unidades funcionales. Antes del vencimiento de cada etapa del contrato o cada período contractual, el contratista está obligado a prorrogar la póliza o a obtener una nueva que ampare el cumplimiento de sus obligaciones para la etapa del contrato o el periodo contractual subsiguiente, si no lo hiciere se aplicarán las reglas previstas para el restablecimiento de la garantía.</t>
    </r>
  </si>
  <si>
    <r>
      <t>Ahora bien, si LA ASEGURADORA decide no continuar garantizando la etapa del contrato o período contractual subsiguiente, debe informar su decisión por escrito a la ANI seis (6) meses antes del vencimiento del plazo de la garantía correspondiente. Este aviso no afecta la garantía de la etapa contractual o período contractual en ejecución. Si LA ASEGURADORA no da el aviso con la anticipación mencionada y el contratista no obtiene una nueva garantía, queda obligada a garantizar la etapa del contrato o el período contractual subsiguiente. En consecuencia, en la medida en que LA ASEGURADORA cumpla estrictamente con la obligación de informar por escrito a LA ANI con 6 meses de anticipación a la fecha de vencimiento de la garantía, sobre su decisión de no continuar garantizando la etapa subsiguiente del contrato, si el contratista incumpliere la obligación de prorrogar u obtener la póliza para dicha etapa, no se afectará por tal hecho la presente garantía</t>
    </r>
    <r>
      <rPr>
        <sz val="12"/>
        <rFont val="Calibri Light"/>
        <family val="2"/>
        <scheme val="major"/>
      </rPr>
      <t>.”</t>
    </r>
  </si>
  <si>
    <r>
      <t>Revisados los importes señalados, se observa que los mismos no son consistentes con los parámetros definidos en el Decreto 1082 de 2015, Artículo 2.2.1.2.3.1.3. Indivisibilidad de la garantía, razón por la cual se solicita a la Entidad calcular el valor asegurado para cada Etapa del Contrato, Periodo Contractual o unidad funcional, tomando el valor de las obligaciones del contratista para cada Etapa del Contrato, Contractual o unidad funcional y de acuerdo con las reglas de suficiencia de la garantía de cumplimiento Decreto 1082 en su Artículo 2.2.1.2.3.1.12, que indica: “</t>
    </r>
    <r>
      <rPr>
        <i/>
        <sz val="12"/>
        <rFont val="Calibri Light"/>
        <family val="2"/>
        <scheme val="major"/>
      </rPr>
      <t>Si el valor del contrato es superior a un millón (1.000.000) de SMMLV y hasta cinco millones (5.000.000) de SMMLV, la Entidad Estatal puede aceptar garantías que cubran al menos el dos punto cinco por ciento (2,5%) del valor del contrato</t>
    </r>
    <r>
      <rPr>
        <sz val="12"/>
        <rFont val="Calibri Light"/>
        <family val="2"/>
        <scheme val="major"/>
      </rPr>
      <t>”.</t>
    </r>
  </si>
  <si>
    <r>
      <t>Revisados los valores asegurados citados, se observa que los mismos no guardan consistencia con los parámetros definidos en el decreto 1082 de 2015, Artículos 2.2.1.2.3.1.3. Indivisibilidad de la garantía y 2.2.1.2.3.1.13. Suficiencia de la garantía de pago de salarios, prestaciones sociales legales e indemnizaciones laborales, dado que no se evidencia en ningún aparte del proyecto de pliego de condiciones o del documento contrato el valor estimado de las obligaciones del concesionario para cada etapa del contrato, periodo contractual o unidad funcional, razón por la cual se solicita a la Entidad aclarar el valor de las obligaciones por etapas para el amparto de Pago de salarios y prestaciones sociales, con el objetivo de calcular el valor asegurado para cada etapa del contrato, periodo contractual o unidad funcional, tomando el valor de las obligaciones del contratista para cada una conforme el el artículo 2.2.1.2.3.1.13. que reza: “</t>
    </r>
    <r>
      <rPr>
        <i/>
        <sz val="12"/>
        <rFont val="Calibri Light"/>
        <family val="2"/>
        <scheme val="major"/>
      </rPr>
      <t>esta garantía debe estar vigente por el plazo del contrato y tres (3) años más. el valor de la garantía no puede ser inferior al cinco por ciento (5%) del valor total del contrato</t>
    </r>
    <r>
      <rPr>
        <sz val="12"/>
        <rFont val="Calibri Light"/>
        <family val="2"/>
        <scheme val="major"/>
      </rPr>
      <t>.”</t>
    </r>
  </si>
  <si>
    <r>
      <t xml:space="preserve">Código: </t>
    </r>
    <r>
      <rPr>
        <sz val="12"/>
        <rFont val="Calibri Light"/>
        <family val="2"/>
        <scheme val="major"/>
      </rPr>
      <t>GCOP-F-006</t>
    </r>
  </si>
  <si>
    <r>
      <t xml:space="preserve">Versión: </t>
    </r>
    <r>
      <rPr>
        <sz val="12"/>
        <rFont val="Calibri Light"/>
        <family val="2"/>
        <scheme val="major"/>
      </rPr>
      <t>002</t>
    </r>
  </si>
  <si>
    <r>
      <t xml:space="preserve">Fecha: </t>
    </r>
    <r>
      <rPr>
        <sz val="12"/>
        <rFont val="Calibri Light"/>
        <family val="2"/>
        <scheme val="major"/>
      </rPr>
      <t>06/05/2020</t>
    </r>
  </si>
  <si>
    <r>
      <t xml:space="preserve">Dado el alcance del contrato en respecto del Diseño geométrico y estudios de detalle definidos en los numerales 1.63 y 1.64 Parte General que modificarán los Estudios realizados por la ANI </t>
    </r>
    <r>
      <rPr>
        <b/>
        <sz val="12"/>
        <rFont val="Calibri Light"/>
        <family val="2"/>
        <scheme val="major"/>
      </rPr>
      <t>a nivel de factibilidad</t>
    </r>
    <r>
      <rPr>
        <sz val="12"/>
        <rFont val="Calibri Light"/>
        <family val="2"/>
        <scheme val="major"/>
      </rPr>
      <t xml:space="preserve"> y que de conociendo que el grado de exactitud se los estudios de Fase II - Estudios de Factibilidad se encuentra entre el 75% y el 85%, solicitamos eliminar la limitación expresada en el numeral 6.3 de la Parte General.</t>
    </r>
  </si>
  <si>
    <r>
      <t>Se solicitar adicionar en las excepciones previstas en el numeral 6.3 (b) del Contrato Parte General, que en</t>
    </r>
    <r>
      <rPr>
        <u/>
        <sz val="12"/>
        <rFont val="Calibri Light"/>
        <family val="2"/>
        <scheme val="major"/>
      </rPr>
      <t xml:space="preserve"> caso que</t>
    </r>
    <r>
      <rPr>
        <sz val="12"/>
        <rFont val="Calibri Light"/>
        <family val="2"/>
        <scheme val="major"/>
      </rPr>
      <t xml:space="preserve"> el área de la franja de terreno del corredor vial del Proyecto que ha sido declarada de utilidad pública e interés social determinada en los Estudios de Factibilidad de Trazado y Diseño Geométrico entregados por la ANI; resulten insuficientes para poder cumplir con las Especificaciones Técnicas del contrato de acuerdo con los resultados de los Estudios de ingeniería de detalle para construcción de Fase III.</t>
    </r>
  </si>
  <si>
    <r>
      <t xml:space="preserve">En caso de negarse las peticiones anteriores, favor considerar la opción de compartir con la ANI el riesgo del numeral 13.2 a.(vii) del Contrato Parte General </t>
    </r>
    <r>
      <rPr>
        <i/>
        <sz val="12"/>
        <rFont val="Calibri Light"/>
        <family val="2"/>
        <scheme val="major"/>
      </rPr>
      <t>"Los efectos favorables y/o desfavorables derivados de los Estudios de Detalle y Estudios de Trazado y Diseño Geométrico o cualquier otro componente de diseño</t>
    </r>
    <r>
      <rPr>
        <sz val="12"/>
        <rFont val="Calibri Light"/>
        <family val="2"/>
        <scheme val="major"/>
      </rPr>
      <t>", dado que el Concesionario no podrá modificar el trazado y diseño geométrico fuera del área de la franja de terreno del corredor vial del Proyecto que ha sido declarada de utilidad pública e interés social determinada en los Estudios de Factibilidad de Trazado y Diseño Geométrico efectuados y aportados por la ANI el el marco de la Licitación</t>
    </r>
  </si>
  <si>
    <r>
      <t xml:space="preserve">El numeral 13.2 (a)(iv) establece que </t>
    </r>
    <r>
      <rPr>
        <u/>
        <sz val="12"/>
        <rFont val="Calibri Light"/>
        <family val="2"/>
        <scheme val="major"/>
      </rPr>
      <t>el Concesionario asumirá los efectos favorables y/o desfavorables variaciones en el valor estimado de las Compensaciones Socioambientales</t>
    </r>
    <r>
      <rPr>
        <sz val="12"/>
        <rFont val="Calibri Light"/>
        <family val="2"/>
        <scheme val="major"/>
      </rPr>
      <t>, sin embargo en el numeral 8.1 (c)(ii) se establece que el remanente de los recursos de la Subcuenta Compensaciones Socioambientales será de libre disposición de la ANI, siendo la única beneficiaria de la totalidad de los recursos remanentes y, por tanto, estos recursos se trasladarán a la Subcuenta Excedentes ANI. ¿Cuáles son los efectos favorables que asumiría el Concesionario por las variaciones en el valor estimado de las Compensaciones Socioambientales?</t>
    </r>
  </si>
  <si>
    <r>
      <t xml:space="preserve">En cualquier momento durante la ejecución del Contrato, el Concesionario deberá llevar a cabo, bajo el liderazgo de la ANI, la(s) nueva(s) consulta(s) previa(s) con las comunidades étnicas y afrodescendientes que sean certificadas por Autoridad Estatal competente o reconocidas mediante fallo judicial en firme en el área de influencia del Proyecto con posterioridad a la apertura del Proceso de Selección.
Los costos que se generen como consecuencia de la Gestión Social y Ambiental para adelantar esta(s) nueva(s) consulta(s) previa(s) serán asumidos en su totalidad por el Concesionario. </t>
    </r>
    <r>
      <rPr>
        <u/>
        <sz val="12"/>
        <rFont val="Calibri Light"/>
        <family val="2"/>
        <scheme val="major"/>
      </rPr>
      <t>Los compromisos derivados de dichos acuerdos que sean protocolizados, serán asumido por las Partes en proporciones iguales (cincuenta por ciento 50%), simultáneamente</t>
    </r>
    <r>
      <rPr>
        <sz val="12"/>
        <rFont val="Calibri Light"/>
        <family val="2"/>
        <scheme val="major"/>
      </rPr>
      <t>, siempre y cuando no se originen con ocasión de lo previsto en la Sección 6.3 de esta Parte General. El reconocimiento de la porción a cargo de la ANI establecido en la presente Sección se efectuará aplicando lo previsto en la Sección 19.1 de esta Parte General. Lo anterior en línea con lo establecido en la Sección 13.3(c) de esta Parte General.
Solicitamos a la ANI fijar un tope máximo a los compromisos derivados de dichos acuerdos que sean protocolizados, dado que es imposible asumir y presupuestar un evento futuro sin máxima cuantía (ilimitado).</t>
    </r>
  </si>
  <si>
    <r>
      <t>El literal (b) del numeral 4.2.10 del Pliego de Condiciones indica:
"</t>
    </r>
    <r>
      <rPr>
        <i/>
        <sz val="12"/>
        <rFont val="Calibri Light"/>
        <family val="2"/>
        <scheme val="major"/>
      </rPr>
      <t xml:space="preserve">Adjuntar una certificación de la entidad deudora, suscrita por el representante legal y </t>
    </r>
    <r>
      <rPr>
        <i/>
        <u/>
        <sz val="12"/>
        <rFont val="Calibri Light"/>
        <family val="2"/>
        <scheme val="major"/>
      </rPr>
      <t>el revisor fiscal o auditor o vicepresidente financiero, o su equivalente</t>
    </r>
    <r>
      <rPr>
        <i/>
        <sz val="12"/>
        <rFont val="Calibri Light"/>
        <family val="2"/>
        <scheme val="major"/>
      </rPr>
      <t xml:space="preserve"> [...] en la que conste como mínimo (1) el monto del cierre financiero del endeudamiento otorgado o del valor colocado, (2) los valores y las fechas de los desembolsos o de la colocación, y (3) que el préstamo otorgado o el valor colocado corresponden de manera exclusiva al contrato de concesión de Proyectos de Infraestructura que se acredita;</t>
    </r>
    <r>
      <rPr>
        <sz val="12"/>
        <rFont val="Calibri Light"/>
        <family val="2"/>
        <scheme val="major"/>
      </rPr>
      <t xml:space="preserve"> [...]"
Teniendo en cuenta que este tipo de certificados normalmente son suscritos únicamente por el representante legal de la sociedad concesionaria (Entidad deudora) se solicita a la Entidad de manera atenta eliminar la previsión de que el citado certificado se presente suscrito por un revisor fiscal o equivalente. 
Lo anterior sustentado en que:
- La legitimidad de los certificados no dependerá de que los mismos estén firmados por el revisor fiscal o equivalente.
- La tramitación de nuevos certificados es casi imposible, no solo la formalidad que los mismos requieren en materia de apostillas y/o legalizaciones, sino además teniendo en cuenta que en muchos paises la figura de "revisor fiscal" no existe, las firmas auditoras no se prestan para suscribir certificados y en muchos casos el vicepresidente financiero o equivalente ya no se encuentra disponible para suscribirlos.</t>
    </r>
  </si>
  <si>
    <r>
      <t xml:space="preserve">El numeral 3.1.1 del Pliego de Condiciones indica que podrán participar en la presente licitación personas naturales y/o juridicas nacionales o </t>
    </r>
    <r>
      <rPr>
        <u/>
        <sz val="12"/>
        <rFont val="Calibri Light"/>
        <family val="2"/>
        <scheme val="major"/>
      </rPr>
      <t>extranjeras,</t>
    </r>
    <r>
      <rPr>
        <sz val="12"/>
        <rFont val="Calibri Light"/>
        <family val="2"/>
        <scheme val="major"/>
      </rPr>
      <t xml:space="preserve"> estás últimas representadas a través de un Apoderado domiciliado en Colombia conforme el literal (a) del numeral 4.1.4 de los pliegos, teniendo en cuenta que dichas sociedades no están constituidas en Colombia.
El numeral 4.3.1 del Pliego de Condiciones indica que para acreditar la capacidad financiera los oferentes deberán suscribir el Anexo 10A suscrito por: "</t>
    </r>
    <r>
      <rPr>
        <i/>
        <sz val="12"/>
        <rFont val="Calibri Light"/>
        <family val="2"/>
        <scheme val="major"/>
      </rPr>
      <t xml:space="preserve">(i) el representante legal del proponerte individual o representante legal del integrante de una estructura plural que acredite Capacidad Financiera; </t>
    </r>
    <r>
      <rPr>
        <i/>
        <u/>
        <sz val="12"/>
        <rFont val="Calibri Light"/>
        <family val="2"/>
        <scheme val="major"/>
      </rPr>
      <t>(ii) el contador o vicepresidente financiero o por quien ostente la facultad para suscripción del anexo indicado</t>
    </r>
    <r>
      <rPr>
        <i/>
        <sz val="12"/>
        <rFont val="Calibri Light"/>
        <family val="2"/>
        <scheme val="major"/>
      </rPr>
      <t xml:space="preserve"> de conformidad con el certificado de existencia y representación legal o los estatutos o su equivalente tratándose de proponentes extranjeros y (iii) por el Revisor Fiscal, para las sociedades que se encuentren obligadas por ley o el Auditor en los demás casos</t>
    </r>
    <r>
      <rPr>
        <sz val="12"/>
        <rFont val="Calibri Light"/>
        <family val="2"/>
        <scheme val="major"/>
      </rPr>
      <t>".
Teniendo en cuenta lo antes expuesto, se solicita a la Entidad eliminar la previsión que indica que el Anexo 10A se presente suscrito por el contador o vicepresidente financiero o equivalente, teniendo en cuenta que para el caso de las sociedades extranjeras su apoderado es quien cuenta con todas las facultades para suscribir todos y cada uno de los formatos de la Licitación, como se verá legitimado en el poder a él otorgado.
Al respecto, no tiene sentido que las sociedades extranjeras tengan un apoderado con amplias facultades para ser representadas en la Licitación, y que los formatos de las mismas deban ser suscritos por personal en su país de origen, ya que esto vulneraria lo preceptuado en el Decreto 019 de 2012 en lo concerniente a la ejecución de trémites administrativos innecesarios para las partes.</t>
    </r>
  </si>
  <si>
    <r>
      <t>El numeral 4.3.3 del Pliego de condiciones indica que en Estructuras Plurales la Capacidad Financiera podrá ser acreditada por uno o varios Integrantes, incluyendo los Líderes y los No Líderes, teniendo los primeros una participación mínima del 25%, porcentaje que "</t>
    </r>
    <r>
      <rPr>
        <i/>
        <u/>
        <sz val="12"/>
        <rFont val="Calibri Light"/>
        <family val="2"/>
        <scheme val="major"/>
      </rPr>
      <t>deberá mantener después de la presentación de la Oferta y durante la ejecución del Contrato en la forma estipulada en el Contrato</t>
    </r>
    <r>
      <rPr>
        <sz val="12"/>
        <rFont val="Calibri Light"/>
        <family val="2"/>
        <scheme val="major"/>
      </rPr>
      <t>", así mismo indica que "</t>
    </r>
    <r>
      <rPr>
        <i/>
        <u/>
        <sz val="12"/>
        <rFont val="Calibri Light"/>
        <family val="2"/>
        <scheme val="major"/>
      </rPr>
      <t>quienes no tengan la calidad de Líderes y acrediten Capacidad Financiera deberán mantener como mínimo su porcentaje de participación (cualquiera que fuera dicho porcentaje) durante el proceso de la Licitación Pública y aún después de la presentación de la Oferta y durante la ejecución del Contrato en la forma estipulada en el Contrato</t>
    </r>
    <r>
      <rPr>
        <sz val="12"/>
        <rFont val="Calibri Light"/>
        <family val="2"/>
        <scheme val="major"/>
      </rPr>
      <t>."
Al respecto se solicita a la Entidad de manera atenta eliminar la restricción indicada en el numeral 4.3.3 de forma tal que se establezcan mecanismos en los cuales los líderes puedan ser sustituidos, por un tercero que aporte unas credenciales similares o mejores, dependiendo de la etapa del proyecto (Pre operativa, de operación y mantenimiento, reversión).
Lo anterior sustentado en que por la naturaleza del negocio, los porcentajes de participación de los integrantes del SPV que se constituya deberán modificarse de acuerdo a las necesidades de los fondos u otros integrantes por temas de financiación, ésto sumado a que una vez termine la fase de construcción, se está atando al contrato al integrante que ejecutó la misma, aún cuando sus actividades ya han cesado.</t>
    </r>
  </si>
  <si>
    <r>
      <t>Esta sección del contrato dispone lo siguiente: “</t>
    </r>
    <r>
      <rPr>
        <i/>
        <sz val="12"/>
        <rFont val="Calibri Light"/>
        <family val="2"/>
        <scheme val="major"/>
      </rPr>
      <t xml:space="preserve">Préstamos Bancarios: El Concesionario deberá aportar a) el contrato de crédito suscrito y/o b) </t>
    </r>
    <r>
      <rPr>
        <i/>
        <u/>
        <sz val="12"/>
        <rFont val="Calibri Light"/>
        <family val="2"/>
        <scheme val="major"/>
      </rPr>
      <t>un compromiso en firme sobre la financiación emitido por el Prestamista</t>
    </r>
    <r>
      <rPr>
        <i/>
        <sz val="12"/>
        <rFont val="Calibri Light"/>
        <family val="2"/>
        <scheme val="major"/>
      </rPr>
      <t xml:space="preserve"> (o el banco líder, agente administrador o similar, en caso de créditos sindicados) o el agente de manejo del crédito que contenga al menos lo siguiente: (i) valor del crédito; (ii) acreedor; (iii) garantías; (iv) plazo para el pago; (v) tasa; (vi) condiciones para el desembolso (…)”</t>
    </r>
  </si>
  <si>
    <r>
      <t>La sección 3.8 (a) de la Parte Especial dispone lo siguiente: “</t>
    </r>
    <r>
      <rPr>
        <i/>
        <sz val="12"/>
        <rFont val="Calibri Light"/>
        <family val="2"/>
        <scheme val="major"/>
      </rPr>
      <t>El plazo para que el Concesionario presente la totalidad de la documentación para acreditar el Cierre Financiero es de trescientos sesenta (360) Días contados desde la Fecha de Inicio</t>
    </r>
    <r>
      <rPr>
        <sz val="12"/>
        <rFont val="Calibri Light"/>
        <family val="2"/>
        <scheme val="major"/>
      </rPr>
      <t>.”</t>
    </r>
  </si>
  <si>
    <r>
      <t>El contrato, en la sección 3.8 (c) de la Parte General dispone lo siguiente: “</t>
    </r>
    <r>
      <rPr>
        <i/>
        <sz val="12"/>
        <rFont val="Calibri Light"/>
        <family val="2"/>
        <scheme val="major"/>
      </rPr>
      <t>En el caso que el Concesionario opte por presentar en el plazo del Cierre Financiero el compromiso en firme indicado en la Sección 3.8(a)(i)(b) de esta Parte General, el Concesionario tendrá un plazo de nueve (9) Meses contados desde la fecha de suscripción del Acta de Inicio de la Fase de Construcción para presentar el contrato de crédito suscrito.</t>
    </r>
  </si>
  <si>
    <r>
      <t>Solicitamos eliminar el requisito de presentar el contrato de crédito firmado dentro de los 9 meses siguientes contados desde la suscripción del Acta de Inicio de la Fase de Construcción. Consideramos que no hay razón alguna para esta solicitud. El Concesionario asume el riesgo de la financiación del Proyecto, así que mientras esté en cumplimiento del Contrato de Concesión y las obras y demás actividades se estén ejecutando como es debido, la ANI no debería intervenir en la forma en la que se está financiando el Proyecto, ya sea mediante Equity o créditos puente (</t>
    </r>
    <r>
      <rPr>
        <i/>
        <sz val="12"/>
        <rFont val="Calibri Light"/>
        <family val="2"/>
        <scheme val="major"/>
      </rPr>
      <t>bridge loans)</t>
    </r>
    <r>
      <rPr>
        <sz val="12"/>
        <rFont val="Calibri Light"/>
        <family val="2"/>
        <scheme val="major"/>
      </rPr>
      <t xml:space="preserve"> mientras se obtiene la financiación de largo plazo. </t>
    </r>
  </si>
  <si>
    <r>
      <t xml:space="preserve">Destacamos que la misma ANI señala en la Sección 3.8 (h) de la Parte General del Contrato de Concesión que </t>
    </r>
    <r>
      <rPr>
        <i/>
        <sz val="12"/>
        <rFont val="Calibri Light"/>
        <family val="2"/>
        <scheme val="major"/>
      </rPr>
      <t xml:space="preserve">“La obligación del Concesionario de financiar el Proyecto no se agota ni se entiende cumplida con la obtención del Cierre Financiero” </t>
    </r>
    <r>
      <rPr>
        <sz val="12"/>
        <rFont val="Calibri Light"/>
        <family val="2"/>
        <scheme val="major"/>
      </rPr>
      <t>con lo cual no se entiende la finalidad de la ANI de incluir cláusulas tan restrictivas y exigentes en materia de Cierre Financiero.</t>
    </r>
  </si>
  <si>
    <r>
      <t>El numeral 1.112 define “Sanción” como “</t>
    </r>
    <r>
      <rPr>
        <i/>
        <sz val="12"/>
        <rFont val="Calibri Light"/>
        <family val="2"/>
        <scheme val="major"/>
      </rPr>
      <t>las penas pecuniarias por incumplimientos definitivos e insubsanables del Contrato, cuya finalidad es la de sancionar al Concesionario por tales incumplimientos, las cuales podrán ser impuestas al Concesionario por la ANI, de conformidad con este contrato, en especial el CAPÍTULO X de esta Parte General, y en respeto de lo previsto en la Ley Aplicable</t>
    </r>
    <r>
      <rPr>
        <sz val="12"/>
        <rFont val="Calibri Light"/>
        <family val="2"/>
        <scheme val="major"/>
      </rPr>
      <t xml:space="preserve">”. </t>
    </r>
  </si>
  <si>
    <r>
      <t>iii)  En aras de la claridad, solicitamos que se identifiquen plenamente los proyectos excluidos mencionados en la sección 1.55 de la parte Especial, que señala lo siguiente: “ (…)</t>
    </r>
    <r>
      <rPr>
        <i/>
        <sz val="12"/>
        <rFont val="Calibri Light"/>
        <family val="2"/>
        <scheme val="major"/>
      </rPr>
      <t xml:space="preserve">También se excluyen del concepto de Elusión los </t>
    </r>
    <r>
      <rPr>
        <i/>
        <u/>
        <sz val="12"/>
        <rFont val="Calibri Light"/>
        <family val="2"/>
        <scheme val="major"/>
      </rPr>
      <t>proyectos que se encuentran incorporados en el/los Plan/es de Ordenamiento Territorial o Departamental pertinentes</t>
    </r>
    <r>
      <rPr>
        <i/>
        <sz val="12"/>
        <rFont val="Calibri Light"/>
        <family val="2"/>
        <scheme val="major"/>
      </rPr>
      <t xml:space="preserve">, así como </t>
    </r>
    <r>
      <rPr>
        <i/>
        <u/>
        <sz val="12"/>
        <rFont val="Calibri Light"/>
        <family val="2"/>
        <scheme val="major"/>
      </rPr>
      <t>los que se encuentran registrados en el RUAPP y su prefactibilidad ha sido aprobada</t>
    </r>
    <r>
      <rPr>
        <i/>
        <sz val="12"/>
        <rFont val="Calibri Light"/>
        <family val="2"/>
        <scheme val="major"/>
      </rPr>
      <t xml:space="preserve"> </t>
    </r>
    <r>
      <rPr>
        <i/>
        <u/>
        <sz val="12"/>
        <rFont val="Calibri Light"/>
        <family val="2"/>
        <scheme val="major"/>
      </rPr>
      <t>o se hayan contratado la estructuración pública</t>
    </r>
    <r>
      <rPr>
        <i/>
        <sz val="12"/>
        <rFont val="Calibri Light"/>
        <family val="2"/>
        <scheme val="major"/>
      </rPr>
      <t xml:space="preserve"> por parte de entidades estales al momento de la recepción de Ofertas dentro del Proceso de Selección del Proyecto.”</t>
    </r>
  </si>
  <si>
    <r>
      <t xml:space="preserve">iv)  Que se incluya dentro del concepto de Elusión el “… </t>
    </r>
    <r>
      <rPr>
        <i/>
        <sz val="12"/>
        <rFont val="Calibri Light"/>
        <family val="2"/>
        <scheme val="major"/>
      </rPr>
      <t>uso ilegítimo de cualquier otra vía alterna utilizada por parte de los usuarios del Proyecto</t>
    </r>
    <r>
      <rPr>
        <sz val="12"/>
        <rFont val="Calibri Light"/>
        <family val="2"/>
        <scheme val="major"/>
      </rPr>
      <t>.” No vemos razón para excluir el uso de vías ilegítimas, que puede ser una causa importante de la elusión.</t>
    </r>
  </si>
  <si>
    <r>
      <t>Obligaciones en materia de cambio climático</t>
    </r>
    <r>
      <rPr>
        <sz val="12"/>
        <rFont val="Calibri Light"/>
        <family val="2"/>
        <scheme val="major"/>
      </rPr>
      <t xml:space="preserve">.  </t>
    </r>
  </si>
  <si>
    <r>
      <t>“</t>
    </r>
    <r>
      <rPr>
        <i/>
        <sz val="12"/>
        <rFont val="Calibri Light"/>
        <family val="2"/>
        <scheme val="major"/>
      </rPr>
      <t xml:space="preserve">La Subcuenta Cambio Climático se creará en el momento que el Concesionario obtenga </t>
    </r>
    <r>
      <rPr>
        <i/>
        <u/>
        <sz val="12"/>
        <rFont val="Calibri Light"/>
        <family val="2"/>
        <scheme val="major"/>
      </rPr>
      <t>fuentes de financiación diferentes a las descritas en la Sección 3.1(b)</t>
    </r>
    <r>
      <rPr>
        <i/>
        <sz val="12"/>
        <rFont val="Calibri Light"/>
        <family val="2"/>
        <scheme val="major"/>
      </rPr>
      <t xml:space="preserve"> de esta Parte General para la inversión en vías adaptadas y resilientes al cambio climático por concepto de restauración ambiental e infraestructura verde aplicable al Proyecto, en el marco de lo dispuesto en la Ley 1931 de 2018 y en las condiciones dispuestas en el Apéndice Técnico 6. De llegarse a concretar una fuente de financiación externa por conceptos de cooperación internacional o acuerdos de cooperación los aportes deben ser consignados a la Subcuenta Cambio Climático</t>
    </r>
    <r>
      <rPr>
        <sz val="12"/>
        <rFont val="Calibri Light"/>
        <family val="2"/>
        <scheme val="major"/>
      </rPr>
      <t xml:space="preserve">.” </t>
    </r>
  </si>
  <si>
    <r>
      <t>El Anexo Técnico 6 consagra la obligación a cargo del Concesionario de “</t>
    </r>
    <r>
      <rPr>
        <i/>
        <sz val="12"/>
        <rFont val="Calibri Light"/>
        <family val="2"/>
        <scheme val="major"/>
      </rPr>
      <t>Desarrollar un programa de aporte sostenible destinado a contrarrestar el cambio climático y a promover la gestión del riesgo, el cual involucre las comunidades que hacen parte del área de influencia del proyecto</t>
    </r>
    <r>
      <rPr>
        <sz val="12"/>
        <rFont val="Calibri Light"/>
        <family val="2"/>
        <scheme val="major"/>
      </rPr>
      <t>.” Y ese mismo anexo señala que “</t>
    </r>
    <r>
      <rPr>
        <i/>
        <sz val="12"/>
        <rFont val="Calibri Light"/>
        <family val="2"/>
        <scheme val="major"/>
      </rPr>
      <t xml:space="preserve">El Concesionario realizará proyectos tendientes a la reducción de emisiones de gases de efecto invernadero GEI, en el marco de la Ley 1931 del 27 de julio de 2018 y de los actos administrativos que lo complementen, reglamenten o sustituyan, a través de la implementación del “Programa de Aporte Sostenible”. </t>
    </r>
    <r>
      <rPr>
        <i/>
        <u/>
        <sz val="12"/>
        <rFont val="Calibri Light"/>
        <family val="2"/>
        <scheme val="major"/>
      </rPr>
      <t>El cumplimiento de este programa será requisito obligatorio para el Concesionario y se encontrará a cuenta y riesgo su ejecución en términos de tiempo y recursos</t>
    </r>
    <r>
      <rPr>
        <i/>
        <sz val="12"/>
        <rFont val="Calibri Light"/>
        <family val="2"/>
        <scheme val="major"/>
      </rPr>
      <t xml:space="preserve"> (</t>
    </r>
    <r>
      <rPr>
        <i/>
        <u/>
        <sz val="12"/>
        <rFont val="Calibri Light"/>
        <family val="2"/>
        <scheme val="major"/>
      </rPr>
      <t>humanos, técnicos y económicos</t>
    </r>
    <r>
      <rPr>
        <i/>
        <sz val="12"/>
        <rFont val="Calibri Light"/>
        <family val="2"/>
        <scheme val="major"/>
      </rPr>
      <t>), así como las consecuencias de su incumplimiento</t>
    </r>
    <r>
      <rPr>
        <sz val="12"/>
        <rFont val="Calibri Light"/>
        <family val="2"/>
        <scheme val="major"/>
      </rPr>
      <t>.”</t>
    </r>
  </si>
  <si>
    <r>
      <t xml:space="preserve">(iv)         En nuestra experiencia en proyectos similares, los acuerdos de financiación no permiten fuentes de financiación distintas a las directamente relacionadas con el proyecto (para este caso, ingresos de Peajes y Explotación Comercial). Generalmente </t>
    </r>
    <r>
      <rPr>
        <i/>
        <sz val="12"/>
        <rFont val="Calibri Light"/>
        <family val="2"/>
        <scheme val="major"/>
      </rPr>
      <t>Project Finance</t>
    </r>
    <r>
      <rPr>
        <sz val="12"/>
        <rFont val="Calibri Light"/>
        <family val="2"/>
        <scheme val="major"/>
      </rPr>
      <t xml:space="preserve"> limita obtener deuda adicional, más aún en proyectos con riesgo de tráfico que tienen mayor volatilidad en los flujos de caja.</t>
    </r>
  </si>
  <si>
    <r>
      <t>La sección 1.56 define Entrega de la Infraestructura de la siguiente manera: “</t>
    </r>
    <r>
      <rPr>
        <i/>
        <sz val="12"/>
        <rFont val="Calibri Light"/>
        <family val="2"/>
        <scheme val="major"/>
      </rPr>
      <t xml:space="preserve">La Entrega de la Infraestructura se entenderá realizada con la suscripción del Acta de Inicio o la expedición de la Orden de Inicio y comprenderá la </t>
    </r>
    <r>
      <rPr>
        <i/>
        <u/>
        <sz val="12"/>
        <rFont val="Calibri Light"/>
        <family val="2"/>
        <scheme val="major"/>
      </rPr>
      <t>entrega de las obras y Predios</t>
    </r>
    <r>
      <rPr>
        <i/>
        <sz val="12"/>
        <rFont val="Calibri Light"/>
        <family val="2"/>
        <scheme val="major"/>
      </rPr>
      <t xml:space="preserve"> existentes </t>
    </r>
    <r>
      <rPr>
        <i/>
        <u/>
        <sz val="12"/>
        <rFont val="Calibri Light"/>
        <family val="2"/>
        <scheme val="major"/>
      </rPr>
      <t>en el estado en que se encuentren</t>
    </r>
    <r>
      <rPr>
        <i/>
        <sz val="12"/>
        <rFont val="Calibri Light"/>
        <family val="2"/>
        <scheme val="major"/>
      </rPr>
      <t xml:space="preserve"> que se incorporarán en el Inventario de Activos de la Concesión correspondientes a cada una de las Unidades Funcionales. La Entrega de la Infraestructura se someterá al contenido de las resoluciones y demás actos expedidos por las Autoridades Estatales. </t>
    </r>
    <r>
      <rPr>
        <i/>
        <u/>
        <sz val="12"/>
        <rFont val="Calibri Light"/>
        <family val="2"/>
        <scheme val="major"/>
      </rPr>
      <t>Ni al momento de la Entrega de la Infraestructura ni en momento alguno de la ejecución del Contrato, el Concesionario podrá incluir reserva, condicionamiento, objeción u observación alguna relacionada con el estado de la infraestructura entregada</t>
    </r>
    <r>
      <rPr>
        <i/>
        <sz val="12"/>
        <rFont val="Calibri Light"/>
        <family val="2"/>
        <scheme val="major"/>
      </rPr>
      <t>, en tanto es obligación del Concesionario recibirla en el estado en que se encuentre</t>
    </r>
    <r>
      <rPr>
        <sz val="12"/>
        <rFont val="Calibri Light"/>
        <family val="2"/>
        <scheme val="major"/>
      </rPr>
      <t xml:space="preserve"> (…)”</t>
    </r>
  </si>
  <si>
    <r>
      <t>La sección 4.2 (a) consagra la siguiente obligación a cargo del concesionario: “</t>
    </r>
    <r>
      <rPr>
        <i/>
        <u/>
        <sz val="12"/>
        <rFont val="Calibri Light"/>
        <family val="2"/>
        <scheme val="major"/>
      </rPr>
      <t>Recibir la infraestructura del Proyecto en concesión, en la fecha que señale la ANI</t>
    </r>
    <r>
      <rPr>
        <i/>
        <sz val="12"/>
        <rFont val="Calibri Light"/>
        <family val="2"/>
        <scheme val="major"/>
      </rPr>
      <t xml:space="preserve">, incluyendo las Estaciones de Peaje, las Estaciones de Pesaje y toda aquella infraestructura asociada, </t>
    </r>
    <r>
      <rPr>
        <i/>
        <u/>
        <sz val="12"/>
        <rFont val="Calibri Light"/>
        <family val="2"/>
        <scheme val="major"/>
      </rPr>
      <t>en el estado en el que esta se encuentre sin objeción alguna</t>
    </r>
    <r>
      <rPr>
        <i/>
        <sz val="12"/>
        <rFont val="Calibri Light"/>
        <family val="2"/>
        <scheme val="major"/>
      </rPr>
      <t xml:space="preserve"> </t>
    </r>
    <r>
      <rPr>
        <i/>
        <u/>
        <sz val="12"/>
        <rFont val="Calibri Light"/>
        <family val="2"/>
        <scheme val="major"/>
      </rPr>
      <t>y asumir, desde su recibo, todas las obligaciones de resultado</t>
    </r>
    <r>
      <rPr>
        <i/>
        <sz val="12"/>
        <rFont val="Calibri Light"/>
        <family val="2"/>
        <scheme val="major"/>
      </rPr>
      <t xml:space="preserve"> que se prevén en el presente Contrato y sus Apéndices.” Similar disposición está contendida en la sección 3.6 de la Parte Especial: “El Concesionario no podrá incluir ningún tipo de reserva, condicionamiento, objeción u observación, al momento de la Entrega de la Infraestructura ni en momento alguno de la ejecución del Contrato, relacionada con el estado de la infraestructura entregada, en tanto es obligación del Concesionario recibirla en el estado en que se encuentre</t>
    </r>
    <r>
      <rPr>
        <sz val="12"/>
        <rFont val="Calibri Light"/>
        <family val="2"/>
        <scheme val="major"/>
      </rPr>
      <t>.”</t>
    </r>
  </si>
  <si>
    <r>
      <t xml:space="preserve">Según la sección 3.6(f) de la Parte Especial, la infraestructura correspondiente a tres unidades funcionales será entregada </t>
    </r>
    <r>
      <rPr>
        <u/>
        <sz val="12"/>
        <rFont val="Calibri Light"/>
        <family val="2"/>
        <scheme val="major"/>
      </rPr>
      <t>18 meses a partir de la firma del Acta de inicio de la Fase de Construcción</t>
    </r>
    <r>
      <rPr>
        <sz val="12"/>
        <rFont val="Calibri Light"/>
        <family val="2"/>
        <scheme val="major"/>
      </rPr>
      <t xml:space="preserve"> y aquella correspondiente a una cuarta unidad funcional será entregada </t>
    </r>
    <r>
      <rPr>
        <u/>
        <sz val="12"/>
        <rFont val="Calibri Light"/>
        <family val="2"/>
        <scheme val="major"/>
      </rPr>
      <t>12 meses a partir de la firma del Acta de inicio de la Fase de Construcción</t>
    </r>
    <r>
      <rPr>
        <sz val="12"/>
        <rFont val="Calibri Light"/>
        <family val="2"/>
        <scheme val="major"/>
      </rPr>
      <t xml:space="preserve">. Es decir, el concesionario recibirá esta infraestructura a los dos o tres años de presentada su oferta.  </t>
    </r>
  </si>
  <si>
    <r>
      <t xml:space="preserve">En la Sección 3.6(g) de la Parte Especial se establece que </t>
    </r>
    <r>
      <rPr>
        <i/>
        <sz val="12"/>
        <rFont val="Calibri Light"/>
        <family val="2"/>
        <scheme val="major"/>
      </rPr>
      <t xml:space="preserve">“En el evento en que la entrega de la infraestructura anteriormente descrita no ocurra en los plazos máximos previstos, </t>
    </r>
    <r>
      <rPr>
        <i/>
        <u/>
        <sz val="12"/>
        <rFont val="Calibri Light"/>
        <family val="2"/>
        <scheme val="major"/>
      </rPr>
      <t>los Predios, obras e intervenciones asociadas al tramo no entregado se entenderán automáticamente excluidos del objeto de esta Contrato y no harán parte del alcance del proyecto</t>
    </r>
    <r>
      <rPr>
        <i/>
        <sz val="12"/>
        <rFont val="Calibri Light"/>
        <family val="2"/>
        <scheme val="major"/>
      </rPr>
      <t>, por lo cual cesarán las obligaciones del Concesionario respecto del(los) tramos(s) así excluido(s). En este escenario, el monto del costo de la infraestructura a intervenir asociada a las intervenciones del(los) tramos(s) excluido(s), según detalla en la anterior tabla, será trasladados por el Concesionario a la Subcuenta Excedentes ANI actualizando los valores a pesos corrientes usando la fórmula de la Sección 3.9 de la Parte General, en los siguientes plazos”</t>
    </r>
  </si>
  <si>
    <r>
      <t>Uno de los riesgos asignados al Concesionario corresponde a “</t>
    </r>
    <r>
      <rPr>
        <i/>
        <sz val="12"/>
        <rFont val="Calibri Light"/>
        <family val="2"/>
        <scheme val="major"/>
      </rPr>
      <t xml:space="preserve">Los (iii) efectos favorables y/o desfavorables derivados de los costos y las demoras en la gestión para la obtención de las Licencias Ambientales, Planes de Manejo Ambiental, conceptos y demás permisos de carácter ambiental, </t>
    </r>
    <r>
      <rPr>
        <i/>
        <u/>
        <sz val="12"/>
        <rFont val="Calibri Light"/>
        <family val="2"/>
        <scheme val="major"/>
      </rPr>
      <t>así como las gestiones, costos y demás actividades derivadas de los acuerdos de nuevas consultas previas con la comunidades étnicas y/o afrodescendientes y que sean requeridos durante la ejecución del Proyecto</t>
    </r>
    <r>
      <rPr>
        <sz val="12"/>
        <rFont val="Calibri Light"/>
        <family val="2"/>
        <scheme val="major"/>
      </rPr>
      <t>…”.</t>
    </r>
  </si>
  <si>
    <r>
      <t>Y la sección 8.1 (d) dispone: “</t>
    </r>
    <r>
      <rPr>
        <i/>
        <sz val="12"/>
        <rFont val="Calibri Light"/>
        <family val="2"/>
        <scheme val="major"/>
      </rPr>
      <t xml:space="preserve">En cualquier momento durante la ejecución del Contrato, el Concesionario deberá llevar a cabo, bajo el liderazgo de la ANI, la(s) nueva(s) consulta(s) previa(s) con las comunidades étnicas y afrodescendientes que sean certificadas por Autoridad Estatal competente o reconocidas mediante fallo judicial en firme en el área de influencia del Proyecto con posterioridad a la apertura del Proceso de Selección. </t>
    </r>
    <r>
      <rPr>
        <i/>
        <u/>
        <sz val="12"/>
        <rFont val="Calibri Light"/>
        <family val="2"/>
        <scheme val="major"/>
      </rPr>
      <t>Los costos que se generen como consecuencia de la Gestión Social y Ambiental para adelantar esta(s) nueva(s) consulta(s) previa(s) serán asumidos en su totalidad por el Concesionario</t>
    </r>
    <r>
      <rPr>
        <i/>
        <sz val="12"/>
        <rFont val="Calibri Light"/>
        <family val="2"/>
        <scheme val="major"/>
      </rPr>
      <t xml:space="preserve">. </t>
    </r>
    <r>
      <rPr>
        <i/>
        <u/>
        <sz val="12"/>
        <rFont val="Calibri Light"/>
        <family val="2"/>
        <scheme val="major"/>
      </rPr>
      <t>Los compromisos derivados de dichos acuerdos que sean protocolizados, serán asumidos por las Partes en proporciones iguales (cincuenta por ciento 50%</t>
    </r>
    <r>
      <rPr>
        <i/>
        <sz val="12"/>
        <rFont val="Calibri Light"/>
        <family val="2"/>
        <scheme val="major"/>
      </rPr>
      <t>), simultáneamente, siempre y cuando no se originen con ocasión de lo previsto en la Sección 6.3 de esta Parte General. El reconocimiento de la porción a cargo de la ANI establecido en la presente Sección se efectuará aplicando lo previsto en la Sección 19.1 de esta Parte General. Lo anterior en línea con lo establecido en la Sección 13.3 (c) de esta Parte General.”</t>
    </r>
  </si>
  <si>
    <r>
      <t>La normatividad vigente en materia de asociaciones público privadas (“APP”), en especial el artículo 39 de la ley 1682 de 2013, determina que, a partir de noviembre de 2016, uno de los requisitos para abrir la licitación de un proyecto de APP de iniciativa pública (como el presente) es el de “</t>
    </r>
    <r>
      <rPr>
        <i/>
        <sz val="12"/>
        <rFont val="Calibri Light"/>
        <family val="2"/>
        <scheme val="major"/>
      </rPr>
      <t>haber concluido el proceso de consulta previa con la respectiva comunidad hasta su protocolización, si procede la misma</t>
    </r>
    <r>
      <rPr>
        <sz val="12"/>
        <rFont val="Calibri Light"/>
        <family val="2"/>
        <scheme val="major"/>
      </rPr>
      <t>”. Entendemos que esta tarea se realizó durante la estructuración del proyecto, toda vez que en el Apéndice Técnico 1 se indica que se realizó la consulta con tres (3) comunidades en dos (2) unidades funcionales, consultas que fueron protocolizadas y en las que se llegaron a ciertos acuerdos cuyo cumplimiento deberá iniciarse una vez se obtengan las licencias ambientales correspondientes. Adicionalmente, en el capítulo IX del mencionado Apéndice Técnico 1, se establece que “</t>
    </r>
    <r>
      <rPr>
        <i/>
        <sz val="12"/>
        <rFont val="Calibri Light"/>
        <family val="2"/>
        <scheme val="major"/>
      </rPr>
      <t>para las demás Unidades Funcionales el Ministerio del Interior certificó que no hay presencia de Comunidades Étnicas en el área de influencia</t>
    </r>
    <r>
      <rPr>
        <sz val="12"/>
        <rFont val="Calibri Light"/>
        <family val="2"/>
        <scheme val="major"/>
      </rPr>
      <t>”.</t>
    </r>
  </si>
  <si>
    <r>
      <t>En virtud de esta Sección, uno de los riesgos que asume el Concesionario es “</t>
    </r>
    <r>
      <rPr>
        <i/>
        <sz val="12"/>
        <rFont val="Calibri Light"/>
        <family val="2"/>
        <scheme val="major"/>
      </rPr>
      <t>Los efectos favorables y/o desfavorables derivados de los Estudios de Detalle y Estudios de Trazado y Diseño Geométrico o cualquier otro componente de diseño, así como sus modificaciones, sobre la programación de obra, sobre los costos, y/o en general sobre cualquier situación que pueda verse afectada como consecuencia de su ejecución durante cualquiera de las etapas, entre ellos pero sin limitarse al impacto negativo y/o sobrecosto que el cambio en los diseños pueda generar sobre otros riesgos a cargo de la ANI en los términos establecidos en el presente Contrato</t>
    </r>
    <r>
      <rPr>
        <sz val="12"/>
        <rFont val="Calibri Light"/>
        <family val="2"/>
        <scheme val="major"/>
      </rPr>
      <t>.”</t>
    </r>
  </si>
  <si>
    <r>
      <t xml:space="preserve">Adicionalmente, solicitamos que se disponga que en ese caso </t>
    </r>
    <r>
      <rPr>
        <u/>
        <sz val="12"/>
        <rFont val="Calibri Light"/>
        <family val="2"/>
        <scheme val="major"/>
      </rPr>
      <t>se compensará</t>
    </r>
    <r>
      <rPr>
        <sz val="12"/>
        <rFont val="Calibri Light"/>
        <family val="2"/>
        <scheme val="major"/>
      </rPr>
      <t xml:space="preserve"> al Concesionario, si se dan los presupuesto de hecho de la disposición contractual, y no que se “podrá” compensarlo. </t>
    </r>
  </si>
  <si>
    <r>
      <t xml:space="preserve">(ii) Cuando quiera que durante la ejecución del Contrato surjan Eventos Eximentes de Responsabilidad que obliguen al Concesionario a </t>
    </r>
    <r>
      <rPr>
        <i/>
        <u/>
        <sz val="12"/>
        <rFont val="Calibri Light"/>
        <family val="2"/>
        <scheme val="major"/>
      </rPr>
      <t>paralizar en todo o en parte la ejecución de las obras o labores derivadas de la ejecución de este Contrato o a disminuir de manera sustancial el ritmo de su ejecuci</t>
    </r>
    <r>
      <rPr>
        <i/>
        <sz val="12"/>
        <rFont val="Calibri Light"/>
        <family val="2"/>
        <scheme val="major"/>
      </rPr>
      <t xml:space="preserve">ón, </t>
    </r>
    <r>
      <rPr>
        <i/>
        <u/>
        <sz val="12"/>
        <rFont val="Calibri Light"/>
        <family val="2"/>
        <scheme val="major"/>
      </rPr>
      <t>se compensarán</t>
    </r>
    <r>
      <rPr>
        <i/>
        <sz val="12"/>
        <rFont val="Calibri Light"/>
        <family val="2"/>
        <scheme val="major"/>
      </rPr>
      <t xml:space="preserve"> al Concesionario los costos ociosos de la mayor permanencia en obra que se llegaren a causar por estos hechos, mediante el reconocimiento de una suma que definirán las Partes de mutuo acuerdo.</t>
    </r>
  </si>
  <si>
    <r>
      <t xml:space="preserve">(iii) Este reconocimiento sólo aplicará cuando se cumplan los siguientes requisitos: (A) que el Evento Eximente de Responsabilidad </t>
    </r>
    <r>
      <rPr>
        <i/>
        <u/>
        <sz val="12"/>
        <rFont val="Calibri Light"/>
        <family val="2"/>
        <scheme val="major"/>
      </rPr>
      <t>impida o retrase significativamente la ejecución de la totalidad o una parte sustancial de las Intervenciones</t>
    </r>
    <r>
      <rPr>
        <i/>
        <sz val="12"/>
        <rFont val="Calibri Light"/>
        <family val="2"/>
        <scheme val="major"/>
      </rPr>
      <t xml:space="preserve"> y (B) que </t>
    </r>
    <r>
      <rPr>
        <i/>
        <u/>
        <sz val="12"/>
        <rFont val="Calibri Light"/>
        <family val="2"/>
        <scheme val="major"/>
      </rPr>
      <t>esa parálisis o retraso</t>
    </r>
    <r>
      <rPr>
        <i/>
        <sz val="12"/>
        <rFont val="Calibri Light"/>
        <family val="2"/>
        <scheme val="major"/>
      </rPr>
      <t xml:space="preserve"> implique, de manera forzosa, que ciertos recursos del Concesionario queden ociosos por no poder ser utilizados para ninguna actividad relacionada o no con este Contrato.</t>
    </r>
  </si>
  <si>
    <r>
      <t xml:space="preserve">Si con posterioridad a presentada la oferta, el Gobierno Nacional o los gobiernos regionales o locales, o cualquier otra autoridad competente, decretaren nuevas medidas de aislamiento preventivo obligatorio, cuarentenas, prohibiciones de circulación o medidas similares, como parte de la estrategia para afrontar el COVID-19 </t>
    </r>
    <r>
      <rPr>
        <u/>
        <sz val="12"/>
        <rFont val="Calibri Light"/>
        <family val="2"/>
        <scheme val="major"/>
      </rPr>
      <t>o cualquier otra pandemia o enfermedad</t>
    </r>
    <r>
      <rPr>
        <sz val="12"/>
        <rFont val="Calibri Light"/>
        <family val="2"/>
        <scheme val="major"/>
      </rPr>
      <t xml:space="preserve">, debe ser la ANI quien asuma plenamente el riesgo de las consecuencias de dichas medidas, así: </t>
    </r>
  </si>
  <si>
    <r>
      <t>El segundo párrafo de esta sección establece que “</t>
    </r>
    <r>
      <rPr>
        <i/>
        <sz val="12"/>
        <rFont val="Calibri Light"/>
        <family val="2"/>
        <scheme val="major"/>
      </rPr>
      <t>En caso de que el Concesionario adquiera mayor área a la requerida para el proyecto se causará una Multa por un valor equivalente al área adquirida en exceso, sin perjuicio que la titularidad de las áreas se mantenga en cabeza de la ANI</t>
    </r>
    <r>
      <rPr>
        <sz val="12"/>
        <rFont val="Calibri Light"/>
        <family val="2"/>
        <scheme val="major"/>
      </rPr>
      <t xml:space="preserve">.” </t>
    </r>
  </si>
  <si>
    <r>
      <t>i)    Las Multas tienen, según amplia jurisprudencia del Consejo de Estado y según la propia minuta del contrato, un carácter conminatorio (Sección 1.111 de la Parte General: “Las Multas “</t>
    </r>
    <r>
      <rPr>
        <i/>
        <sz val="12"/>
        <rFont val="Calibri Light"/>
        <family val="2"/>
        <scheme val="major"/>
      </rPr>
      <t xml:space="preserve">Son las sanciones pecuniarias por incumplimiento del Contrato, </t>
    </r>
    <r>
      <rPr>
        <i/>
        <u/>
        <sz val="12"/>
        <rFont val="Calibri Light"/>
        <family val="2"/>
        <scheme val="major"/>
      </rPr>
      <t>cuya finalidad es la de constreñir al concesionario al cumplimiento de las obligaciones</t>
    </r>
    <r>
      <rPr>
        <i/>
        <sz val="12"/>
        <rFont val="Calibri Light"/>
        <family val="2"/>
        <scheme val="major"/>
      </rPr>
      <t xml:space="preserve"> en él establecidas, y que podrán ser impuestas al Concesionario por la ANI, de conformidad con este Contrato, en especial el CAPÍTULO X de esta Parte General, y en respeto de lo previsto en la Ley Aplicable”</t>
    </r>
    <r>
      <rPr>
        <sz val="12"/>
        <rFont val="Calibri Light"/>
        <family val="2"/>
        <scheme val="major"/>
      </rPr>
      <t xml:space="preserve">.)  No obstante lo anterior, la multa establecida en esta sección no tiene un carácter conminatorio y por lo tanto su tipificación y eventual imposición serían contrarias a la ley y al propio contrato. </t>
    </r>
  </si>
  <si>
    <r>
      <t>iii)  La ANI debe tener en cuenta que el artículo 33 de la ley 9 de 1989 les permite a las entidades públicas que hayan adquirido inmuebles a cualquier título, la posibilidad de enajenarlos si no han sido “</t>
    </r>
    <r>
      <rPr>
        <i/>
        <sz val="12"/>
        <rFont val="Calibri Light"/>
        <family val="2"/>
        <scheme val="major"/>
      </rPr>
      <t>aplicados a los fines para los cuales fueron adquiridos</t>
    </r>
    <r>
      <rPr>
        <sz val="12"/>
        <rFont val="Calibri Light"/>
        <family val="2"/>
        <scheme val="major"/>
      </rPr>
      <t xml:space="preserve">”. Para esto, las entidades cuentan con un término de cinco (5) años. Esto quiere decir que la entidad cuenta con la posibilidad, establecida en la ley, de enajenar esos predios que han sido comprados en exceso por cualquier circunstancia y especialmente por eventos que no le son atribuibles al Concesionario, por lo que, insistimos, esta multa debe ser eliminada. </t>
    </r>
  </si>
  <si>
    <r>
      <t>La Sección 7.1(f) hace referencia a las consecuencias desfavorables que tendrá la aplicación del Índice de Cumplimiento Predial para el Concesionario. Esta sección determina que (i) habrá una suspensión de la Retribución, (ii) una deducción y (iii) una Retención. Pero, además, se establece que “</t>
    </r>
    <r>
      <rPr>
        <i/>
        <sz val="12"/>
        <rFont val="Calibri Light"/>
        <family val="2"/>
        <scheme val="major"/>
      </rPr>
      <t>Adicionalmente, de ser el caso, se causarán la Multas que correspondan por el incumplimiento en las condiciones previstas en la Parte Especial</t>
    </r>
    <r>
      <rPr>
        <sz val="12"/>
        <rFont val="Calibri Light"/>
        <family val="2"/>
        <scheme val="major"/>
      </rPr>
      <t>.”</t>
    </r>
  </si>
  <si>
    <r>
      <t>Fórmulas de liquidación del Contrato – Variable AR</t>
    </r>
    <r>
      <rPr>
        <u/>
        <vertAlign val="subscript"/>
        <sz val="12"/>
        <rFont val="Calibri Light"/>
        <family val="2"/>
        <scheme val="major"/>
      </rPr>
      <t>h</t>
    </r>
  </si>
  <si>
    <r>
      <t>La variable AR</t>
    </r>
    <r>
      <rPr>
        <vertAlign val="subscript"/>
        <sz val="12"/>
        <rFont val="Calibri Light"/>
        <family val="2"/>
        <scheme val="major"/>
      </rPr>
      <t>h</t>
    </r>
    <r>
      <rPr>
        <sz val="12"/>
        <rFont val="Calibri Light"/>
        <family val="2"/>
        <scheme val="major"/>
      </rPr>
      <t xml:space="preserve"> debe reconocer </t>
    </r>
    <r>
      <rPr>
        <u/>
        <sz val="12"/>
        <rFont val="Calibri Light"/>
        <family val="2"/>
        <scheme val="major"/>
      </rPr>
      <t>todos</t>
    </r>
    <r>
      <rPr>
        <sz val="12"/>
        <rFont val="Calibri Light"/>
        <family val="2"/>
        <scheme val="major"/>
      </rPr>
      <t xml:space="preserve"> los costos y gastos incurridos por el Concesionario en desarrollo del Proyecto; éstos no pueden ser limitados al listado contenido en la sección 18.3. La variable debe incorporar todos aquellos costos necesarios para la ejecución del proyecto en las diferentes etapas: Preoperativa y Operativa.</t>
    </r>
  </si>
  <si>
    <r>
      <t>Adicionalmente, los costos asociados al Proyecto que serán reconocidos deberán corresponder a aquellos registrados por el Patrimonio Autónomo y verificados por el Interventor, sin el requisito que deban ser “</t>
    </r>
    <r>
      <rPr>
        <i/>
        <sz val="12"/>
        <rFont val="Calibri Light"/>
        <family val="2"/>
        <scheme val="major"/>
      </rPr>
      <t>a precio de mercado</t>
    </r>
    <r>
      <rPr>
        <sz val="12"/>
        <rFont val="Calibri Light"/>
        <family val="2"/>
        <scheme val="major"/>
      </rPr>
      <t xml:space="preserve">” ya que éste es un término subjetivo que va a dar lugar a controversias sobre qué quiere decir precios de mercado, quién los determina y cuándo. </t>
    </r>
  </si>
  <si>
    <r>
      <t xml:space="preserve">Para los Meses h posteriores a la Fecha de Inicio se reconocerán exclusivamente los costos asociados con las siguientes actividades y se deberán verificar por parte del Interventor los siguientes criterios: (A) que hayan sido ejecutadas para contribuir a satisfacer el interés público, (B) que estén estrictamente asociadas al objeto del Contrato, </t>
    </r>
    <r>
      <rPr>
        <i/>
        <strike/>
        <sz val="12"/>
        <rFont val="Calibri Light"/>
        <family val="2"/>
        <scheme val="major"/>
      </rPr>
      <t>(C) que los costos correspondan a precios de mercado asociados a las condiciones particulares del Proyecto al momento de su causación de acuerdo con la modalidad contractual</t>
    </r>
    <r>
      <rPr>
        <i/>
        <sz val="12"/>
        <rFont val="Calibri Light"/>
        <family val="2"/>
        <scheme val="major"/>
      </rPr>
      <t xml:space="preserve"> y (C</t>
    </r>
    <r>
      <rPr>
        <i/>
        <strike/>
        <sz val="12"/>
        <rFont val="Calibri Light"/>
        <family val="2"/>
        <scheme val="major"/>
      </rPr>
      <t>D</t>
    </r>
    <r>
      <rPr>
        <i/>
        <sz val="12"/>
        <rFont val="Calibri Light"/>
        <family val="2"/>
        <scheme val="major"/>
      </rPr>
      <t xml:space="preserve">) que el bien y/o servicio haya sido debidamente entregado y/o prestado: </t>
    </r>
  </si>
  <si>
    <r>
      <t>El valor reconocido por estas actividades se definirá con base en los valores brutos efectivamente pagados (sin incluir depreciaciones, amortizaciones o valorizaciones) que corresponderán exclusivamente a los costos directos asociados con estas actividades en los cuales se verifique que el bien y/o servicio efectivamente se haya prestado y/o recibido y será establecido por las Partes de mutuo acuerdo o, en su defecto, por el Amigable Componedor, pero en todo caso su valor no podrá ser superior al consignado en los registros contables del Patrimonio Autónomo para estos rubros, registrados en los estados financieros y certificados por el Interventor</t>
    </r>
    <r>
      <rPr>
        <i/>
        <strike/>
        <sz val="12"/>
        <rFont val="Calibri Light"/>
        <family val="2"/>
        <scheme val="major"/>
      </rPr>
      <t>, ni superior al valor de mercado, de acuerdo con las condiciones particulares del Proyecto</t>
    </r>
    <r>
      <rPr>
        <i/>
        <sz val="12"/>
        <rFont val="Calibri Light"/>
        <family val="2"/>
        <scheme val="major"/>
      </rPr>
      <t>. Para determinar este valor máximo de reconocimiento durante la ejecución del Contrato, el Interventor remitirá la respectiva certificación de los valores registrados, a la ANI y al Concesionario, dentro de los treinta (30) Días siguientes a la presentación de los estados financieros auditados del Patrimonio Autónomo, conforme con lo previsto en las Secciones 3.15(l)(xi) y 4.2(r) de esta Parte General. Las discrepancias relacionadas con la certificación del Interventor serán resueltas directamente entre las Partes o por el Amigable Componedor a solicitud de cualquiera de ellas, en cualquier momento durante la vigencia del Contrato.”</t>
    </r>
  </si>
  <si>
    <r>
      <t>Fórmulas de liquidación del Contrato – Variable S</t>
    </r>
    <r>
      <rPr>
        <u/>
        <vertAlign val="subscript"/>
        <sz val="12"/>
        <rFont val="Calibri Light"/>
        <family val="2"/>
        <scheme val="major"/>
      </rPr>
      <t>h</t>
    </r>
  </si>
  <si>
    <r>
      <t>Solicitamos que la variable S</t>
    </r>
    <r>
      <rPr>
        <vertAlign val="subscript"/>
        <sz val="12"/>
        <rFont val="Calibri Light"/>
        <family val="2"/>
        <scheme val="major"/>
      </rPr>
      <t>h</t>
    </r>
    <r>
      <rPr>
        <sz val="12"/>
        <rFont val="Calibri Light"/>
        <family val="2"/>
        <scheme val="major"/>
      </rPr>
      <t xml:space="preserve"> se aclare, pues no todos los riesgos que asume la ANI pueden ser deducidos, como actualmente está previsto. La variable S</t>
    </r>
    <r>
      <rPr>
        <vertAlign val="subscript"/>
        <sz val="12"/>
        <rFont val="Calibri Light"/>
        <family val="2"/>
        <scheme val="major"/>
      </rPr>
      <t>h</t>
    </r>
    <r>
      <rPr>
        <sz val="12"/>
        <rFont val="Calibri Light"/>
        <family val="2"/>
        <scheme val="major"/>
      </rPr>
      <t xml:space="preserve"> solo debe corresponder a los aportes que en efecto haya realizado la ANI y que </t>
    </r>
    <r>
      <rPr>
        <u/>
        <sz val="12"/>
        <rFont val="Calibri Light"/>
        <family val="2"/>
        <scheme val="major"/>
      </rPr>
      <t>aumenten la variable AR</t>
    </r>
    <r>
      <rPr>
        <sz val="12"/>
        <rFont val="Calibri Light"/>
        <family val="2"/>
        <scheme val="major"/>
      </rPr>
      <t xml:space="preserve">. Si no se afecta el AR, no debería restarse dicho aporte de la ANI pues es un riesgo asumido por la ANI; si se hace la deducción, en la práctica se le estaría transfiriendo dicho riesgo al Concesionario.   </t>
    </r>
  </si>
  <si>
    <r>
      <t>Fórmulas de liquidación del Contrato – Variable E</t>
    </r>
    <r>
      <rPr>
        <u/>
        <vertAlign val="subscript"/>
        <sz val="12"/>
        <rFont val="Calibri Light"/>
        <family val="2"/>
        <scheme val="major"/>
      </rPr>
      <t>h</t>
    </r>
  </si>
  <si>
    <r>
      <t>De manera respetuosa solicitamos que la Variable E</t>
    </r>
    <r>
      <rPr>
        <vertAlign val="subscript"/>
        <sz val="12"/>
        <rFont val="Calibri Light"/>
        <family val="2"/>
        <scheme val="major"/>
      </rPr>
      <t>h</t>
    </r>
    <r>
      <rPr>
        <sz val="12"/>
        <rFont val="Calibri Light"/>
        <family val="2"/>
        <scheme val="major"/>
      </rPr>
      <t xml:space="preserve"> corresponda a los aportes de Equity efectivamente desembolsados por el Concesionario, sin ninguna limitación. No puede estar limitado al valor que resulte de multiplicar la suma total de los montos mínimos de los Giros de Equity previstos en la Parte Especial por el factor FAE que se establece en la Parte Especial. </t>
    </r>
  </si>
  <si>
    <r>
      <t xml:space="preserve">[El presente párrafo aplica para el caso en que haya dos o más Garantes] Los Garantes, por medio del presente documento se obligan con la Agencia Nacional de Infraestructura a responder en la conformación del oferente de manera irrevocable y no subordinada, </t>
    </r>
    <r>
      <rPr>
        <i/>
        <u/>
        <sz val="12"/>
        <rFont val="Calibri Light"/>
        <family val="2"/>
        <scheme val="major"/>
      </rPr>
      <t>hasta el porcentaje correspondiente a la participación del garantizado</t>
    </r>
    <r>
      <rPr>
        <i/>
        <sz val="12"/>
        <rFont val="Calibri Light"/>
        <family val="2"/>
        <scheme val="major"/>
      </rPr>
      <t>, es decir, sin beneficio de excusión, por el cumplimiento de la siguiente obligación (…)</t>
    </r>
  </si>
  <si>
    <r>
      <t xml:space="preserve">(…) La cuantía del presente Acuerdo es determinable pues dependerá de las cuantías de las Obligaciones Garantizadas y siempre que el(los) Garante(s) deba(n) honrar dichas obligaciones </t>
    </r>
    <r>
      <rPr>
        <i/>
        <u/>
        <sz val="12"/>
        <rFont val="Calibri Light"/>
        <family val="2"/>
        <scheme val="major"/>
      </rPr>
      <t>y del porcentaje de participación del garantizado en la conformación del Oferente.</t>
    </r>
  </si>
  <si>
    <r>
      <t>En relación con la Capacidad Financiera, la sección 4.3.4. (e) determina que, para cumplir con este requisito solamente se tendrán que presentar los Anexos 10A y 10B, y la Sección 4.3.1 establece que “</t>
    </r>
    <r>
      <rPr>
        <i/>
        <sz val="12"/>
        <rFont val="Calibri Light"/>
        <family val="2"/>
        <scheme val="major"/>
      </rPr>
      <t xml:space="preserve">Los Oferentes deberán presentar los documentos requeridos para efectos de acreditar su Capacidad Financiera en los términos y condiciones exigidos a continuación, </t>
    </r>
    <r>
      <rPr>
        <i/>
        <u/>
        <sz val="12"/>
        <rFont val="Calibri Light"/>
        <family val="2"/>
        <scheme val="major"/>
      </rPr>
      <t>sin perjuicio que en cualquier momento que la Entidad lo requiera los Oferentes deban aportar los Estados Financieros que soportan dicha información</t>
    </r>
    <r>
      <rPr>
        <u/>
        <sz val="12"/>
        <rFont val="Calibri Light"/>
        <family val="2"/>
        <scheme val="major"/>
      </rPr>
      <t>”.</t>
    </r>
  </si>
  <si>
    <r>
      <t>La Sección 1.3.25 del Pliego de Condiciones señala que “</t>
    </r>
    <r>
      <rPr>
        <i/>
        <sz val="12"/>
        <rFont val="Calibri Light"/>
        <family val="2"/>
        <scheme val="major"/>
      </rPr>
      <t xml:space="preserve">La información de los estados financieros </t>
    </r>
    <r>
      <rPr>
        <i/>
        <u/>
        <sz val="12"/>
        <rFont val="Calibri Light"/>
        <family val="2"/>
        <scheme val="major"/>
      </rPr>
      <t>deberá presentarse</t>
    </r>
    <r>
      <rPr>
        <i/>
        <sz val="12"/>
        <rFont val="Calibri Light"/>
        <family val="2"/>
        <scheme val="major"/>
      </rPr>
      <t xml:space="preserve"> de acuerdo con las Normas Internacionales de Información Financiera – NIIF (International Financing Responding Standards – IFRS) adoptadas en Colombia y cumplir con los trámites para documentos otorgados en el exterior establecido en el presente Pliego de Condiciones</t>
    </r>
    <r>
      <rPr>
        <sz val="12"/>
        <rFont val="Calibri Light"/>
        <family val="2"/>
        <scheme val="major"/>
      </rPr>
      <t>.”</t>
    </r>
  </si>
  <si>
    <r>
      <t xml:space="preserve">Al final del segundo párrafo, numeral (iii) se indica </t>
    </r>
    <r>
      <rPr>
        <i/>
        <sz val="12"/>
        <rFont val="Calibri Light"/>
        <family val="2"/>
        <scheme val="major"/>
      </rPr>
      <t xml:space="preserve">“por el Revisor Fiscal, para las  sociedades que se encuentren obligadas por ley o el </t>
    </r>
    <r>
      <rPr>
        <b/>
        <i/>
        <u/>
        <sz val="12"/>
        <rFont val="Calibri Light"/>
        <family val="2"/>
        <scheme val="major"/>
      </rPr>
      <t>Auditor</t>
    </r>
    <r>
      <rPr>
        <i/>
        <sz val="12"/>
        <rFont val="Calibri Light"/>
        <family val="2"/>
        <scheme val="major"/>
      </rPr>
      <t xml:space="preserve"> en los demás casos”. </t>
    </r>
    <r>
      <rPr>
        <sz val="12"/>
        <rFont val="Calibri Light"/>
        <family val="2"/>
        <scheme val="major"/>
      </rPr>
      <t>Observamos que Auditor no está en los conceptos definidos del proyecto de Pliego de Condiciones, por lo que agradecemos aclarar qué se debe entender por Auditor.</t>
    </r>
  </si>
  <si>
    <r>
      <t>“</t>
    </r>
    <r>
      <rPr>
        <i/>
        <sz val="12"/>
        <rFont val="Calibri Light"/>
        <family val="2"/>
        <scheme val="major"/>
      </rPr>
      <t xml:space="preserve">Se podrán acreditar los Requisitos Habilitantes relativos a Capacidad Financiera y/o Experiencia en Inversión con la experiencia de (i) sus sociedades controladas (directa o indirectamente), (ii) de sus Matrices, o (iii) de sociedades controladas por sus Matrices. Para estos efectos, se deberá acreditar una situación de control entre el Oferente o cualquiera de sus Integrantes, según sea el caso, y sus correspondientes Matrices y/o sociedades controladas.” </t>
    </r>
  </si>
  <si>
    <r>
      <t>“</t>
    </r>
    <r>
      <rPr>
        <i/>
        <sz val="12"/>
        <rFont val="Calibri Light"/>
        <family val="2"/>
        <scheme val="major"/>
      </rPr>
      <t xml:space="preserve">Son las personas naturales o jurídicas (de naturaleza societaria o no societaria) que ejerzan control, </t>
    </r>
    <r>
      <rPr>
        <i/>
        <u/>
        <sz val="12"/>
        <rFont val="Calibri Light"/>
        <family val="2"/>
        <scheme val="major"/>
      </rPr>
      <t>de manera directa o indirecta</t>
    </r>
    <r>
      <rPr>
        <i/>
        <sz val="12"/>
        <rFont val="Calibri Light"/>
        <family val="2"/>
        <scheme val="major"/>
      </rPr>
      <t>, sobre el Oferente o cualquiera de sus Integrantes, en los términos del numeral 4.4 de este Pliego”.</t>
    </r>
  </si>
  <si>
    <r>
      <t>“</t>
    </r>
    <r>
      <rPr>
        <i/>
        <sz val="12"/>
        <rFont val="Calibri Light"/>
        <family val="2"/>
        <scheme val="major"/>
      </rPr>
      <t>Se refiere a la imposición de nuevos tributos o la eliminación o variación de los existentes, respecto de los vigentes al momento de la presentación de la Oferta, que en forma directa y en su efecto acumulado, impacte positiva o negativamente el costo de ejecución del Contrato para el Concesionario.</t>
    </r>
  </si>
  <si>
    <r>
      <t xml:space="preserve"> </t>
    </r>
    <r>
      <rPr>
        <u/>
        <sz val="12"/>
        <rFont val="Calibri Light"/>
        <family val="2"/>
        <scheme val="major"/>
      </rPr>
      <t>Plan de Adquisición de Predios y Cronograma de Trabajo Predial</t>
    </r>
  </si>
  <si>
    <r>
      <t xml:space="preserve">“Suficiencia de la Retribución: el Concesionario declara y garantiza que el valor de la Retribución, calculado con base en la Oferta presentada en el Proceso de Selección y las demás condiciones aquí establecidas, es suficiente para cumplir con la totalidad de las obligaciones previstas en el presente Contrato y sus Apéndices y para asumir los riesgos que le han sido asignados sin que la ocurrencia de los mismos afecte la suficiencia de dicha Retribución. </t>
    </r>
    <r>
      <rPr>
        <b/>
        <i/>
        <u/>
        <sz val="12"/>
        <rFont val="Calibri Light"/>
        <family val="2"/>
        <scheme val="major"/>
      </rPr>
      <t>El Concesionario declara y garantiza que la eventual aplicación de Deducciones, la compra de plazo adicional sin sanciones, Descuentos, Multas y Retenciones por suspensión de la Retribución en virtud de lo dispuesto en el presente Contrato no afecta la suficiencia de la Retribución</t>
    </r>
    <r>
      <rPr>
        <b/>
        <i/>
        <sz val="12"/>
        <rFont val="Calibri Light"/>
        <family val="2"/>
        <scheme val="major"/>
      </rPr>
      <t>”</t>
    </r>
    <r>
      <rPr>
        <i/>
        <sz val="12"/>
        <rFont val="Calibri Light"/>
        <family val="2"/>
        <scheme val="major"/>
      </rPr>
      <t xml:space="preserve">. </t>
    </r>
  </si>
  <si>
    <r>
      <t xml:space="preserve">Solicitamos eliminar el párrafo resaltado, toda vez que el Concesionario no puede de ninguna forma garantizar la suficiencia de la Retribución con relación a las </t>
    </r>
    <r>
      <rPr>
        <b/>
        <sz val="12"/>
        <rFont val="Calibri Light"/>
        <family val="2"/>
        <scheme val="major"/>
      </rPr>
      <t>eventuales</t>
    </r>
    <r>
      <rPr>
        <sz val="12"/>
        <rFont val="Calibri Light"/>
        <family val="2"/>
        <scheme val="major"/>
      </rPr>
      <t xml:space="preserve"> deducciones, descuentos, multas y retenciones, o suspensión de la Retribución al momento de firma del Contrato de Concesión. Si bien es cierto que existe un procedimiento para la aplicación de dichas medidas por parte de la ANI, también lo es que el Concesionario puede perfectamente discrepar de la posición de la ANI y/o de la Interventoría frente a la aplicación de las mismas y acudir a los mecanismos de solución de controversias para defender sus derechos, entre otros a recibir la Retribución. Por lo tanto, consideramos que no resulta correcto incluir ese tipo de declaraciones por parte del Concesionario que podrían entenderse como una renuncia generalizada a defender sus derechos.</t>
    </r>
  </si>
  <si>
    <r>
      <t xml:space="preserve">“(xvi) El Concesionario declara y garantiza que una vez suscrito el presente Contrato y durante toda su ejecución, informará a la ANI de manera semestral la composición de su capital social, si pertenece o no a un grupo económico empresarial, así como toda la información relevante de índole jurídico, comercial o financiero de la sociedad de objeto único, sus representantes legales, socios y/o accionistas relacionada con la ejecución del presente Contrato. </t>
    </r>
    <r>
      <rPr>
        <b/>
        <i/>
        <sz val="12"/>
        <rFont val="Calibri Light"/>
        <family val="2"/>
        <scheme val="major"/>
      </rPr>
      <t>Asimismo, el Concesionario informará la existencia o no de pactos o acuerdos de sus accionistas siempre que la misma no goce de reserva legal y que esté a disposición del Concesionario. Lo anterior sin perjuicio de que la ANI en cualquier momento solicite al Concesionario la información aquí relacionada o aquella que estime necesaria. El incumplimiento de esta obligación generará la imposición de la Multa por incumplimiento de otras obligaciones del Proyecto prevista en la Parte Especial”.</t>
    </r>
  </si>
  <si>
    <r>
      <t xml:space="preserve">Solicitamos eliminar la expresión al final de este numeral que indica </t>
    </r>
    <r>
      <rPr>
        <i/>
        <sz val="12"/>
        <rFont val="Calibri Light"/>
        <family val="2"/>
        <scheme val="major"/>
      </rPr>
      <t>“Lo anterior sin perjuicio de las responsabilidades que se deriven del Acuerdo de Garantía”</t>
    </r>
    <r>
      <rPr>
        <sz val="12"/>
        <rFont val="Calibri Light"/>
        <family val="2"/>
        <scheme val="major"/>
      </rPr>
      <t>.</t>
    </r>
  </si>
  <si>
    <r>
      <t xml:space="preserve">Solicitamos modificar la regla en virtud de la cual, si la ANI guarda silencio sobre los documentos para acreditar el Cierre Financiero, se entenderá como no aprobado el mismo. Al respecto vale señalar que el mismo Contrato de Concesión señala en la Sección 3.8 (h) de la Parte General que </t>
    </r>
    <r>
      <rPr>
        <i/>
        <sz val="12"/>
        <rFont val="Calibri Light"/>
        <family val="2"/>
        <scheme val="major"/>
      </rPr>
      <t xml:space="preserve">“La obligación del Concesionario de financiar el Proyecto no se agota ni se entiende cumplida con la obtención del Cierre Financiero”, </t>
    </r>
    <r>
      <rPr>
        <sz val="12"/>
        <rFont val="Calibri Light"/>
        <family val="2"/>
        <scheme val="major"/>
      </rPr>
      <t>por lo que resulta totalmente razonable que el Contrato de Concesión establezca que si la ANI guarda silencio sobre la documentación presentada para acreditar el Cierre Financiero, se entenderá el mismo como aprobado.</t>
    </r>
  </si>
  <si>
    <r>
      <t xml:space="preserve">Señala esta sección que </t>
    </r>
    <r>
      <rPr>
        <i/>
        <sz val="12"/>
        <rFont val="Calibri Light"/>
        <family val="2"/>
        <scheme val="major"/>
      </rPr>
      <t>“Los costos por concepto del Gravamen a los Movimientos Financieros (GMF) que sean generados en la Cuenta ANI y las subcuentas que la conforman deberán ser asumidos en su totalidad por el Concesionario”. A</t>
    </r>
    <r>
      <rPr>
        <sz val="12"/>
        <rFont val="Calibri Light"/>
        <family val="2"/>
        <scheme val="major"/>
      </rPr>
      <t>l respecto solicitamos que la ANI incluya algún tipo de limitación, o de lo contrario la ANI podría ordenar cuantos movimientos considere y de forma ilimitada el Concesionario sería en últimas quien asumiría los costos del GMF.</t>
    </r>
  </si>
  <si>
    <r>
      <t xml:space="preserve">Estas secciones se refieren a </t>
    </r>
    <r>
      <rPr>
        <i/>
        <sz val="12"/>
        <rFont val="Calibri Light"/>
        <family val="2"/>
        <scheme val="major"/>
      </rPr>
      <t>“recompra de derechos económicos”</t>
    </r>
    <r>
      <rPr>
        <sz val="12"/>
        <rFont val="Calibri Light"/>
        <family val="2"/>
        <scheme val="major"/>
      </rPr>
      <t>. Agradecemos a la ANI aclare a qué se refiere con dicho concepto.</t>
    </r>
  </si>
  <si>
    <r>
      <t xml:space="preserve">Esta sección establece que </t>
    </r>
    <r>
      <rPr>
        <i/>
        <sz val="12"/>
        <rFont val="Calibri Light"/>
        <family val="2"/>
        <scheme val="major"/>
      </rPr>
      <t>“En la tabla siguiente se presentan los plazos máximos para el inicio de la operación de las Unidades Funcionales, los cuales deberán contarse a partir de la fecha de suscripción del Acta de Inicio de la Fase de Construcción para este Proyecto”</t>
    </r>
    <r>
      <rPr>
        <sz val="12"/>
        <rFont val="Calibri Light"/>
        <family val="2"/>
        <scheme val="major"/>
      </rPr>
      <t>.</t>
    </r>
  </si>
  <si>
    <r>
      <t xml:space="preserve">Solicitamos eliminar la multa asociada a no acreditar el Cierre Financiero, pues resulta contradictoria con lo que la misma ANI señala en la Sección 3.8 (h) de la Parte General del Contrato de Concesión en el sentido que </t>
    </r>
    <r>
      <rPr>
        <i/>
        <sz val="12"/>
        <rFont val="Calibri Light"/>
        <family val="2"/>
        <scheme val="major"/>
      </rPr>
      <t xml:space="preserve">“La obligación del Concesionario de financiar el Proyecto no se agota ni se entiende cumplida con la obtención del Cierre Financiero”, </t>
    </r>
    <r>
      <rPr>
        <sz val="12"/>
        <rFont val="Calibri Light"/>
        <family val="2"/>
        <scheme val="major"/>
      </rPr>
      <t>con lo cual no se entiende la finalidad de la ANI de incluir multas al respecto.</t>
    </r>
  </si>
  <si>
    <r>
      <t xml:space="preserve">“Para cada periodo de doce (12) Meses consecutivos </t>
    </r>
    <r>
      <rPr>
        <i/>
        <u/>
        <sz val="12"/>
        <rFont val="Calibri Light"/>
        <family val="2"/>
        <scheme val="major"/>
      </rPr>
      <t>contados desde la suscripción de la última Acta de Terminación de Unidad Funcional</t>
    </r>
    <r>
      <rPr>
        <i/>
        <sz val="12"/>
        <rFont val="Calibri Light"/>
        <family val="2"/>
        <scheme val="major"/>
      </rPr>
      <t xml:space="preserve"> -es decir desde el inicio de la Etapa de Operación y Mantenimiento-, si el valor del Recaudo de Peaje acumulado de los doce (12) Meses anteriores a dicho periodo es inferior al valor 𝑉𝑆𝐼𝑖 definido en la Parte Especial, la ANI pagará al Concesionario el Soporte de Ingresos de ese período …”</t>
    </r>
  </si>
  <si>
    <r>
      <t>Esta Sección establece que “</t>
    </r>
    <r>
      <rPr>
        <i/>
        <sz val="12"/>
        <rFont val="Calibri Light"/>
        <family val="2"/>
        <scheme val="major"/>
      </rPr>
      <t xml:space="preserve">Si la sociedad que se considera controlada es extranjera, la situación de control se verificará: (…) (4) mediante </t>
    </r>
    <r>
      <rPr>
        <i/>
        <u/>
        <sz val="12"/>
        <rFont val="Calibri Light"/>
        <family val="2"/>
        <scheme val="major"/>
      </rPr>
      <t>certificación expedida conjuntamente por los representantes legales del Oferente</t>
    </r>
    <r>
      <rPr>
        <i/>
        <sz val="12"/>
        <rFont val="Calibri Light"/>
        <family val="2"/>
        <scheme val="major"/>
      </rPr>
      <t xml:space="preserve"> (o los Integrantes de la Estructura Plural) </t>
    </r>
    <r>
      <rPr>
        <i/>
        <u/>
        <sz val="12"/>
        <rFont val="Calibri Light"/>
        <family val="2"/>
        <scheme val="major"/>
      </rPr>
      <t>y de la sociedad controlante</t>
    </r>
    <r>
      <rPr>
        <i/>
        <sz val="12"/>
        <rFont val="Calibri Light"/>
        <family val="2"/>
        <scheme val="major"/>
      </rPr>
      <t>, legalizada a través de declaración hecha ante autoridad competente para recibir declaraciones juramentadas en la respectiva jurisdicción</t>
    </r>
    <r>
      <rPr>
        <sz val="12"/>
        <rFont val="Calibri Light"/>
        <family val="2"/>
        <scheme val="major"/>
      </rPr>
      <t xml:space="preserve">…”. </t>
    </r>
  </si>
  <si>
    <r>
      <t>“</t>
    </r>
    <r>
      <rPr>
        <i/>
        <sz val="12"/>
        <rFont val="Calibri Light"/>
        <family val="2"/>
        <scheme val="major"/>
      </rPr>
      <t xml:space="preserve">Si el Oferente o los Integrantes de una Estructura Plural acreditan los Requisitos Habilitantes de </t>
    </r>
    <r>
      <rPr>
        <i/>
        <u/>
        <sz val="12"/>
        <rFont val="Calibri Light"/>
        <family val="2"/>
        <scheme val="major"/>
      </rPr>
      <t>sociedades controladas por su Matriz</t>
    </r>
    <r>
      <rPr>
        <i/>
        <sz val="12"/>
        <rFont val="Calibri Light"/>
        <family val="2"/>
        <scheme val="major"/>
      </rPr>
      <t xml:space="preserve">, se deberán acreditar las correspondientes situaciones de control (1) de la Matriz con respecto al Oferente o los Integrantes de una Estructura Plural y (2) </t>
    </r>
    <r>
      <rPr>
        <i/>
        <u/>
        <sz val="12"/>
        <rFont val="Calibri Light"/>
        <family val="2"/>
        <scheme val="major"/>
      </rPr>
      <t>de la Matriz con respecto a las sociedades que acreditan los Requisitos Habilitantes correspondientes</t>
    </r>
    <r>
      <rPr>
        <i/>
        <sz val="12"/>
        <rFont val="Calibri Light"/>
        <family val="2"/>
        <scheme val="major"/>
      </rPr>
      <t>, según lo previsto anteriormente.”</t>
    </r>
  </si>
  <si>
    <r>
      <t xml:space="preserve">Para acreditar la situación de control “… </t>
    </r>
    <r>
      <rPr>
        <i/>
        <sz val="12"/>
        <rFont val="Calibri Light"/>
        <family val="2"/>
        <scheme val="major"/>
      </rPr>
      <t>(2) de la Matriz con respecto a las sociedades que acreditan los Requisitos Habilitantes correspondientes</t>
    </r>
    <r>
      <rPr>
        <sz val="12"/>
        <rFont val="Calibri Light"/>
        <family val="2"/>
        <scheme val="major"/>
      </rPr>
      <t>”, la certificación debe ser suscrita únicamente por la Matriz y por la sociedad controlada por esa Matriz; esta certificación no la suscribe el Oferente o Integrante de la Estructura Plural. Favor confirmar nuestro entendimiento y si es correcto, favor ajustar el numeral 4.4.2 (a) (ii) en ese sentido.</t>
    </r>
  </si>
  <si>
    <r>
      <t xml:space="preserve">En la sección 1.8.1. del capítulo 1.8. “visitas al lugar donde se desarrollará el proyecto debida diligencia e información sobre el Proyecto” del pliego de condiciones señala: “Será responsabilidad de los Oferentes visitar e inspeccionar los sitios en los cuales se desarrollará el Proyecto. Los interesados deberán realizar todas las evaluaciones y estimaciones que sean necesarias para presentar su Oferta sobre la base de un examen cuidadoso de sus características, incluyendo los estudios, diseños, evaluaciones y verificaciones que consideren necesarios para formular la Oferta con base en su propia información.”
</t>
    </r>
    <r>
      <rPr>
        <b/>
        <sz val="12"/>
        <rFont val="Calibri Light"/>
        <family val="2"/>
        <scheme val="major"/>
      </rPr>
      <t>Observación</t>
    </r>
    <r>
      <rPr>
        <sz val="12"/>
        <rFont val="Calibri Light"/>
        <family val="2"/>
        <scheme val="major"/>
      </rPr>
      <t>: Es pertinente indicar que ante la actual coyuntura como consecuencia de declaratoria de emergencia económica, social y sanitaria derivada del COVID 19, particularmente la orden de aislamiento preventivo contenida en el Decreto 457 de 2020 y demás decretos, es fácticamente imposible el traslado hasta el lugar de ejecución. En consecuencia, se solicita suprimir este acápite o modificar la redacción en este sentido.</t>
    </r>
  </si>
  <si>
    <r>
      <t xml:space="preserve">El Pliego de Condiciones en su sección 1.8.3. del capítulo 1.8. “visitas al lugar donde se desarrollará el proyecto, debida diligencia e información sobre el Proyecto” señala en relación con el examen de la viabilidad financiera de la oferta: “Por la sola presentación de la Oferta se considera que los Oferentes han considerado la viabilidad financiera del Contrato, bajo las condiciones contenidas en su Oferta, y que han hecho un cuidadoso examen de los sitios de la obra y han investigado plenamente las condiciones de trabajo, los riesgos, y en general, todos los factores determinantes de los costos de ejecución de los trabajos, los cuales se incluyen en los términos de su Oferta. Si el Oferente que resulte Adjudicatario no ha obtenido, ha evaluado incorrectamente o no ha considerado toda la información que pueda influir en la determinación de los costos, no se eximirá́ de su responsabilidad por la ejecución completa de las obras de conformidad con el Contrato, ni le dará́ derecho a reembolso de costos, ni reclamaciones o reconocimientos adicionales de ninguna naturaleza.” 
</t>
    </r>
    <r>
      <rPr>
        <b/>
        <sz val="12"/>
        <rFont val="Calibri Light"/>
        <family val="2"/>
        <scheme val="major"/>
      </rPr>
      <t>Observación</t>
    </r>
    <r>
      <rPr>
        <sz val="12"/>
        <rFont val="Calibri Light"/>
        <family val="2"/>
        <scheme val="major"/>
      </rPr>
      <t>: Así entonces, se sugiere modificar esta cláusula en el sentido de dejar suficientemente claro que el contratista presentará su oferta a partir de la información que ha sido suministrada por la entidad al momento de la presentación de la oferta, y por tanto su responsabilidad no podrá exceder de la información recibida. Esto teniendo en cuenta que, la viabilidad financiera del Contrato puede verse impactada por situaciones que se presenten en desarrollo del Contrato no configuradas ni previsibles al momento de presentación de la oferta económica.</t>
    </r>
  </si>
  <si>
    <r>
      <t xml:space="preserve">El Pliego de Condiciones en su capítulo 2.5. numeral 2.5.1. “estimación, tipificación y asignación de riesgos”, señala: “En desarrollo de lo establecido en el artículo 4 de la Ley 1150 de 2007, en el artículo 220 del Decreto 019 de 2012 y en el artículo 2.2.1.2.1.1.2. del Decreto 1082 de 2015, la ANI celebrará una audiencia en la fecha y lugar indicado en el numeral 2.3 del presente Pliego de Condiciones, con el objeto de revisar la asignación de los riesgos propios del Contrato de Concesión a adjudicar y establecer su distribución definitiva, sin necesidad de citación alguna. De la misma se levantará un acta que se publicará en el SECOP. La asistencia a esta audiencia no será́ obligatoria, pero a pesar de no asistir a la misma, se presumirá́ conocido y aceptado lo que allí́ se discuta por parte de los Interesados u Oferentes.
Esta audiencia se efectuará sin perjuicio de la responsabilidad de los 18 Oferentes de verificar todas las informaciones y condiciones concernientes a 19 esta Licitación Pública, de conformidad con lo previsto en el presente 20 Pliego de Condiciones.
La ANI no estará obligada a atender favorablemente los requerimientos que 23 planteen los interesados durante la audiencia, ni a acceder a los ajustes que 24 se soliciten en la audiencia.
La ANI podrá no pronunciarse en la audiencia sobre algunos requerimientos 27 de los asistentes, caso en el cual se pronunciará por escrito sobre los mismos 28 más adelante.
En general, a esta audiencia le aplicarán los mismos principios y reglas 31 señalados en el numeral 2.5.2 siguiente”. 
</t>
    </r>
    <r>
      <rPr>
        <b/>
        <sz val="12"/>
        <rFont val="Calibri Light"/>
        <family val="2"/>
        <scheme val="major"/>
      </rPr>
      <t>Observación</t>
    </r>
    <r>
      <rPr>
        <sz val="12"/>
        <rFont val="Calibri Light"/>
        <family val="2"/>
        <scheme val="major"/>
      </rPr>
      <t>: En relación con la audiencia de asignación de riesgos, y en particular con su celebración, solicitamos a la ANI aplicar lo previsto en el artículo 1 del decreto 440 de 2020, en lo que se refiere a la celebración de audiencias públicas a través de medios electrónicos.</t>
    </r>
  </si>
  <si>
    <r>
      <t xml:space="preserve">Los Pliegos de Condiciones en relación con la sección 9.3. “Constitución del SPV” señalan:
“9.3.1 A partir de la fecha de Adjudicación de la Licitación Pública y hasta el quinto (5) día hábil anterior a la firma del Contrato, el Adjudicatario deberá constituir un SPV para la suscripción del Contrato de Concesión. El SPV deberá ser una sociedad comercial por acciones de nacionalidad colombiana, cuyo único objeto 41 sea la suscripción y ejecución del Contrato de Concesión.
9.3.2 La no constitución del SPV en los plazos y términos indicados en este Pliego de Condiciones, facultará a la ANI para hacer efectiva la Garantía de Seriedad de la 45 Oferta, a menos que dicho plazo sea prorrogado por la entidad”.
</t>
    </r>
    <r>
      <rPr>
        <b/>
        <sz val="12"/>
        <rFont val="Calibri Light"/>
        <family val="2"/>
        <scheme val="major"/>
      </rPr>
      <t>Observación</t>
    </r>
    <r>
      <rPr>
        <sz val="12"/>
        <rFont val="Calibri Light"/>
        <family val="2"/>
        <scheme val="major"/>
      </rPr>
      <t>: solicitamos respetuosamente a la ANI ampliar en ocho (5) días hábiles el término para constitución de la SPV.</t>
    </r>
  </si>
  <si>
    <r>
      <t xml:space="preserve">El numeral 3.12. de la Parte General del Contrato de Concesión, señala en relación con la toma de posesión de contrato por parte de los prestamistas: “3.12 Toma de Posesión de los Prestamistas (a) Los Prestamistas tendrán derecho a tomar posesión del Proyecto cuando: (i) El Concesionario incumpla con sus obligaciones financieras de conformidad con lo establecido en los documentos de crédito (o reglamento de colocación –o similar– cuando se trate de colocación de títulos en el mercado de capitales) suscritos con los Prestamistas (...)” </t>
    </r>
    <r>
      <rPr>
        <b/>
        <sz val="12"/>
        <rFont val="Calibri Light"/>
        <family val="2"/>
        <scheme val="major"/>
      </rPr>
      <t>Observación</t>
    </r>
    <r>
      <rPr>
        <sz val="12"/>
        <rFont val="Calibri Light"/>
        <family val="2"/>
        <scheme val="major"/>
      </rPr>
      <t>: La redacción del pliego sobre el tema, excluye la aceptación del concesionario respecto del cambio de la toma de posesión de los prestamistas. En relación con esta situación observamos (i) que previo a la toma de posesión es necesaria y razonable la intervención del Concesionario, al menos para controvertir y plantear su posición en relación con el estado del contrato, y (ii) que incorporar un mecanismo de intervención del Concesionario es útil para la toma de decisiones en relación con la ejecución del Proyecto.</t>
    </r>
  </si>
  <si>
    <r>
      <t xml:space="preserve">El numeral 3.8. literal (f) de la Parte General del Contrato de Concesión señala en relación con la obtención del cierre financiero ”la obtención del Cierre Financiero será por cuenta y riesgo del Concesionario y en nada limita, excluye o excusa su obligación de procurar la totalidad de recursos necesarios para llevar a cabo todas las obligaciones del Contrato en los plazos y condiciones establecidos por el mismo, incluso si los Recursos de Deuda que requiera el Proyecto deben ser mayores a los comprometidos a través del Cierre Financiero”. </t>
    </r>
    <r>
      <rPr>
        <b/>
        <sz val="12"/>
        <rFont val="Calibri Light"/>
        <family val="2"/>
        <scheme val="major"/>
      </rPr>
      <t>Observación</t>
    </r>
    <r>
      <rPr>
        <sz val="12"/>
        <rFont val="Calibri Light"/>
        <family val="2"/>
        <scheme val="major"/>
      </rPr>
      <t>: La obligación de consecución del cierre financiero no es de extensión ilimitada. Por esta razón, solicitamos a la ANI eliminar de esta cláusula la referencia a que nada “limita, excluye o excusa” la obligación de procurar la obtención de recursos. La ANI es conocedora de las situaciones que pueden incidir en la obtención de recursos, entre ellas, la toma de decisiones del mercado financiero, situación que es ajena al control del Concesionario.</t>
    </r>
  </si>
  <si>
    <r>
      <t xml:space="preserve">El numeral 4.11. literal (b) de la Parte General del Contrato de Concesión señala que la ANI no “aceptará reclamación alguna, ni solicitud de extensión de plazos, ni solicitudes de compensaciones derivadas de insuficiencias en las Especificaciones Técnicas, pretendidas o reales, puesto que estas especificaciones son exigencias mínimas que el Concesionario deberá cumplir, y, -de ser el caso- mejorar en lo que resulte necesario para garantizar la obtención de los resultados previstos en el Contrato y sus Apéndices”. 
</t>
    </r>
    <r>
      <rPr>
        <b/>
        <sz val="12"/>
        <rFont val="Calibri Light"/>
        <family val="2"/>
        <scheme val="major"/>
      </rPr>
      <t>Observación</t>
    </r>
    <r>
      <rPr>
        <sz val="12"/>
        <rFont val="Calibri Light"/>
        <family val="2"/>
        <scheme val="major"/>
      </rPr>
      <t>: esta cláusula es contentiva de una obligación de extensión ilimitada, que iría en contravía de la misma ejecución del Proyecto. Esto es así, teniendo en cuenta que el Concesionario podría encontrar necesaria una extensión de plazo y/o compensación derivada del mismo, con el único de garantizar el cumplimiento de una Especificación Técnica indispensable para garantizar el desarrollo del Contrato. Por tanto, solicitamos eliminar de esta sección la nota que se refiere a “no se aceptará reclamación alguna, ni solicitud de extensión de plazos, ni solicitudes de compensaciones derivadas de insuficiencias en las Especificaciones Técnicas”.</t>
    </r>
  </si>
  <si>
    <r>
      <t xml:space="preserve">El numeral 4.3. literal (b) de la Parte General del Contrato de Concesión establece en relación con las principales obligaciones de la ANI durante la Fase de Pre construcción:
“Cooperar con el Concesionario en los trámites ante las Autoridades Estatales, para la obtención de las Licencias y Permisos necesarios para iniciar las Intervenciones. La participación de la ANI en el trámite mencionado no implica que el riesgo de Gestión Social y Ambiental se convierta en un riesgo compartido o a cargo de la ANI. “ 
</t>
    </r>
    <r>
      <rPr>
        <b/>
        <sz val="12"/>
        <rFont val="Calibri Light"/>
        <family val="2"/>
        <scheme val="major"/>
      </rPr>
      <t>Observación</t>
    </r>
    <r>
      <rPr>
        <sz val="12"/>
        <rFont val="Calibri Light"/>
        <family val="2"/>
        <scheme val="major"/>
      </rPr>
      <t>: sin perjuicio de lo contenido en la obligación de precedente, se requiere que la entidad participe mediante la coordinación interinstitucional en los procedimientos para la obtención de licencias y permisos1, como quiera que se encuentra en mejor posición para hacerlo que el Concesionario. Es por esta razón que, por la naturaleza de la obligación y por su naturaleza colaborativa, derivada en un riesgo que sí debe ser compartido por la ANI. En este sentido, solicitamos a la Entidad eliminar la última sección de este literal en lo que se refiere a que “la participación de la ANI en el trámite mencionado no implica que el riesgo de Gestión Predial se convierta en un riesgo compartido o a cargo de la ANI”.</t>
    </r>
  </si>
  <si>
    <r>
      <t xml:space="preserve">La sección 15.1. “Amigable Componedor” del Capítulo XV “Solución de Controversias” de la Parte General del Contrato de Concesión contiene el pacto de composición. El literal (f) subliteral (v) señala que “las decisiones del Panel de Amigables Componedores deberán adoptarse por unanimidad. A falta de unanimidad las Partes convienen que la decisión no será vinculante, ni de obligatorio cumplimiento y cualquiera de ellas podrá plantear la disputa ante un tribunal de arbitramento como se dispone en las Secciones 15.2 y 15.3 siguientes”.
</t>
    </r>
    <r>
      <rPr>
        <b/>
        <sz val="12"/>
        <rFont val="Calibri Light"/>
        <family val="2"/>
        <scheme val="major"/>
      </rPr>
      <t>Observación</t>
    </r>
    <r>
      <rPr>
        <sz val="12"/>
        <rFont val="Calibri Light"/>
        <family val="2"/>
        <scheme val="major"/>
      </rPr>
      <t>: con base en el “principio de conservación” del mecanismo de amigable composición, solicitamos a la ANI eliminar este literal en su totalidad. Esto teniendo en cuenta que la simple existencia de una decisión que no sea unánime desvirtúa el esfuerzo que hayan invertido las partes en la solución de sus controversias. La solución por amigable composición supone una sujeción a la decisión final, sin importar si esta es unánime o no. Esta última premisa es totalmente consistente con el numeral (vi) según el cual, las “decisiones del Panel de Amigables Componedores una vez adoptadas, serán irrevocables”. .</t>
    </r>
  </si>
  <si>
    <r>
      <t xml:space="preserve">RIESGO AMBIENTAL Y SOCIAL: La sección 5 de la matriz de riesgos señala “los efectos de los costos y las demoras en la obtención de las licencias ambientales, planes de manejo ambiental, conceptos y demás permisos de carácter ambiental, así como las gestiones y actividades derivadas de los acuerdos de nuevas consultas previas con las comunidades” Este riesgo está asignado en la matriz a la Concesionaria.
</t>
    </r>
    <r>
      <rPr>
        <b/>
        <sz val="12"/>
        <rFont val="Calibri Light"/>
        <family val="2"/>
        <scheme val="major"/>
      </rPr>
      <t>Observación</t>
    </r>
    <r>
      <rPr>
        <sz val="12"/>
        <rFont val="Calibri Light"/>
        <family val="2"/>
        <scheme val="major"/>
      </rPr>
      <t>: la asignación de este riesgo, puntualmente de las demoras en la obtención de licencias ambientales, debe tener asignación “PUBLICO - PRIVADO”, teniendo en cuenta que la duración excesiva en los trámites administrativos ante otras autoridades es un asunto que trasciende la órbita privada de acción, y resulta una carga desproporcionada con el Concesionario asignarle este riesgo exclusivamente a él.
En relación con los costos, el CONPES 3714 de 2011, señala expresamente que “cuando no se cuente con licencia ambiental debidamente ejecutoriada y/o plan de manejo ambiental, antes del cierre de la licitación, los costos por obligaciones ambientales se deberán estimar y prever en los contratos acorde con la naturaleza y magnitud del objeto contractual. En estos casos la entidad estatal podrá asumir el riesgo de que los costos por obligaciones ambientales resulten superiores a lo estimado.”
En consecuencia, solicitamos a la ANI asignar este riesgo conjuntamente a Concesionario y a la ANI en lo se refiera a los costos por obligaciones ambientales superiores a lo estimado. Nótese que los lineamientos CONPES son claros en precisar que “el traslado del riesgo no tiene connotaciones infinitas por lo que se recomienda no incluir en los pliegos de condiciones y en las matrices de riesgos traslados de riesgo o de responsabilidad en abstracto sin tipificación y estimación o cuantificación”</t>
    </r>
  </si>
  <si>
    <r>
      <t xml:space="preserve">RIESGO DISEÑO: El numeral 9 de la matriz de riesgos tipifica el riesgo de diseño como los “efectos derivados de los cambios en los estudios y diseños, incluyendo pero sin limitarse a modificaciones sobre la programación de obra, costos, sobre los costos y el impacto sobre otros riesgos a cargo de la ANI”. Este riesgo está asignado al Concesionario.
</t>
    </r>
    <r>
      <rPr>
        <b/>
        <sz val="12"/>
        <rFont val="Calibri Light"/>
        <family val="2"/>
        <scheme val="major"/>
      </rPr>
      <t>Observación</t>
    </r>
    <r>
      <rPr>
        <sz val="12"/>
        <rFont val="Calibri Light"/>
        <family val="2"/>
        <scheme val="major"/>
      </rPr>
      <t>/: le solicitamos a la ANI asignar este riesgo de manera compartida, esto es, Privado - Público. Esto es así teniendo en cuenta dos escenarios: (i) cambios en los estudios y diseños originados en decisiones autónomas constructivas del Concesionario y (ii) cambios en los estudios y diseños causados por decisión de la ANI. El CONPES 3714 de 2007 es claro en afirmar que la distribución de riesgos está sujeta a “la capacidad de cada una de las partes para gestionarlo, controlarlo, administrarlo y mitigarlo”. En esta medida, el Concesionario no está en capacidad de gestionar, ni controlar, ni administrar ni mitigar riesgo de diseño causado por introducciones o cambios a los estudios y diseños solicitados por la ANI. En este caso, la Entidad tendrá que asumir el efecto que estas modificaciones tengan en la programación de obra, costos y en el impacto sobre otros riesgos a cargo de la ANI y del Concesionario.</t>
    </r>
  </si>
  <si>
    <r>
      <t xml:space="preserve">RIESGO CONSTRUCCIÓN El numeral 8 de la matriz de riesgos tipifica a cargo del Concesionario el riesgo derivado de “los efectos de las variaciones en las cantidades de obra”.
</t>
    </r>
    <r>
      <rPr>
        <b/>
        <sz val="12"/>
        <rFont val="Calibri Light"/>
        <family val="2"/>
        <scheme val="major"/>
      </rPr>
      <t>Observación</t>
    </r>
    <r>
      <rPr>
        <sz val="12"/>
        <rFont val="Calibri Light"/>
        <family val="2"/>
        <scheme val="major"/>
      </rPr>
      <t>: solicitamos a la ANI asignar compartido este riesgo. Esto es así, teniendo en cuenta: (i) que el Concesionario únicamente está llamado a asumir las variaciones en cantidades de obra derivadas de un error constructivo demostrado por la ANI, y (ii) que todas las demás variaciones en las cantidades de obra, derivadas entre otros, intervenciones prioritarias no previstas, instrucciones de la ANI, situaciones de fuerza mayor recaen en la ANI.</t>
    </r>
  </si>
  <si>
    <r>
      <t xml:space="preserve">El numeral 12 de la matriz de riesgos asigna al Concesionario el riesgo derivado de “los efectos de la variación en precios de los insumos”.
</t>
    </r>
    <r>
      <rPr>
        <b/>
        <sz val="12"/>
        <rFont val="Calibri Light"/>
        <family val="2"/>
        <scheme val="major"/>
      </rPr>
      <t>Observación</t>
    </r>
    <r>
      <rPr>
        <sz val="12"/>
        <rFont val="Calibri Light"/>
        <family val="2"/>
        <scheme val="major"/>
      </rPr>
      <t>: Si bien el oferente debe tener en cuenta en su propuesta los valores de precios y su eventual variación, es importante señalar que, ante una variación anormal de éstos, se afectaría gravemente el equilibrio económico del contrato, razón por la cual este asunto debe tener asignación conjunta, para que ambos extremos del contrato propendan por su mitigación.</t>
    </r>
  </si>
  <si>
    <r>
      <t xml:space="preserve">El numeral 13 de la matriz de riesgos asigna al Concesionario el riesgo derivado de los “costos de construcción generados a la entrega anticipada o tardía de la infraestructura existente”.
</t>
    </r>
    <r>
      <rPr>
        <b/>
        <sz val="12"/>
        <rFont val="Calibri Light"/>
        <family val="2"/>
        <scheme val="major"/>
      </rPr>
      <t>Observación</t>
    </r>
    <r>
      <rPr>
        <sz val="12"/>
        <rFont val="Calibri Light"/>
        <family val="2"/>
        <scheme val="major"/>
      </rPr>
      <t>: este riesgo debe ser asignado a la ANI pues en esta Entidad recae la obligación de entrega de la infraestructura existente. Por tanto, una entrega tardía o anticipada, así como sus mayores costos, recaerán únicamente en la Entidad.</t>
    </r>
  </si>
  <si>
    <r>
      <t xml:space="preserve">A lo largo del numeral 4.2. se explica la forma de acreditar la experiencia, estableciendo el numeral 4.22 (b) que quien acredite la experiencia debe ser parte de una sociedad concesionaria incluso si esta ultima constituyó un vehículo o de propósito especial, más adelante en el literal (d) se refieren a figuras asociativas para la </t>
    </r>
    <r>
      <rPr>
        <i/>
        <sz val="12"/>
        <rFont val="Calibri Light"/>
        <family val="2"/>
        <scheme val="major"/>
      </rPr>
      <t xml:space="preserve">ejecución de contratos anteriores </t>
    </r>
    <r>
      <rPr>
        <sz val="12"/>
        <rFont val="Calibri Light"/>
        <family val="2"/>
        <scheme val="major"/>
      </rPr>
      <t>para el efecto, solicitamos aclarar entonces que el oferente o el integrante de la estructura plural puede acreditar esta experiencia si acredita ser socio de una sociedad concesionaria (vehículo de propósito especial o estructura plural) que obtuvo un cierre financiero según las caracteristicas descritas en los pliegos</t>
    </r>
  </si>
  <si>
    <r>
      <t xml:space="preserve">en relación con el cupo de crédito, el numeral 4.3.6 (vi) establece que máximo podrá aportarse un cupo de crédito por Integrante de la Estructura Plural y dos cupos de crédito en caso de oferente Individual y más adelante en el Parágrafo 1 se establece que </t>
    </r>
    <r>
      <rPr>
        <i/>
        <sz val="12"/>
        <rFont val="Calibri Light"/>
        <family val="2"/>
        <scheme val="major"/>
      </rPr>
      <t xml:space="preserve">podrían sumar varias certificaciones de cupo de crédito especifico otorgadas a a uno o varios Integrantes de la Estructura Plural o al Oferente Individual, y a renglón seguido dice que Máximo podrá aportarse un cupo de crédito por Integrante de la estructura plural y dos cupos de crédito en caso de oferente Individual. </t>
    </r>
    <r>
      <rPr>
        <sz val="12"/>
        <rFont val="Calibri Light"/>
        <family val="2"/>
        <scheme val="major"/>
      </rPr>
      <t xml:space="preserve">Al respecto solicitamos aclarar si lo que se debe entender es que un integrante de la estructura puede integrar un cupo de crédito con varias certificaciones de cupo de crédito (mas de dos) y si el oferente individual puede  integrar un cupo de crédito con varias certificaciones de cupo de crédito (mas de dos) </t>
    </r>
  </si>
  <si>
    <r>
      <t xml:space="preserve">Teniendo en consideración que tal como lo ha reconocido la jurisprudencia, los contratos de concesión son sujetos de ajustes en razón a las dificultades que implica una planeación exacta de los mismos, les solicitamos precisar de forma expresa en la Sección 2.5. de la Parte Especial del Contrato de Concesión, así como en la Sección 3.8. de la Parte Especial, que cada una de las fases tiene una duración </t>
    </r>
    <r>
      <rPr>
        <b/>
        <u/>
        <sz val="12"/>
        <rFont val="Calibri Light"/>
        <family val="2"/>
        <scheme val="major"/>
      </rPr>
      <t>estimada</t>
    </r>
    <r>
      <rPr>
        <sz val="12"/>
        <rFont val="Calibri Light"/>
        <family val="2"/>
        <scheme val="major"/>
      </rPr>
      <t>.</t>
    </r>
  </si>
  <si>
    <r>
      <t>Con el propósito de que la redacción sea recíproca para los riesgos asignados a las Partes, les solicitamos que al igual que ocurre para los riesgos asignados al Concesionario se incluya la siguiente redacción para los riesgos asignados a la ANI: “</t>
    </r>
    <r>
      <rPr>
        <i/>
        <sz val="12"/>
        <rFont val="Calibri Light"/>
        <family val="2"/>
        <scheme val="major"/>
      </rPr>
      <t>los siguientes son los riesgos asignados a la ANI, además de los que le sean asignados en otras partes del Contrato (incluyendo sus Apéndices) o de los que por su naturaleza deban ser asumidos por el ANI</t>
    </r>
    <r>
      <rPr>
        <sz val="12"/>
        <rFont val="Calibri Light"/>
        <family val="2"/>
        <scheme val="major"/>
      </rPr>
      <t>”.</t>
    </r>
  </si>
  <si>
    <r>
      <t>Entendemos que esta Sección hace referencia a las personas Jurídicas. No obstante lo anterior, el romanillo (i) establece que "</t>
    </r>
    <r>
      <rPr>
        <i/>
        <sz val="12"/>
        <rFont val="Calibri Light"/>
        <family val="2"/>
        <scheme val="major"/>
      </rPr>
      <t>La persona natural colombiana o extranjera domiciliada en Colombia deberá presentar certificado…</t>
    </r>
    <r>
      <rPr>
        <sz val="12"/>
        <rFont val="Calibri Light"/>
        <family val="2"/>
        <scheme val="major"/>
      </rPr>
      <t xml:space="preserve">". Entendemos que es un error, por lo que atentamente solicitamos que se establezca que este romanillo aplica para las personas </t>
    </r>
    <r>
      <rPr>
        <u/>
        <sz val="12"/>
        <rFont val="Calibri Light"/>
        <family val="2"/>
        <scheme val="major"/>
      </rPr>
      <t>jurídicas.</t>
    </r>
    <r>
      <rPr>
        <sz val="12"/>
        <rFont val="Calibri Light"/>
        <family val="2"/>
        <scheme val="major"/>
      </rPr>
      <t xml:space="preserve"> </t>
    </r>
  </si>
  <si>
    <r>
      <t xml:space="preserve">Solicitamos que se elimine el criterio según el cual </t>
    </r>
    <r>
      <rPr>
        <i/>
        <sz val="12"/>
        <rFont val="Calibri Light"/>
        <family val="2"/>
        <scheme val="major"/>
      </rPr>
      <t>"... que su oferta es igualmente favorable para la entidad</t>
    </r>
    <r>
      <rPr>
        <sz val="12"/>
        <rFont val="Calibri Light"/>
        <family val="2"/>
        <scheme val="major"/>
      </rPr>
      <t xml:space="preserve">”, para el proponente que quedó en segundo lugar. Si un proponente quedó en segundo lugar es porque su oferta fue validada y habilitada, cumplió los requisitos legales y su oferta económica es aceptable, por lo que solicitamos que, si el proponente que resultó adjudicatario no firma el contrato en los términos de esta Sección, se proceda a firmar el contrato con quien quedó de segundo en el orden de elegibilidad, sin que se aplique el criterio mencionado. </t>
    </r>
  </si>
  <si>
    <r>
      <t xml:space="preserve">En el encabezado del Acuerdo de Garantía se establece que será suscrito por </t>
    </r>
    <r>
      <rPr>
        <i/>
        <sz val="12"/>
        <rFont val="Calibri Light"/>
        <family val="2"/>
        <scheme val="major"/>
      </rPr>
      <t>“(iii) En calidad de Deudor Garantizado: El SPV que se constituya de acuerdo con lo previsto en el Pliego de Condiciones, a cuya conformación concurrirán [indicar el nombre de los miembros del proponente].</t>
    </r>
    <r>
      <rPr>
        <sz val="12"/>
        <rFont val="Calibri Light"/>
        <family val="2"/>
        <scheme val="major"/>
      </rPr>
      <t>”</t>
    </r>
  </si>
  <si>
    <r>
      <t>La definición de "Fajas" dispone que "</t>
    </r>
    <r>
      <rPr>
        <i/>
        <sz val="12"/>
        <rFont val="Calibri Light"/>
        <family val="2"/>
        <scheme val="major"/>
      </rPr>
      <t>El Concesionario está obligado a adquirir los Predios correspondientes a las Fajas que resulten necesarios para le ejecución del Proyecto, de conformidad con la Ley Aplicable y las obligaciones del Contrato</t>
    </r>
    <r>
      <rPr>
        <sz val="12"/>
        <rFont val="Calibri Light"/>
        <family val="2"/>
        <scheme val="major"/>
      </rPr>
      <t xml:space="preserve">". </t>
    </r>
  </si>
  <si>
    <r>
      <t xml:space="preserve">Definición de Fuerza Mayor: </t>
    </r>
    <r>
      <rPr>
        <i/>
        <sz val="12"/>
        <rFont val="Calibri Light"/>
        <family val="2"/>
        <scheme val="major"/>
      </rPr>
      <t xml:space="preserve">“(…) Además se considerará una Fuerza Mayor si transcurriere más del ciento cincuenta por ciento (150%) adicional del tiempo máximo establecido por la Ley Aplicable dentro de los trámites ante las Autoridades Estatales para el cumplimiento del objeto del Contrato, contado a partir de la radicación del trámite…”. </t>
    </r>
    <r>
      <rPr>
        <sz val="12"/>
        <rFont val="Calibri Light"/>
        <family val="2"/>
        <scheme val="major"/>
      </rPr>
      <t xml:space="preserve"> Solicitamos precisar a qué trámites ante las Autoridades Estatales se está haciendo referencia. </t>
    </r>
  </si>
  <si>
    <r>
      <t>Esta sección define las Obras Sociales como “</t>
    </r>
    <r>
      <rPr>
        <i/>
        <sz val="12"/>
        <rFont val="Calibri Light"/>
        <family val="2"/>
        <scheme val="major"/>
      </rPr>
      <t>aquellas obras y/o iniciativas, diferentes a las Obras Menores, que tienen como fin, atender las necesidades que sean solicitadas por los grupos de interés o comunidades en general que permita dar viabilidad al Proyecto. Dichas obras podrán estar focalizadas en aspectos de movilidad, recreación, productividad, emprendimiento, educación, habitabilidad, entre otras. Aspectos que deben ser representativos y de beneficio e interés general para una comunidad, sostenibles, contribuir al fortalecimiento del entorno social, cultural, económico, y mejoramiento del bienestar social y condiciones de vida de las mismas. Estas obras y/o iniciativas deberán ser solicitadas por escrito por las autoridades territoriales y/o representantes legítimos de las comunidades ante el Concesionario o la ANI y se expondrán en consideración de las instancias que determine la</t>
    </r>
    <r>
      <rPr>
        <sz val="12"/>
        <rFont val="Calibri Light"/>
        <family val="2"/>
        <scheme val="major"/>
      </rPr>
      <t xml:space="preserve"> </t>
    </r>
    <r>
      <rPr>
        <i/>
        <sz val="12"/>
        <rFont val="Calibri Light"/>
        <family val="2"/>
        <scheme val="major"/>
      </rPr>
      <t>ANI para su estudio, priorización y aprobación previo concepto de la Interventoría. Los aspectos inherentes al proceso de definición, evaluación y aprobación de las Obras Sociales estarán definidos en el procedimiento de gestión de calidad de la ANI definido para tal fin</t>
    </r>
    <r>
      <rPr>
        <sz val="12"/>
        <rFont val="Calibri Light"/>
        <family val="2"/>
        <scheme val="major"/>
      </rPr>
      <t xml:space="preserve">.” </t>
    </r>
  </si>
  <si>
    <r>
      <t>Esta definición no es la misma de la Sección 2.19 del Apéndice Técnico, que establece que la Oferta Formal de Compra de Predios “</t>
    </r>
    <r>
      <rPr>
        <i/>
        <sz val="12"/>
        <rFont val="Calibri Light"/>
        <family val="2"/>
        <scheme val="major"/>
      </rPr>
      <t>Es el oficio o el acto administrativo a través del cual se ofrece al propietario y/o al poseedor regular inscrito de un inmueble la adquisición de los derechos reales que éste(os) ostenta(n) y/o detenta(n) sobre el inmueble, se determina la naturaleza judicial o administrativa de la expropiación y se ordena efectuar la correspondiente inscripción en el registro de instrumentos públicos. Los requisitos de la Oferta se señalan en la Sección 5.5 de este Apéndice, sin perjuicio de las normas que resulten aplicables a ésta</t>
    </r>
    <r>
      <rPr>
        <sz val="12"/>
        <rFont val="Calibri Light"/>
        <family val="2"/>
        <scheme val="major"/>
      </rPr>
      <t>.”</t>
    </r>
  </si>
  <si>
    <r>
      <t xml:space="preserve">Sugerimos eliminar el lenguaje en rojo de la sección 3.3(i)(ii) para que la sección quede con el mismo lenguaje de la sección 3.3(h)(vi) y para que quede claro que el Fondo de Contingencias no es la única fuente, así:  3.3(i)(ii) "El valor resultante derivado del menor Recaudo de Peaje deberá ser consignado por la ANI en la Subcuenta Recaudo Peaje con los recursos </t>
    </r>
    <r>
      <rPr>
        <strike/>
        <sz val="12"/>
        <rFont val="Calibri Light"/>
        <family val="2"/>
        <scheme val="major"/>
      </rPr>
      <t>disponibles en el Fondo de Contingencias y en la prelación establecida en de</t>
    </r>
    <r>
      <rPr>
        <sz val="12"/>
        <rFont val="Calibri Light"/>
        <family val="2"/>
        <scheme val="major"/>
      </rPr>
      <t xml:space="preserve"> que trata la Sección 13.4 de esta Parte General (...)."</t>
    </r>
  </si>
  <si>
    <r>
      <t xml:space="preserve">Solicitamos la siguiente corrección: 3.14(h)(ix)(6).Al momento en que se haga exigible el derecho a favor del Concesionario a que sean transferidos los recursos a la Cuenta Proyecto por haberse causado la Retribución –o la Compensación Especial, cuando sea aplicable– en los términos del presente Contrato, la ANI ordenará trasferir las sumas descontadas por Deducciones y los Descuentos a la Cuenta Proyecto </t>
    </r>
    <r>
      <rPr>
        <strike/>
        <sz val="12"/>
        <rFont val="Calibri Light"/>
        <family val="2"/>
        <scheme val="major"/>
      </rPr>
      <t>Subcuenta Excedentes ANI</t>
    </r>
    <r>
      <rPr>
        <sz val="12"/>
        <rFont val="Calibri Light"/>
        <family val="2"/>
        <scheme val="major"/>
      </rPr>
      <t>.</t>
    </r>
  </si>
  <si>
    <r>
      <t>Solicitamos la siguiente aclaración (subrayada): Sección 3.14(h)(xii)(8). "</t>
    </r>
    <r>
      <rPr>
        <i/>
        <sz val="12"/>
        <rFont val="Calibri Light"/>
        <family val="2"/>
        <scheme val="major"/>
      </rPr>
      <t xml:space="preserve">Si existieren remanentes sin reclamar por parte de los usuarios a la fecha del Acta de Reversión, éstos quedarán a disposición de la ANI para ser transferidos al nuevo operador de las Estaciones de Peaje o, en su defecto, </t>
    </r>
    <r>
      <rPr>
        <i/>
        <u/>
        <sz val="12"/>
        <rFont val="Calibri Light"/>
        <family val="2"/>
        <scheme val="major"/>
      </rPr>
      <t>a los usuarios correspondientes</t>
    </r>
    <r>
      <rPr>
        <i/>
        <sz val="12"/>
        <rFont val="Calibri Light"/>
        <family val="2"/>
        <scheme val="major"/>
      </rPr>
      <t xml:space="preserve"> por solicitud expresa de los usuarios del servicio que abonaron previamente dichas su</t>
    </r>
    <r>
      <rPr>
        <sz val="12"/>
        <rFont val="Calibri Light"/>
        <family val="2"/>
        <scheme val="major"/>
      </rPr>
      <t>mas."</t>
    </r>
  </si>
  <si>
    <r>
      <t>Esta Sección establece que los recursos de la Subcuenta Policía de Carreteras "s</t>
    </r>
    <r>
      <rPr>
        <i/>
        <sz val="12"/>
        <rFont val="Calibri Light"/>
        <family val="2"/>
        <scheme val="major"/>
      </rPr>
      <t>e destinarán única y exclusivamente a la adquisición, entrega y reposición por parte del Concesionario a la Policía de Carreteras de los bienes e insumos necesarios para que ésta pueda desempeñar sus funciones en las vías que fueron entregadas al Concesionario, de conformidad con lo establecido en el Apéndice Técnico 2</t>
    </r>
    <r>
      <rPr>
        <sz val="12"/>
        <rFont val="Calibri Light"/>
        <family val="2"/>
        <scheme val="major"/>
      </rPr>
      <t xml:space="preserve">". </t>
    </r>
  </si>
  <si>
    <r>
      <t xml:space="preserve">Esta Sección dispone lo siguiente: </t>
    </r>
    <r>
      <rPr>
        <i/>
        <sz val="12"/>
        <rFont val="Calibri Light"/>
        <family val="2"/>
        <scheme val="major"/>
      </rPr>
      <t>"Dar los avisos correspondientes a las autoridades de tránsito correspondientes y colaborar con las mismas en el control de la utilización de vías que tengan como finalidad o efecto la Evasión y/o Elusión en el pago del Peaje (...)"</t>
    </r>
    <r>
      <rPr>
        <sz val="12"/>
        <rFont val="Calibri Light"/>
        <family val="2"/>
        <scheme val="major"/>
      </rPr>
      <t xml:space="preserve">. Esta obligación es contraria a la definición de Evasión, en tanto el contrato señala que la Evasión </t>
    </r>
    <r>
      <rPr>
        <i/>
        <sz val="12"/>
        <rFont val="Calibri Light"/>
        <family val="2"/>
        <scheme val="major"/>
      </rPr>
      <t>"Corresponde al no pago de las tarifas de Peaje definidas en la(s) Resolución(es) de Peaje(s) por parte de los usuarios de la vía al pasar por las Estaciones de Peaje asociadas al Proyecto(...)"</t>
    </r>
    <r>
      <rPr>
        <sz val="12"/>
        <rFont val="Calibri Light"/>
        <family val="2"/>
        <scheme val="major"/>
      </rPr>
      <t xml:space="preserve">. Solicitamos eliminar de esta Sección la palabra "Evasión" pues dada su definición, consideramos que no debería ser objeto de estos avisos. </t>
    </r>
  </si>
  <si>
    <r>
      <t>En virtud de esta sección "</t>
    </r>
    <r>
      <rPr>
        <i/>
        <sz val="12"/>
        <rFont val="Calibri Light"/>
        <family val="2"/>
        <scheme val="major"/>
      </rPr>
      <t>Si el Interventor y la ANI no manifiestan su aprobación o desaprobación durante los plazos previstos, el Concesionario deberá requerir nuevamente al Interventor y a la ANI para que manifiesten su aprobación o rechazo en un plazo máximo de cinco (5) Días. Si en ese plazo no se han pronunciado, se entenderá que el Interventor y la ANI han respondido de forma negativa. Para controvertir esa decisión, el Concesionario podrá convocar el Amigable Componedor.</t>
    </r>
    <r>
      <rPr>
        <sz val="12"/>
        <rFont val="Calibri Light"/>
        <family val="2"/>
        <scheme val="major"/>
      </rPr>
      <t xml:space="preserve">" </t>
    </r>
  </si>
  <si>
    <r>
      <t>Esta sección establece que "</t>
    </r>
    <r>
      <rPr>
        <i/>
        <sz val="12"/>
        <rFont val="Calibri Light"/>
        <family val="2"/>
        <scheme val="major"/>
      </rPr>
      <t>Adicionalmente, el Concesionario deberá obtener y entregar toda la información disponible y detallada, respecto a las actividades que haya(n) realizado el(los) Contratista(s) y subcontratistas, en el momento en que la ANI se lo solicite, sin ningún tipo de salvedad para su entrega</t>
    </r>
    <r>
      <rPr>
        <sz val="12"/>
        <rFont val="Calibri Light"/>
        <family val="2"/>
        <scheme val="major"/>
      </rPr>
      <t xml:space="preserve">". </t>
    </r>
  </si>
  <si>
    <r>
      <t>La Sección 15.1(a) establece que a los Amigables Componedores se les someterán aquellas "</t>
    </r>
    <r>
      <rPr>
        <i/>
        <sz val="12"/>
        <rFont val="Calibri Light"/>
        <family val="2"/>
        <scheme val="major"/>
      </rPr>
      <t>controversias que expresamente se han señalado en el Contrato</t>
    </r>
    <r>
      <rPr>
        <sz val="12"/>
        <rFont val="Calibri Light"/>
        <family val="2"/>
        <scheme val="major"/>
      </rPr>
      <t xml:space="preserve">". Entendemos que se trata de someter al Panel de Amigables Componedores todo aquello que esté taxativamente establecido en el Contrato que le será sometido a esta instancia de solución de controversias. </t>
    </r>
  </si>
  <si>
    <r>
      <t>A pesar de lo anterior, en la Sección 15.2(a) se establece que el Arbitraje Nacional aplica para aquellas controversias que no sean sometidas al Panel de Amigables Componedores y agrega lo siguiente: "</t>
    </r>
    <r>
      <rPr>
        <i/>
        <sz val="12"/>
        <rFont val="Calibri Light"/>
        <family val="2"/>
        <scheme val="major"/>
      </rPr>
      <t>esto es, entre otras, las controversias que sean sustancialmente técnicas, aun cuando las mismas tengan componentes jurídicos</t>
    </r>
    <r>
      <rPr>
        <sz val="12"/>
        <rFont val="Calibri Light"/>
        <family val="2"/>
        <scheme val="major"/>
      </rPr>
      <t>". Consideramos que este aparte debe eliminarse.</t>
    </r>
  </si>
  <si>
    <r>
      <t xml:space="preserve">“Las Partes acuerdan que en el evento en que se convoque el Tribunal de Arbitramento, los efectos de la cláusula compromisoria serán extensivos a aquellas empresas, sociedades o personas naturales que hayan presentado conjuntamente la Oferta </t>
    </r>
    <r>
      <rPr>
        <i/>
        <u/>
        <sz val="12"/>
        <rFont val="Calibri Light"/>
        <family val="2"/>
        <scheme val="major"/>
      </rPr>
      <t>o que adquieran acciones en el Concesionario con posterioridad</t>
    </r>
    <r>
      <rPr>
        <i/>
        <sz val="12"/>
        <rFont val="Calibri Light"/>
        <family val="2"/>
        <scheme val="major"/>
      </rPr>
      <t xml:space="preserve">, en la medida que dichos sujetos expresaron su consentimiento al momento de la presentación de la Oferta </t>
    </r>
    <r>
      <rPr>
        <i/>
        <u/>
        <sz val="12"/>
        <rFont val="Calibri Light"/>
        <family val="2"/>
        <scheme val="major"/>
      </rPr>
      <t>o a la adquisición de la participación accionaria</t>
    </r>
    <r>
      <rPr>
        <i/>
        <sz val="12"/>
        <rFont val="Calibri Light"/>
        <family val="2"/>
        <scheme val="major"/>
      </rPr>
      <t>.”</t>
    </r>
  </si>
  <si>
    <r>
      <t>En la Parte Especial para cada multa se establece que el valor de la misma será de "</t>
    </r>
    <r>
      <rPr>
        <i/>
        <sz val="12"/>
        <rFont val="Calibri Light"/>
        <family val="2"/>
        <scheme val="major"/>
      </rPr>
      <t>hasta</t>
    </r>
    <r>
      <rPr>
        <sz val="12"/>
        <rFont val="Calibri Light"/>
        <family val="2"/>
        <scheme val="major"/>
      </rPr>
      <t xml:space="preserve">" un determinado monto de salarios mínimos, por lo que solicitamos que se indique con qué criterio será tasada la multa en cada caso concreto. </t>
    </r>
  </si>
  <si>
    <r>
      <t>En el mismo sentido, en la página 53 se establece que uno de los acuerdos consiste en que "</t>
    </r>
    <r>
      <rPr>
        <i/>
        <sz val="12"/>
        <rFont val="Calibri Light"/>
        <family val="2"/>
        <scheme val="major"/>
      </rPr>
      <t>El concesionario o ejecutor del proyecto realizará el manejo de terraplenes (incluyendo control de aguas superficiales y subterráneas). Protección de taludes del terraplén mediante el uso de llantas o instalación de biomantos. Construcción de las obras necesarias para el manejo de escorrentía superficial como cunetas perimetrales, con las características adecuadas que eviten velocidades erosivas</t>
    </r>
    <r>
      <rPr>
        <sz val="12"/>
        <rFont val="Calibri Light"/>
        <family val="2"/>
        <scheme val="major"/>
      </rPr>
      <t xml:space="preserve">". </t>
    </r>
  </si>
  <si>
    <r>
      <t>El numeral 7 de la página 57 establece que "</t>
    </r>
    <r>
      <rPr>
        <i/>
        <sz val="12"/>
        <rFont val="Calibri Light"/>
        <family val="2"/>
        <scheme val="major"/>
      </rPr>
      <t xml:space="preserve">El concesionario o ejecutor del proyecto desarrollará e implementará un Programa de Arqueología Preventiva de acuerdo con la normativa vigente, este programa </t>
    </r>
    <r>
      <rPr>
        <i/>
        <u/>
        <sz val="12"/>
        <rFont val="Calibri Light"/>
        <family val="2"/>
        <scheme val="major"/>
      </rPr>
      <t>se implementará o no</t>
    </r>
    <r>
      <rPr>
        <i/>
        <sz val="12"/>
        <rFont val="Calibri Light"/>
        <family val="2"/>
        <scheme val="major"/>
      </rPr>
      <t xml:space="preserve"> en los sectores en donde se realicen actividades de obra nueva o de remoción de tierras, conforme a lo que establezca la autoridad competente. Una vez se cuente aprobado el plan de Manejo Arqueológico Por el Instituto Colombiano de Antropología e Historia – ICANH, el mismo será socializado a la Comunidad de Bocas del palo</t>
    </r>
    <r>
      <rPr>
        <sz val="12"/>
        <rFont val="Calibri Light"/>
        <family val="2"/>
        <scheme val="major"/>
      </rPr>
      <t xml:space="preserve">". </t>
    </r>
  </si>
  <si>
    <r>
      <t>(j)                                               Parcialmente, los efectos favorables y/o desfavorables producto del acaecimiento de eventos no asegurables</t>
    </r>
    <r>
      <rPr>
        <b/>
        <u/>
        <sz val="12"/>
        <rFont val="Calibri Light"/>
        <family val="2"/>
        <scheme val="major"/>
      </rPr>
      <t>. Se refieren de manera exclusiva al daño emergente, derivado de actos de terrorismo, guerras o eventos que alteren el orden público, o hallazgos arqueológicos, de minas o yacimiento</t>
    </r>
    <r>
      <rPr>
        <sz val="12"/>
        <rFont val="Calibri Light"/>
        <family val="2"/>
        <scheme val="major"/>
      </rPr>
      <t>s. Los efectos de este riesgo no podrán ser pagados a través del Fondo de Contingencias en la medida en que la asunción de este riesgo se realiza exclusivamente, en los términos de esta Parte General.</t>
    </r>
  </si>
  <si>
    <r>
      <t xml:space="preserve">El cuadro central de la tabla del Anexo No.13 indica "Consiste en un único valor que corresponde al Valor Presente del </t>
    </r>
    <r>
      <rPr>
        <u/>
        <sz val="12"/>
        <rFont val="Calibri Light"/>
        <family val="2"/>
        <scheme val="major"/>
      </rPr>
      <t>Recaudo de Peaje</t>
    </r>
    <r>
      <rPr>
        <sz val="12"/>
        <rFont val="Calibri Light"/>
        <family val="2"/>
        <scheme val="major"/>
      </rPr>
      <t xml:space="preserve"> -  VPIP". 
Según se define el VPIP en el Contrato Parte General sección 1.194 y Parte Especial (Capítulo II - Tabla de Referencias a la Parte General, sección 1.194), el VPIP "es el valor presente del Recaudo Proyecto" por lo que se solicita amablemente a la ANI que confirme que el valor que hay que incluir en el Anexo 13 como [valor VPIP de la Oferta] </t>
    </r>
    <r>
      <rPr>
        <u/>
        <sz val="12"/>
        <rFont val="Calibri Light"/>
        <family val="2"/>
        <scheme val="major"/>
      </rPr>
      <t>es el valor presente del Recaudo Proyecto</t>
    </r>
    <r>
      <rPr>
        <sz val="12"/>
        <rFont val="Calibri Light"/>
        <family val="2"/>
        <scheme val="major"/>
      </rPr>
      <t xml:space="preserve"> (y no del Recaudo de Peaje").</t>
    </r>
  </si>
  <si>
    <r>
      <t xml:space="preserve">Se solicita confirmación que el Cuarto de Información sigue disponible en la direccion web que aparece en el Borrador del Pliego
</t>
    </r>
    <r>
      <rPr>
        <u/>
        <sz val="12"/>
        <rFont val="Calibri Light"/>
        <family val="2"/>
        <scheme val="major"/>
      </rPr>
      <t>https://anionline-sharepoint.com/:f:/g/personal/cdatosani02_ani_gov_co/EslXe6ayJ55PiZWYrSYGc24B367_s7v1-Bp-wOEyEKefcQ?e=XWfQDi</t>
    </r>
    <r>
      <rPr>
        <sz val="12"/>
        <rFont val="Calibri Light"/>
        <family val="2"/>
        <scheme val="major"/>
      </rPr>
      <t xml:space="preserve">
Pues en los últimos días no se ha sido capaz de acceder a ella.
Igualmente se solicita confirmen que todos los archivos que aparecen en el xls "ÍNDICE CDD NMVVC ACP" están realmente volcados en esas carpetas. Se han encontrado numerosos documentos faltantes (aparte de los mencionados en las anteriores Observaciones)</t>
    </r>
  </si>
  <si>
    <r>
      <t>Se solicita que los criterios para verificar por el Interventor en el cálculo de AR</t>
    </r>
    <r>
      <rPr>
        <vertAlign val="subscript"/>
        <sz val="12"/>
        <rFont val="Calibri Light"/>
        <family val="2"/>
        <scheme val="major"/>
      </rPr>
      <t>h</t>
    </r>
    <r>
      <rPr>
        <sz val="12"/>
        <rFont val="Calibri Light"/>
        <family val="2"/>
        <scheme val="major"/>
      </rPr>
      <t xml:space="preserve"> del pago por terminación sean definidos más objetivamente, de manera que los financiadores no vean un riesgo abierto en este sentido.</t>
    </r>
  </si>
  <si>
    <r>
      <t>Capítulo 18.3 Fórmulas de Liquidación del Contrato: AR</t>
    </r>
    <r>
      <rPr>
        <vertAlign val="subscript"/>
        <sz val="12"/>
        <rFont val="Calibri Light"/>
        <family val="2"/>
        <scheme val="major"/>
      </rPr>
      <t>h</t>
    </r>
  </si>
  <si>
    <r>
      <t xml:space="preserve">Se aclara al interesado que la certificación de pagos de seguridad social y aportes parafiscales debe certificar que a la Fecha de Cierre ha efectuado el pago de los aportes correspondientes a la nómina de los últimos seis (6) meses calendario anteriores a la Fecha de Cierre, los cuales sean </t>
    </r>
    <r>
      <rPr>
        <b/>
        <u/>
        <sz val="12"/>
        <rFont val="Calibri Light"/>
        <family val="2"/>
        <scheme val="major"/>
      </rPr>
      <t>legalmente</t>
    </r>
    <r>
      <rPr>
        <sz val="12"/>
        <rFont val="Calibri Light"/>
        <family val="2"/>
        <scheme val="major"/>
      </rPr>
      <t xml:space="preserve"> exigibles a la fecha. En esta medida, no se considera necesario hacer la precisión sugerida. </t>
    </r>
  </si>
  <si>
    <r>
      <t>Se solicita eliminar de la definición de Elusión "</t>
    </r>
    <r>
      <rPr>
        <i/>
        <sz val="12"/>
        <rFont val="Calibri Light"/>
        <family val="2"/>
        <scheme val="major"/>
      </rPr>
      <t>los proyectos que se encuentran incorporados en el/los Plan/es de Ordenamiento Territorial o Departamental pertinentes, así como los que se encuentran registrados en el RUAPP y su prefactibilidad ha sido aprobada o se hayan contratado la estructuración pública por parte de entidades estales al momento de la recepción de Ofertas dentro del Proceso de Selección del Proyecto</t>
    </r>
    <r>
      <rPr>
        <sz val="12"/>
        <rFont val="Calibri Light"/>
        <family val="2"/>
        <scheme val="major"/>
      </rPr>
      <t>". Esto en la medida en que además de tratarse de información que no está centralizada (caso de los planes de ordenamiento territorial) o cuyo nivel de depuración es bajo (caso del RUAPP), son proyectos cuya ejecución es incierta, teniendo por efecto el traslado indiscriminado de riesgos eventuales que imponen el concesionario los efectos adversos de la disminución del tráfico y, con ello, dificultan la bancabilidad del proyecto.</t>
    </r>
  </si>
  <si>
    <r>
      <t xml:space="preserve">1. Atentamente solicitamos adicionar </t>
    </r>
    <r>
      <rPr>
        <b/>
        <sz val="12"/>
        <rFont val="Calibri Light"/>
        <family val="2"/>
        <scheme val="major"/>
      </rPr>
      <t xml:space="preserve">la opción </t>
    </r>
    <r>
      <rPr>
        <sz val="12"/>
        <rFont val="Calibri Light"/>
        <family val="2"/>
        <scheme val="major"/>
      </rPr>
      <t xml:space="preserve">que en caso de terminarse de manera anticipada el contrato por cualquier causa, las sumas disponibles en la subcuenta Tiquetes Prepagados puedan ser entregados por el Patrimonio Autónomo al nuevo operador de las estaciones de peaje o, en su defecto, </t>
    </r>
    <r>
      <rPr>
        <b/>
        <sz val="12"/>
        <rFont val="Calibri Light"/>
        <family val="2"/>
        <scheme val="major"/>
      </rPr>
      <t>directamente</t>
    </r>
    <r>
      <rPr>
        <sz val="12"/>
        <rFont val="Calibri Light"/>
        <family val="2"/>
        <scheme val="major"/>
      </rPr>
      <t xml:space="preserve"> </t>
    </r>
    <r>
      <rPr>
        <b/>
        <sz val="12"/>
        <rFont val="Calibri Light"/>
        <family val="2"/>
        <scheme val="major"/>
      </rPr>
      <t>al Concesionario</t>
    </r>
    <r>
      <rPr>
        <sz val="12"/>
        <rFont val="Calibri Light"/>
        <family val="2"/>
        <scheme val="major"/>
      </rPr>
      <t xml:space="preserve">, en las sumas correspondientes a las solicitudes que les realicen los usuarios que abonaron con anterioridad dichas sumas, previa demostración del saldo vigente en cada medio. 
2. Teniendo en cuenta que el Concesionario deberá garantizar que a los usuarios le sean devueltos los saldos no consumidos </t>
    </r>
    <r>
      <rPr>
        <b/>
        <sz val="12"/>
        <rFont val="Calibri Light"/>
        <family val="2"/>
        <scheme val="major"/>
      </rPr>
      <t xml:space="preserve">sin descuentos, agradecemos </t>
    </r>
    <r>
      <rPr>
        <sz val="12"/>
        <rFont val="Calibri Light"/>
        <family val="2"/>
        <scheme val="major"/>
      </rPr>
      <t>aclarar que todos los impuestos, tasas o contribuciones y demás gastos asociados al giro desde el Patrimonio Autónomo de estos recursos correrán por cuenta del Concesionario</t>
    </r>
  </si>
  <si>
    <r>
      <t xml:space="preserve">1. Atentamente solicitamos </t>
    </r>
    <r>
      <rPr>
        <b/>
        <sz val="12"/>
        <rFont val="Calibri Light"/>
        <family val="2"/>
        <scheme val="major"/>
      </rPr>
      <t xml:space="preserve">incluir </t>
    </r>
    <r>
      <rPr>
        <sz val="12"/>
        <rFont val="Calibri Light"/>
        <family val="2"/>
        <scheme val="major"/>
      </rPr>
      <t xml:space="preserve">en el Contrato Concesión Parte General, numeral 3.14. Cuentas y Subcuentas del Patrimonio Autónomo - (ii) Cuenta ANI, </t>
    </r>
    <r>
      <rPr>
        <b/>
        <sz val="12"/>
        <rFont val="Calibri Light"/>
        <family val="2"/>
        <scheme val="major"/>
      </rPr>
      <t xml:space="preserve">las subcuentas </t>
    </r>
    <r>
      <rPr>
        <sz val="12"/>
        <rFont val="Calibri Light"/>
        <family val="2"/>
        <scheme val="major"/>
      </rPr>
      <t xml:space="preserve">de "Deposito Especial de Recaudo" y la de "Contingencias" toda vez que éstas solamente se incluyeron en el contrato de Concesión Parte Especial. </t>
    </r>
  </si>
  <si>
    <r>
      <t xml:space="preserve">1. Solicitamos amablemente </t>
    </r>
    <r>
      <rPr>
        <b/>
        <sz val="12"/>
        <rFont val="Calibri Light"/>
        <family val="2"/>
        <scheme val="major"/>
      </rPr>
      <t>incluir</t>
    </r>
    <r>
      <rPr>
        <sz val="12"/>
        <rFont val="Calibri Light"/>
        <family val="2"/>
        <scheme val="major"/>
      </rPr>
      <t xml:space="preserve"> en el Contrato Concesión Parte General, numeral 3.14 Cuentas y Subcuentas del Patrimonio Autónomo - (h) Cuenta ANI, </t>
    </r>
    <r>
      <rPr>
        <b/>
        <sz val="12"/>
        <rFont val="Calibri Light"/>
        <family val="2"/>
        <scheme val="major"/>
      </rPr>
      <t>las reglas</t>
    </r>
    <r>
      <rPr>
        <sz val="12"/>
        <rFont val="Calibri Light"/>
        <family val="2"/>
        <scheme val="major"/>
      </rPr>
      <t xml:space="preserve"> que deben observarse para la administración de las subcuentas de "Deposito Especial Recaudo" y la de "Contingencias" ya que estas sólo se incluyeron en el contrato de Concesión Parte Especial. </t>
    </r>
  </si>
  <si>
    <r>
      <t>Numeral 3.13 Cuentas y Subcuentas del Patrimonio Autónomo, literal (g) Cuenta Proyecto aparte (ix) Subcuenta Cambio Climático punto 1</t>
    </r>
    <r>
      <rPr>
        <i/>
        <sz val="12"/>
        <rFont val="Calibri Light"/>
        <family val="2"/>
        <scheme val="major"/>
      </rPr>
      <t>.</t>
    </r>
  </si>
  <si>
    <r>
      <t xml:space="preserve">Amablemente solicitamos a la ANI incluir en la Sección 1.3 del proyecto de pliego de condiciones, la siguiente definición: </t>
    </r>
    <r>
      <rPr>
        <i/>
        <sz val="12"/>
        <rFont val="Calibri Light"/>
        <family val="2"/>
        <scheme val="major"/>
      </rPr>
      <t>“Asociación Anterior”: Se refiere a figuras asociativas, que no constituyan una persona jurídica distinta a sus integrantes, constituidas para la ejecución de contratos anteriores.</t>
    </r>
  </si>
  <si>
    <r>
      <t>“</t>
    </r>
    <r>
      <rPr>
        <i/>
        <u/>
        <sz val="12"/>
        <rFont val="Calibri Light"/>
        <family val="2"/>
        <scheme val="major"/>
      </rPr>
      <t>Concesión</t>
    </r>
    <r>
      <rPr>
        <i/>
        <sz val="12"/>
        <rFont val="Calibri Light"/>
        <family val="2"/>
        <scheme val="major"/>
      </rPr>
      <t xml:space="preserve">”. Para los efectos previstos en el numeral 1.356 (definición de Proyecto de Infraestructura) significa los contratos de participación </t>
    </r>
    <r>
      <rPr>
        <sz val="12"/>
        <rFont val="Calibri Light"/>
        <family val="2"/>
        <scheme val="major"/>
      </rPr>
      <t>privada</t>
    </r>
    <r>
      <rPr>
        <i/>
        <sz val="12"/>
        <rFont val="Calibri Light"/>
        <family val="2"/>
        <scheme val="major"/>
      </rPr>
      <t xml:space="preserve"> o de participación público - privada, tales como concesiones, BOOT, BOOMT, BOT, BOMT, formas de asociación y en general cualquier modalidad contractual mediante la cual dos entes privados o un ente privado y una entidad pública de manera conjunta llevan a cabo un Proyecto de Infraestructura. Tales contratos de participación privada o participación público-privada deberán en todo caso, incluir: (i) la financiación, (ii) construcción, (iii) operación o mantenimiento del referido proyecto que se acredita.</t>
    </r>
    <r>
      <rPr>
        <sz val="12"/>
        <rFont val="Calibri Light"/>
        <family val="2"/>
        <scheme val="major"/>
      </rPr>
      <t>”.</t>
    </r>
  </si>
  <si>
    <r>
      <t xml:space="preserve">Sobre el particular, y en vista de que el objeto del futuro contrato de concesión incluye, entre otras, la elaboración de estudios y diseños definitivos y la operación y el mantenimiento de la Nueva Malla Vial del Valle del Cauca, consideramos importante que la definición de </t>
    </r>
    <r>
      <rPr>
        <i/>
        <sz val="12"/>
        <rFont val="Calibri Light"/>
        <family val="2"/>
        <scheme val="major"/>
      </rPr>
      <t>“Concesión”</t>
    </r>
    <r>
      <rPr>
        <sz val="12"/>
        <rFont val="Calibri Light"/>
        <family val="2"/>
        <scheme val="major"/>
      </rPr>
      <t xml:space="preserve"> abarque las mismas actividades que va a tener que desarrollar el futuro concesionario, de manera que la experiencia a ser acreditada con los Proyectos de Infraestructura sea consecuente con el alcance del nuevo contrato.</t>
    </r>
  </si>
  <si>
    <r>
      <t>Por lo anterior, solicitamos amablemente a la ANI que sea incluido en los requisitos del proyecto del pliego que para poder considerar un determinado proyecto como una “</t>
    </r>
    <r>
      <rPr>
        <i/>
        <sz val="12"/>
        <rFont val="Calibri Light"/>
        <family val="2"/>
        <scheme val="major"/>
      </rPr>
      <t>Concesión</t>
    </r>
    <r>
      <rPr>
        <sz val="12"/>
        <rFont val="Calibri Light"/>
        <family val="2"/>
        <scheme val="major"/>
      </rPr>
      <t xml:space="preserve">”, tenga que acreditarse que el Proyecto de Infraestructura incluía en su objeto </t>
    </r>
    <r>
      <rPr>
        <u/>
        <sz val="12"/>
        <rFont val="Calibri Light"/>
        <family val="2"/>
        <scheme val="major"/>
      </rPr>
      <t>la elaboración de estudios y diseños Fase III</t>
    </r>
    <r>
      <rPr>
        <sz val="12"/>
        <rFont val="Calibri Light"/>
        <family val="2"/>
        <scheme val="major"/>
      </rPr>
      <t xml:space="preserve">, así como también, la operación </t>
    </r>
    <r>
      <rPr>
        <u/>
        <sz val="12"/>
        <rFont val="Calibri Light"/>
        <family val="2"/>
        <scheme val="major"/>
      </rPr>
      <t>y</t>
    </r>
    <r>
      <rPr>
        <sz val="12"/>
        <rFont val="Calibri Light"/>
        <family val="2"/>
        <scheme val="major"/>
      </rPr>
      <t xml:space="preserve"> el mantenimiento de la infraestructura entregada en concesión.</t>
    </r>
  </si>
  <si>
    <r>
      <t xml:space="preserve">La Sección 1.3.27 define la Estructura Plural en los siguientes términos: </t>
    </r>
    <r>
      <rPr>
        <i/>
        <sz val="12"/>
        <rFont val="Calibri Light"/>
        <family val="2"/>
        <scheme val="major"/>
      </rPr>
      <t xml:space="preserve">“Estructura Plural”: Es el Oferente integrado por un número </t>
    </r>
    <r>
      <rPr>
        <sz val="12"/>
        <rFont val="Calibri Light"/>
        <family val="2"/>
        <scheme val="major"/>
      </rPr>
      <t>plural</t>
    </r>
    <r>
      <rPr>
        <i/>
        <sz val="12"/>
        <rFont val="Calibri Light"/>
        <family val="2"/>
        <scheme val="major"/>
      </rPr>
      <t xml:space="preserve"> de personas naturales y/o jurídicas nacionales o extranjeras que presentan Oferta conjunta bajo lo dispuesto en este Pliego de Condiciones. Para efectos del presente documento no se admitirán Estructuras Plurales bajo la denominación y reglas de los consorcios o uniones temporales por aplicación del artículo 2.2.2.1.1.3. del Decreto 1082 de 2015.</t>
    </r>
  </si>
  <si>
    <r>
      <t>Teniendo en cuenta que la anterior definición exige que los futuros proponentes que no se presentarán como Oferente Individual se presenten bajo Estructuras Plurales, entendemos que cuando el proyecto de pliego de condiciones se refiere a “</t>
    </r>
    <r>
      <rPr>
        <i/>
        <sz val="12"/>
        <rFont val="Calibri Light"/>
        <family val="2"/>
        <scheme val="major"/>
      </rPr>
      <t>figuras asociativas anteriores</t>
    </r>
    <r>
      <rPr>
        <sz val="12"/>
        <rFont val="Calibri Light"/>
        <family val="2"/>
        <scheme val="major"/>
      </rPr>
      <t>”, para la acreditación de los Requisitos Habilitantes, hace  referencia exclusiva a consorcios y uniones temporales, y no así, a vehículos de propósito especial. Por favor confirmar nuestro entendimiento y si es del caso insistimos en la necesidad de incluir una de definición de este concepto.</t>
    </r>
  </si>
  <si>
    <r>
      <t>La Sección 1.3.38 del proyecto de pliego de condiciones establece la definición de Ley Aplicable en los siguientes términos: “</t>
    </r>
    <r>
      <rPr>
        <i/>
        <sz val="12"/>
        <rFont val="Calibri Light"/>
        <family val="2"/>
        <scheme val="major"/>
      </rPr>
      <t xml:space="preserve">Ley Aplicable” o “Ley”. Es la aplicable en la República de Colombia, </t>
    </r>
    <r>
      <rPr>
        <b/>
        <i/>
        <u/>
        <sz val="12"/>
        <rFont val="Calibri Light"/>
        <family val="2"/>
        <scheme val="major"/>
      </rPr>
      <t>en cualquier momento”</t>
    </r>
    <r>
      <rPr>
        <sz val="12"/>
        <rFont val="Calibri Light"/>
        <family val="2"/>
        <scheme val="major"/>
      </rPr>
      <t>.</t>
    </r>
  </si>
  <si>
    <r>
      <t>Sobre este asunto, el artículo 38 de la citada Ley 153 de 1887 establece que: “</t>
    </r>
    <r>
      <rPr>
        <i/>
        <sz val="12"/>
        <rFont val="Calibri Light"/>
        <family val="2"/>
        <scheme val="major"/>
      </rPr>
      <t xml:space="preserve">En </t>
    </r>
    <r>
      <rPr>
        <sz val="12"/>
        <rFont val="Calibri Light"/>
        <family val="2"/>
        <scheme val="major"/>
      </rPr>
      <t>todo</t>
    </r>
    <r>
      <rPr>
        <i/>
        <sz val="12"/>
        <rFont val="Calibri Light"/>
        <family val="2"/>
        <scheme val="major"/>
      </rPr>
      <t xml:space="preserve"> contrato se entenderán incorporadas las leyes vigentes al tiempo de su celebración</t>
    </r>
    <r>
      <rPr>
        <sz val="12"/>
        <rFont val="Calibri Light"/>
        <family val="2"/>
        <scheme val="major"/>
      </rPr>
      <t>”.</t>
    </r>
  </si>
  <si>
    <r>
      <t>La Sección 1.3.43 del proyecto de pliego de condiciones define el término “Mes de Referencia” en los siguientes términos: “</t>
    </r>
    <r>
      <rPr>
        <i/>
        <sz val="12"/>
        <rFont val="Calibri Light"/>
        <family val="2"/>
        <scheme val="major"/>
      </rPr>
      <t>Es el mes en el cual se expresan los valores constantes. Para efectos del presente Proceso de Selección, es el 31 de diciembre de 2018</t>
    </r>
    <r>
      <rPr>
        <sz val="12"/>
        <rFont val="Calibri Light"/>
        <family val="2"/>
        <scheme val="major"/>
      </rPr>
      <t>”.</t>
    </r>
  </si>
  <si>
    <r>
      <t>En línea con la observación que realizamos a la definición que trae consigo el proyecto de pliego de condiciones al término “</t>
    </r>
    <r>
      <rPr>
        <i/>
        <sz val="12"/>
        <rFont val="Calibri Light"/>
        <family val="2"/>
        <scheme val="major"/>
      </rPr>
      <t>Concesión</t>
    </r>
    <r>
      <rPr>
        <sz val="12"/>
        <rFont val="Calibri Light"/>
        <family val="2"/>
        <scheme val="major"/>
      </rPr>
      <t>”, solicitamos amablemente a la ANI que en la Sección 1.3.56 del mismo documento, se establezca que para tener como validos los “</t>
    </r>
    <r>
      <rPr>
        <i/>
        <sz val="12"/>
        <rFont val="Calibri Light"/>
        <family val="2"/>
        <scheme val="major"/>
      </rPr>
      <t>Proyectos de Infraestructura</t>
    </r>
    <r>
      <rPr>
        <sz val="12"/>
        <rFont val="Calibri Light"/>
        <family val="2"/>
        <scheme val="major"/>
      </rPr>
      <t>”, el objeto de estos proyectos haya incluido además de la construcción, la elaboración de estudios y diseños definitivos y la operación y el mantenimiento de las infraestructuras entregadas en concesión.</t>
    </r>
  </si>
  <si>
    <r>
      <t>En atención a lo señalado en la Ley 80 de 1993, artículo 24, literal d, en razón de lo cual, “</t>
    </r>
    <r>
      <rPr>
        <i/>
        <sz val="12"/>
        <rFont val="Calibri Light"/>
        <family val="2"/>
        <scheme val="major"/>
      </rPr>
      <t xml:space="preserve">d) No se incluirán condiciones y exigencias de imposible cumplimiento, </t>
    </r>
    <r>
      <rPr>
        <b/>
        <i/>
        <u/>
        <sz val="12"/>
        <rFont val="Calibri Light"/>
        <family val="2"/>
        <scheme val="major"/>
      </rPr>
      <t>ni exenciones de la responsabilidad derivada de los datos, informes y documentos que se suministren</t>
    </r>
    <r>
      <rPr>
        <sz val="12"/>
        <rFont val="Calibri Light"/>
        <family val="2"/>
        <scheme val="major"/>
      </rPr>
      <t>”, solicitamos respetuosamente a la Agencia eliminar la frase contenida en el proyecto de pliego de condiciones que señala que: “(…)</t>
    </r>
    <r>
      <rPr>
        <i/>
        <sz val="12"/>
        <rFont val="Calibri Light"/>
        <family val="2"/>
        <scheme val="major"/>
      </rPr>
      <t xml:space="preserve">los estudios y conceptos estarán disponibles a título meramente informativo, entendiéndose por tanto que: (a) no es información de la ANI para efectos de la presentación de las ofertas; (b) </t>
    </r>
    <r>
      <rPr>
        <b/>
        <i/>
        <u/>
        <sz val="12"/>
        <rFont val="Calibri Light"/>
        <family val="2"/>
        <scheme val="major"/>
      </rPr>
      <t xml:space="preserve">no generan obligación o responsabilidad alguna a cargo de la ANI </t>
    </r>
    <r>
      <rPr>
        <i/>
        <sz val="12"/>
        <rFont val="Calibri Light"/>
        <family val="2"/>
        <scheme val="major"/>
      </rPr>
      <t>y  (C) no hacen parte del Pliego de Condiciones ni del Contrato. En consecuencia, no servirán de base para reclamación alguna durante la ejecución del Contrato, ni para ningún reconocimiento económico adicional entre las partes, no previstos en el Contrato</t>
    </r>
    <r>
      <rPr>
        <sz val="12"/>
        <rFont val="Calibri Light"/>
        <family val="2"/>
        <scheme val="major"/>
      </rPr>
      <t>”.</t>
    </r>
  </si>
  <si>
    <r>
      <t>La Sección 1.8.5. señala que “</t>
    </r>
    <r>
      <rPr>
        <i/>
        <sz val="12"/>
        <rFont val="Calibri Light"/>
        <family val="2"/>
        <scheme val="major"/>
      </rPr>
      <t xml:space="preserve">(…) La ANI, no garantiza que las proyecciones y estimaciones efectuadas por el Adjudicatario se cumplan durante la ejecución del Contrato, puesto que este último asume los  riesgos dispuestos en el Contrato de acuerdo con la distribución contenida en la minuta del mismo que obra como Anexo 1 de este Pliego de Condiciones </t>
    </r>
    <r>
      <rPr>
        <b/>
        <i/>
        <u/>
        <sz val="12"/>
        <rFont val="Calibri Light"/>
        <family val="2"/>
        <scheme val="major"/>
      </rPr>
      <t>y soporta sus efectos sin que las consecuencias derivadas del acaecimiento de tales riesgos constituya un eventual desequilibrio económico del Contrato, o den lugar a reclamación alguna</t>
    </r>
    <r>
      <rPr>
        <i/>
        <sz val="12"/>
        <rFont val="Calibri Light"/>
        <family val="2"/>
        <scheme val="major"/>
      </rPr>
      <t>. (…)</t>
    </r>
    <r>
      <rPr>
        <sz val="12"/>
        <rFont val="Calibri Light"/>
        <family val="2"/>
        <scheme val="major"/>
      </rPr>
      <t>”.</t>
    </r>
  </si>
  <si>
    <r>
      <t xml:space="preserve">De acuerdo con la Sección 2.3. del proyecto de pliego </t>
    </r>
    <r>
      <rPr>
        <i/>
        <sz val="12"/>
        <rFont val="Calibri Light"/>
        <family val="2"/>
        <scheme val="major"/>
      </rPr>
      <t xml:space="preserve">“[l]a Entidad publicará las Ofertas presentadas al Proceso de Selección, en </t>
    </r>
    <r>
      <rPr>
        <b/>
        <i/>
        <sz val="12"/>
        <rFont val="Calibri Light"/>
        <family val="2"/>
        <scheme val="major"/>
      </rPr>
      <t>cualquier momento</t>
    </r>
    <r>
      <rPr>
        <i/>
        <sz val="12"/>
        <rFont val="Calibri Light"/>
        <family val="2"/>
        <scheme val="major"/>
      </rPr>
      <t>, con posterioridad a la Fecha de Cierre indicada en el Cronograma</t>
    </r>
    <r>
      <rPr>
        <sz val="12"/>
        <rFont val="Calibri Light"/>
        <family val="2"/>
        <scheme val="major"/>
      </rPr>
      <t>” (Negrilla por fuera del texto).</t>
    </r>
  </si>
  <si>
    <r>
      <t>El proyecto de pliegos de condiciones, prevé en la Sección 4.1.5 (a) (ii) que quienes presenten Ofertas a través de Estructuras Plurales deberán: “</t>
    </r>
    <r>
      <rPr>
        <i/>
        <sz val="12"/>
        <rFont val="Calibri Light"/>
        <family val="2"/>
        <scheme val="major"/>
      </rPr>
      <t xml:space="preserve">acreditar la existencia, vigencia, representación legal y la capacidad jurídica de todos y cada uno de los Integrantes de la Estructura Plural, de tal manera que sea claro que </t>
    </r>
    <r>
      <rPr>
        <b/>
        <i/>
        <u/>
        <sz val="12"/>
        <rFont val="Calibri Light"/>
        <family val="2"/>
        <scheme val="major"/>
      </rPr>
      <t>cada uno de los representantes legales</t>
    </r>
    <r>
      <rPr>
        <i/>
        <u/>
        <sz val="12"/>
        <rFont val="Calibri Light"/>
        <family val="2"/>
        <scheme val="major"/>
      </rPr>
      <t xml:space="preserve"> </t>
    </r>
    <r>
      <rPr>
        <b/>
        <i/>
        <u/>
        <sz val="12"/>
        <rFont val="Calibri Light"/>
        <family val="2"/>
        <scheme val="major"/>
      </rPr>
      <t>cuenta con facultades suficientes</t>
    </r>
    <r>
      <rPr>
        <i/>
        <u/>
        <sz val="12"/>
        <rFont val="Calibri Light"/>
        <family val="2"/>
        <scheme val="major"/>
      </rPr>
      <t xml:space="preserve"> </t>
    </r>
    <r>
      <rPr>
        <b/>
        <i/>
        <u/>
        <sz val="12"/>
        <rFont val="Calibri Light"/>
        <family val="2"/>
        <scheme val="major"/>
      </rPr>
      <t>para la representación de cada uno de los Integrantes</t>
    </r>
    <r>
      <rPr>
        <i/>
        <u/>
        <sz val="12"/>
        <rFont val="Calibri Light"/>
        <family val="2"/>
        <scheme val="major"/>
      </rPr>
      <t xml:space="preserve"> </t>
    </r>
    <r>
      <rPr>
        <b/>
        <i/>
        <u/>
        <sz val="12"/>
        <rFont val="Calibri Light"/>
        <family val="2"/>
        <scheme val="major"/>
      </rPr>
      <t>de la Estructura Plural</t>
    </r>
    <r>
      <rPr>
        <b/>
        <i/>
        <sz val="12"/>
        <rFont val="Calibri Light"/>
        <family val="2"/>
        <scheme val="major"/>
      </rPr>
      <t>,</t>
    </r>
    <r>
      <rPr>
        <i/>
        <sz val="12"/>
        <rFont val="Calibri Light"/>
        <family val="2"/>
        <scheme val="major"/>
      </rPr>
      <t xml:space="preserve"> en todos los aspectos que se requieran para la presentación de la Oferta, en los términos previstos en el presente Pliego de Condiciones</t>
    </r>
    <r>
      <rPr>
        <sz val="12"/>
        <rFont val="Calibri Light"/>
        <family val="2"/>
        <scheme val="major"/>
      </rPr>
      <t>”.</t>
    </r>
  </si>
  <si>
    <r>
      <t xml:space="preserve">Por otra parte, la aplicación de la referida Sección 4.1.5 (a) (ii) en los términos en que se encuentra prevista actualmente, atentaría contra el principio de </t>
    </r>
    <r>
      <rPr>
        <i/>
        <sz val="12"/>
        <rFont val="Calibri Light"/>
        <family val="2"/>
        <scheme val="major"/>
      </rPr>
      <t xml:space="preserve">res inter alios acta </t>
    </r>
    <r>
      <rPr>
        <sz val="12"/>
        <rFont val="Calibri Light"/>
        <family val="2"/>
        <scheme val="major"/>
      </rPr>
      <t xml:space="preserve">de conformidad con el cual los contratos afectan únicamente a las partes que lo suscriben. En la medida en que los correspondientes representantes legales fueron designados por sus respectivas juntas directivas para representar exclusivamente a la sociedad de la que forman parte, mal podría exigir el proyecto de pliego de condiciones extender los mandatos de los representantes legales a los representantes legales de los demás miembros de la Estructura Plural, y con mayor razón si tenemos en cuenta la naturaleza </t>
    </r>
    <r>
      <rPr>
        <i/>
        <sz val="12"/>
        <rFont val="Calibri Light"/>
        <family val="2"/>
        <scheme val="major"/>
      </rPr>
      <t xml:space="preserve">intuito personae </t>
    </r>
    <r>
      <rPr>
        <sz val="12"/>
        <rFont val="Calibri Light"/>
        <family val="2"/>
        <scheme val="major"/>
      </rPr>
      <t>y la confianza propios de esta clase de mandatos donde la junta directiva delega en una persona la representación de toda compañía en consideración a las calidades personales y la confianza que la junta tiene en el designado.</t>
    </r>
  </si>
  <si>
    <r>
      <t>De acuerdo con la Sección 4.1.9. del proyecto de pliego de condiciones, el representante legal del Oferente individual o los representantes de los integrantes de la Estructura Plural deberán suscribir el pacto de transparencia “</t>
    </r>
    <r>
      <rPr>
        <i/>
        <sz val="12"/>
        <rFont val="Calibri Light"/>
        <family val="2"/>
        <scheme val="major"/>
      </rPr>
      <t>tanto a título de representantes de las personas jurídicas respectivas como a título personal</t>
    </r>
    <r>
      <rPr>
        <sz val="12"/>
        <rFont val="Calibri Light"/>
        <family val="2"/>
        <scheme val="major"/>
      </rPr>
      <t>”.</t>
    </r>
  </si>
  <si>
    <r>
      <t xml:space="preserve">La Sección 4.2.9 del proyecto de pliego de condiciones establece en relación con la Experiencia en Inversión que: </t>
    </r>
    <r>
      <rPr>
        <i/>
        <sz val="12"/>
        <rFont val="Calibri Light"/>
        <family val="2"/>
        <scheme val="major"/>
      </rPr>
      <t>“también se podrá acreditar la experiencia de vehículos de propósito especial constituidos por el Oferente o Líder para la financiación de una concesión de Proyectos de Infraestructura siempre que (a) el vehículo de propósito especial haya sido constituido incluyendo dentro de su objeto el propósito de obtener financiación; y (b) que los recursos de la financiación obtenida por el vehículo de propósito especial hayan sido destinados de manera única y exclusiva para la concesión de un Proyecto de Infraestructura que se acredita”.</t>
    </r>
  </si>
  <si>
    <r>
      <t>De acuerdo con la Sección 4.2.10 (c) (iv), el Oferente individual o el Líder de la Estructura plural que acredite el Requisito Habilitante de Experiencia en Inversión, deberá adjuntar con su oferta una certificación emitida por la entidad concedente del proyecto para cuya ejecución se obtuvo la financiación. Esta certificación, en el evento en que el contrato siga en ejecución, “</t>
    </r>
    <r>
      <rPr>
        <i/>
        <sz val="12"/>
        <rFont val="Calibri Light"/>
        <family val="2"/>
        <scheme val="major"/>
      </rPr>
      <t>no podrá tener una fecha de expedición mayor de tres (3) meses contados desde la publicación de la presente Licitación Pública en el SECOP</t>
    </r>
    <r>
      <rPr>
        <sz val="12"/>
        <rFont val="Calibri Light"/>
        <family val="2"/>
        <scheme val="major"/>
      </rPr>
      <t>”.</t>
    </r>
  </si>
  <si>
    <r>
      <t>La Sección 1.3. define el Acta de Inicio de la Fase de Construcción y señala que es el documento que se suscribirá para dar inicio a la Fase de Construcción, “</t>
    </r>
    <r>
      <rPr>
        <i/>
        <sz val="12"/>
        <rFont val="Calibri Light"/>
        <family val="2"/>
        <scheme val="major"/>
      </rPr>
      <t>dentro de los cinco (5) Días Hábiles siguientes a la verificación de la totalidad de los requisitos establecidos para ello en este Contrato, en especial en las condiciones precedentes señaladas en la Sección 4.4 de esta Parte General</t>
    </r>
    <r>
      <rPr>
        <sz val="12"/>
        <rFont val="Calibri Light"/>
        <family val="2"/>
        <scheme val="major"/>
      </rPr>
      <t>”.</t>
    </r>
  </si>
  <si>
    <r>
      <t xml:space="preserve">La Sección 1.9 define el Acuerdo de Garantía y señala al respecto que es el documento para garantizar los Giros de </t>
    </r>
    <r>
      <rPr>
        <i/>
        <sz val="12"/>
        <rFont val="Calibri Light"/>
        <family val="2"/>
        <scheme val="major"/>
      </rPr>
      <t>Equity</t>
    </r>
    <r>
      <rPr>
        <sz val="12"/>
        <rFont val="Calibri Light"/>
        <family val="2"/>
        <scheme val="major"/>
      </rPr>
      <t xml:space="preserve"> suscrito por los miembros del Concesionario dentro del proceso de selección. Solicitamos aclarar que no se trata de miembros del Concesionario, sino solamente de aquellas sociedades que participaron en el proceso de selección y que acreditaron el Requisito Habilitante de Capacidad Financiera.</t>
    </r>
  </si>
  <si>
    <r>
      <t>Indicar que es “</t>
    </r>
    <r>
      <rPr>
        <i/>
        <sz val="12"/>
        <rFont val="Calibri Light"/>
        <family val="2"/>
        <scheme val="major"/>
      </rPr>
      <t>hasta la fecha de suscripción del Contrato</t>
    </r>
    <r>
      <rPr>
        <sz val="12"/>
        <rFont val="Calibri Light"/>
        <family val="2"/>
        <scheme val="major"/>
      </rPr>
      <t>” y no solo “</t>
    </r>
    <r>
      <rPr>
        <i/>
        <sz val="12"/>
        <rFont val="Calibri Light"/>
        <family val="2"/>
        <scheme val="major"/>
      </rPr>
      <t>hasta el cierre del Proceso de Selección del Proyecto</t>
    </r>
    <r>
      <rPr>
        <sz val="12"/>
        <rFont val="Calibri Light"/>
        <family val="2"/>
        <scheme val="major"/>
      </rPr>
      <t>”.</t>
    </r>
  </si>
  <si>
    <r>
      <t>Solicitamos aclarar la expresión incluida en la definición de Entrega de la Infraestructura y que señala, lo siguiente: “</t>
    </r>
    <r>
      <rPr>
        <i/>
        <sz val="12"/>
        <rFont val="Calibri Light"/>
        <family val="2"/>
        <scheme val="major"/>
      </rPr>
      <t>La Entrega de la Infraestructura se someterá al contenido de las resoluciones y demás actos expedidos por las Autoridades Estatales</t>
    </r>
    <r>
      <rPr>
        <sz val="12"/>
        <rFont val="Calibri Light"/>
        <family val="2"/>
        <scheme val="major"/>
      </rPr>
      <t>”.</t>
    </r>
  </si>
  <si>
    <r>
      <t>Solicitamos incluir la siguiente regulación: “</t>
    </r>
    <r>
      <rPr>
        <i/>
        <sz val="12"/>
        <rFont val="Calibri Light"/>
        <family val="2"/>
        <scheme val="major"/>
      </rPr>
      <t>En ningún caso el estado de entrega de la infraestructura alterará el alcance y contenido de las obligaciones asumidas por el Concesionario en el marco del Contrato, en relación con la infraestructura entregada; por lo tanto, el Concesionario no asume obligaciones distintas respecto a dicha infraestructura de aquellas indicadas expresamente en el Contrato y sus Apéndices Técnicos</t>
    </r>
    <r>
      <rPr>
        <sz val="12"/>
        <rFont val="Calibri Light"/>
        <family val="2"/>
        <scheme val="major"/>
      </rPr>
      <t>”.</t>
    </r>
  </si>
  <si>
    <r>
      <t>Solicitamos aclarar qué se entiende por “</t>
    </r>
    <r>
      <rPr>
        <i/>
        <sz val="12"/>
        <rFont val="Calibri Light"/>
        <family val="2"/>
        <scheme val="major"/>
      </rPr>
      <t>más del ciento cincuenta por ciento adicional</t>
    </r>
    <r>
      <rPr>
        <sz val="12"/>
        <rFont val="Calibri Light"/>
        <family val="2"/>
        <scheme val="major"/>
      </rPr>
      <t>”. Esto es, si se toma tal plazo total de la Ley Aplicable y se le adiciona un ciento cincuenta por ciento, o, si se toma el plazo total previsto en la Ley Aplicable para el agotamiento del trámite, y se adiciona un cincuenta por ciento. Si es lo segundo, solicitamos modificar, para efectos de que se entienda que se configura la fuerza mayor cuando transcurre el ciento por ciento de la Ley Aplicable, adicionado en un cincuenta por ciento.</t>
    </r>
  </si>
  <si>
    <r>
      <t>Solicitamos eliminar el siguiente aparte de la definición de Información Financiera: “</t>
    </r>
    <r>
      <rPr>
        <i/>
        <sz val="12"/>
        <rFont val="Calibri Light"/>
        <family val="2"/>
        <scheme val="major"/>
      </rPr>
      <t>Sin perjuicio de lo anterior, la Información Financiera no servirá de criterio de interpretación de este Contrato en el marco del Tribunal de Arbitramento, del Amigable Componedor ni ningún otro mecanismo de solución de controversias, por lo cual esas instancias no podrán basarse en dicha información para adoptar cualquier decisión que les competa, conforme al Contrato</t>
    </r>
    <r>
      <rPr>
        <sz val="12"/>
        <rFont val="Calibri Light"/>
        <family val="2"/>
        <scheme val="major"/>
      </rPr>
      <t>”, así como todas las demás cláusulas, oraciones o expresiones que se hayan incluido en ese sentido en la minuta del contrato de concesión.</t>
    </r>
  </si>
  <si>
    <r>
      <t>“</t>
    </r>
    <r>
      <rPr>
        <i/>
        <sz val="12"/>
        <rFont val="Calibri Light"/>
        <family val="2"/>
        <scheme val="major"/>
      </rPr>
      <t>Corresponde al inventario de los activos</t>
    </r>
    <r>
      <rPr>
        <sz val="12"/>
        <rFont val="Calibri Light"/>
        <family val="2"/>
        <scheme val="major"/>
      </rPr>
      <t xml:space="preserve"> del </t>
    </r>
    <r>
      <rPr>
        <i/>
        <sz val="12"/>
        <rFont val="Calibri Light"/>
        <family val="2"/>
        <scheme val="major"/>
      </rPr>
      <t>Proyecto e incluye una descripción del estado de tales activos al momento de la Entrega de</t>
    </r>
    <r>
      <rPr>
        <sz val="12"/>
        <rFont val="Calibri Light"/>
        <family val="2"/>
        <scheme val="major"/>
      </rPr>
      <t xml:space="preserve"> la </t>
    </r>
    <r>
      <rPr>
        <i/>
        <sz val="12"/>
        <rFont val="Calibri Light"/>
        <family val="2"/>
        <scheme val="major"/>
      </rPr>
      <t xml:space="preserve">Infraestructura. </t>
    </r>
    <r>
      <rPr>
        <b/>
        <i/>
        <sz val="12"/>
        <rFont val="Calibri Light"/>
        <family val="2"/>
        <scheme val="major"/>
      </rPr>
      <t>En ningún caso el contenido de este Inventario o las descripciones que</t>
    </r>
    <r>
      <rPr>
        <sz val="12"/>
        <rFont val="Calibri Light"/>
        <family val="2"/>
        <scheme val="major"/>
      </rPr>
      <t xml:space="preserve"> </t>
    </r>
    <r>
      <rPr>
        <i/>
        <sz val="12"/>
        <rFont val="Calibri Light"/>
        <family val="2"/>
        <scheme val="major"/>
      </rPr>
      <t xml:space="preserve">en el </t>
    </r>
    <r>
      <rPr>
        <b/>
        <i/>
        <sz val="12"/>
        <rFont val="Calibri Light"/>
        <family val="2"/>
        <scheme val="major"/>
      </rPr>
      <t>mismo se hagan –ni sus actualizaciones– implicarán responsabilidad alguna de la ANI, ni implicarán algún tipo de limitación de la responsabilidad y riesgo a cargo del Concesionario de ejecutar las Intervenciones, así como mantener y operar el Proyecto, cumpliendo con todas las obligaciones de resultado que en este Contrato se establecen.</t>
    </r>
    <r>
      <rPr>
        <i/>
        <sz val="12"/>
        <rFont val="Calibri Light"/>
        <family val="2"/>
        <scheme val="major"/>
      </rPr>
      <t xml:space="preserve"> El Inventario de Activos de la Concesión deberá ser elaborado por el Concesionario y será objeto de actualización de conformidad con lo establecido en el presente </t>
    </r>
    <r>
      <rPr>
        <sz val="12"/>
        <rFont val="Calibri Light"/>
        <family val="2"/>
        <scheme val="major"/>
      </rPr>
      <t>Contrato”.</t>
    </r>
  </si>
  <si>
    <r>
      <t xml:space="preserve">Solicitamos incluir: </t>
    </r>
    <r>
      <rPr>
        <i/>
        <sz val="12"/>
        <rFont val="Calibri Light"/>
        <family val="2"/>
        <scheme val="major"/>
      </rPr>
      <t>“Lo aquí dispuesto deberá constar en el Acta de Inicio, con lo que el documento de cesión corresponderá a la respectiva acta, en la que se indicará que se cede al Concesionario el Derecho de Recaudo en los términos de la Sección 3.3. (a) de la Parte General”.</t>
    </r>
  </si>
  <si>
    <r>
      <t xml:space="preserve">Es nuestro entendimiento que el término de suspensión será igual al del Periodo Especial. Por favor confirmar nuestro entendimiento de manera tal que en dicho término se amplíe el plazo para la realización de los Giros de </t>
    </r>
    <r>
      <rPr>
        <i/>
        <sz val="12"/>
        <rFont val="Calibri Light"/>
        <family val="2"/>
        <scheme val="major"/>
      </rPr>
      <t>Equity.</t>
    </r>
  </si>
  <si>
    <r>
      <t xml:space="preserve">Por favor aclarar qué se entiende cuando se indica que </t>
    </r>
    <r>
      <rPr>
        <i/>
        <sz val="12"/>
        <rFont val="Calibri Light"/>
        <family val="2"/>
        <scheme val="major"/>
      </rPr>
      <t>“[l]os recursos fondeados serán de monto agotable”.</t>
    </r>
  </si>
  <si>
    <r>
      <t>Por favor aclarar qué se entiende por “</t>
    </r>
    <r>
      <rPr>
        <i/>
        <sz val="12"/>
        <rFont val="Calibri Light"/>
        <family val="2"/>
        <scheme val="major"/>
      </rPr>
      <t>entidad Cooperante</t>
    </r>
    <r>
      <rPr>
        <sz val="12"/>
        <rFont val="Calibri Light"/>
        <family val="2"/>
        <scheme val="major"/>
      </rPr>
      <t>”, ya que no es un término definido en el Contrato.</t>
    </r>
  </si>
  <si>
    <r>
      <t xml:space="preserve">Por favor incluir en esta Sección de la Parte General, lo siguiente: </t>
    </r>
    <r>
      <rPr>
        <i/>
        <sz val="12"/>
        <rFont val="Calibri Light"/>
        <family val="2"/>
        <scheme val="major"/>
      </rPr>
      <t>“El recibo de la infraestructura en el estado en que se encuentra no implica la asunción de obligaciones por parte del Concesionario respecto de dicha infraestructura más allá de las establecidas de forma precisa y expresa en el Contrato, en relación con la misma. En caso de que el estado de la infraestructura, como es entregada al Concesionario, impida a este la ejecución de sus obligaciones, o le impida el cumplimiento de Indicadores, estos no le serán exigibles al Concesionario; la ANI garantizará, en tal caso, que la infraestructura entregada, se adecuará a instancias y con cargo a la ANI, para efectos de que la misma se encuentre en condiciones para que el Concesionario pueda cumplir con sus obligaciones respecto a dicha infraestructura, así como cumplir los Indicadores aplicables”.</t>
    </r>
  </si>
  <si>
    <r>
      <t>Por favor modificar la condición, en el sentido de indicar que se trata de “</t>
    </r>
    <r>
      <rPr>
        <i/>
        <sz val="12"/>
        <rFont val="Calibri Light"/>
        <family val="2"/>
        <scheme val="major"/>
      </rPr>
      <t>haber logrado los acuerdos definitivos y protocolizados por parte del Ministerio del Interior o haber finalizado el proceso consultivo cuando no exista acuerdo con las comunidades</t>
    </r>
    <r>
      <rPr>
        <sz val="12"/>
        <rFont val="Calibri Light"/>
        <family val="2"/>
        <scheme val="major"/>
      </rPr>
      <t>”.</t>
    </r>
  </si>
  <si>
    <r>
      <t xml:space="preserve">En el ordinal (iv), por favor establecer que </t>
    </r>
    <r>
      <rPr>
        <i/>
        <sz val="12"/>
        <rFont val="Calibri Light"/>
        <family val="2"/>
        <scheme val="major"/>
      </rPr>
      <t>“cumplan con los cronogramas y plazos establecidos en el Contrato de Concesión y en el Plan de Obras, para la ejecución de las obras correspondientes”.</t>
    </r>
  </si>
  <si>
    <r>
      <t xml:space="preserve">Eliminar el apartado que indica lo siguiente: </t>
    </r>
    <r>
      <rPr>
        <i/>
        <sz val="12"/>
        <rFont val="Calibri Light"/>
        <family val="2"/>
        <scheme val="major"/>
      </rPr>
      <t>"(...) o cuando impliquen una variación desfavorable para los riesgos a cargo de la ANI</t>
    </r>
    <r>
      <rPr>
        <sz val="12"/>
        <rFont val="Calibri Light"/>
        <family val="2"/>
        <scheme val="major"/>
      </rPr>
      <t>", pues esto justamente altera el concepto mismo del riesgo asumido por la Agencia, y asignado por esta misma a dicha entidad en el marco de la estructuración.</t>
    </r>
  </si>
  <si>
    <r>
      <t xml:space="preserve">De esa manera, se propone la siguiente redacción en el siguiente apartado de la referida Sección. </t>
    </r>
    <r>
      <rPr>
        <i/>
        <sz val="12"/>
        <rFont val="Calibri Light"/>
        <family val="2"/>
        <scheme val="major"/>
      </rPr>
      <t>"(...) Lo anterior salvo que dichas variaciones sean producto del trámite y/o el otorgamiento de la Licencia Ambiental solicitado por la Autoridad Estatal competente, o sean requeridas como consecuencia de la configuración de un Evento Eximente de Responsabilidad o por causas imputables a la ANI</t>
    </r>
    <r>
      <rPr>
        <sz val="12"/>
        <rFont val="Calibri Light"/>
        <family val="2"/>
        <scheme val="major"/>
      </rPr>
      <t>".</t>
    </r>
  </si>
  <si>
    <r>
      <t>“</t>
    </r>
    <r>
      <rPr>
        <i/>
        <sz val="12"/>
        <rFont val="Calibri Light"/>
        <family val="2"/>
        <scheme val="major"/>
      </rPr>
      <t>Si de acuerdo con la Ley Aplicable fuere necesario iniciar un nuevo proceso de consulta previa para ejecutar el Proyecto; en la medida en que una comunidad étnica y/o afrodescendiente fuese reconocida por Autoridad Estatal competente con posterioridad al otorgamiento de la Licencia Ambiental se configurará de forma automática un Evento Eximente de Responsabilidad de Fuerza Mayor Ambiental. E tal evento, será obligación de la ANI llevar a cabo la gestión para la realización de la consulta previa y se entenderán de forma automática suspendidos los plazos referentes a las Intervenciones afectadas por el mismo y el Concesionario se encontrará eximido del cumplimiento de sus obligaciones asociadas a dicho evento</t>
    </r>
    <r>
      <rPr>
        <sz val="12"/>
        <rFont val="Calibri Light"/>
        <family val="2"/>
        <scheme val="major"/>
      </rPr>
      <t>”.</t>
    </r>
  </si>
  <si>
    <r>
      <t>De acuerdo con lo establecido en la Sección 8.1 (c) de la Parte General, las Compensaciones ambientales, entendidas estas como “</t>
    </r>
    <r>
      <rPr>
        <i/>
        <sz val="12"/>
        <rFont val="Calibri Light"/>
        <family val="2"/>
        <scheme val="major"/>
      </rPr>
      <t>los  requerimientos incluidos dentro de los actos administrativos específicos al Proyecto proferidos por las Autoridades Ambientales, correspondientes a i) pérdida de biodiversidad, ii) uso y aprovechamiento de los recursos naturales, y iii) Plan de Reasentamientos </t>
    </r>
    <r>
      <rPr>
        <sz val="12"/>
        <rFont val="Calibri Light"/>
        <family val="2"/>
        <scheme val="major"/>
      </rPr>
      <t>(Sección 1.32)</t>
    </r>
    <r>
      <rPr>
        <i/>
        <sz val="12"/>
        <rFont val="Calibri Light"/>
        <family val="2"/>
        <scheme val="major"/>
      </rPr>
      <t>,</t>
    </r>
    <r>
      <rPr>
        <sz val="12"/>
        <rFont val="Calibri Light"/>
        <family val="2"/>
        <scheme val="major"/>
      </rPr>
      <t> deberán  ser asumidos con cargo a la Cuenta Compensaciones Socioambientales, cuyos valores se encuentran descritos en la Parte Especial.</t>
    </r>
  </si>
  <si>
    <r>
      <t>A su turno, la Sección 3.14(g)(vi) de esta Parte General establece que, “</t>
    </r>
    <r>
      <rPr>
        <i/>
        <sz val="12"/>
        <rFont val="Calibri Light"/>
        <family val="2"/>
        <scheme val="major"/>
      </rPr>
      <t>(e)n ningún caso, los recursos de la Subcuenta Compensaciones Socioambientales podrán ser utilizados para el pago de pasivos ambientales”</t>
    </r>
    <r>
      <rPr>
        <sz val="12"/>
        <rFont val="Calibri Light"/>
        <family val="2"/>
        <scheme val="major"/>
      </rPr>
      <t>.</t>
    </r>
  </si>
  <si>
    <r>
      <t xml:space="preserve">En cumplimiento del artículo 39 de la Ley 1682 de 2013, la entidad debe: </t>
    </r>
    <r>
      <rPr>
        <i/>
        <sz val="12"/>
        <rFont val="Calibri Light"/>
        <family val="2"/>
        <scheme val="major"/>
      </rPr>
      <t>"A partir del tercer año siguiente a la promulgación de la ley, como requisito previo a la apertura de los procesos de selección para la construcción de proyectos de infraestructura de transporte, la entidad pública estará obligada a contar con la viabilidad de una alternativa del proyecto aprobada por parte dela autoridad ambiental competente con base en estudios de prefactibilidad, haber culminado los Estudios de Factibilidad y haber concluido el proceso de consulta previa con la respectiva comunidad hasta su protocolización, si procede la misma".</t>
    </r>
  </si>
  <si>
    <r>
      <t>Solicitamos aclarar qué se entiende por “</t>
    </r>
    <r>
      <rPr>
        <i/>
        <sz val="12"/>
        <rFont val="Calibri Light"/>
        <family val="2"/>
        <scheme val="major"/>
      </rPr>
      <t>más del ciento cincuenta por ciento adicional</t>
    </r>
    <r>
      <rPr>
        <sz val="12"/>
        <rFont val="Calibri Light"/>
        <family val="2"/>
        <scheme val="major"/>
      </rPr>
      <t>”. Esto es, si se toma el plazo total previsto en la ley para el agotamiento del trámite, y se adiciona un cincuenta por ciento, o si se toma tal plazo total y se le adiciona en un ciento cincuenta por ciento. Si es lo segundo, solicitamos modificar, para efectos de que se entienda que se configura la fuerza mayor cuando transcurre el ciento por ciento de la Ley Aplicable, adicionado en un cincuenta por ciento</t>
    </r>
  </si>
  <si>
    <r>
      <t xml:space="preserve">La referida Sección menciona que </t>
    </r>
    <r>
      <rPr>
        <i/>
        <sz val="12"/>
        <rFont val="Calibri Light"/>
        <family val="2"/>
        <scheme val="major"/>
      </rPr>
      <t>"los costos de los traslados y/o intervención de redes deberán ser asumidos por el Concesionario (salvo cuando dichos costos deban ser asumidos por los titulares de las redes o de otro tercero, de conformidad con cualquier convenio suscrito entre ANI y dicho tercero o de conformidad con la Ley Aplicable)";</t>
    </r>
    <r>
      <rPr>
        <sz val="12"/>
        <rFont val="Calibri Light"/>
        <family val="2"/>
        <scheme val="major"/>
      </rPr>
      <t xml:space="preserve"> al respecto, la Ley Aplicable es la Ley 1682 de 2010, la cual estipula en el Artículo 50 (c) que los costos asociados a la intervención de las redes serán asumidos por el titular de la red si dichas redes o activos fueron instalados en las fajas reservadas a las que hace referencia la Ley 1228 de 2008 con posterioridad a su promulgación. En atención a lo anterior surgen los siguientes interrogantes:</t>
    </r>
  </si>
  <si>
    <r>
      <t>Aclarar qué se entiende por “</t>
    </r>
    <r>
      <rPr>
        <i/>
        <sz val="12"/>
        <rFont val="Calibri Light"/>
        <family val="2"/>
        <scheme val="major"/>
      </rPr>
      <t>más del ciento cincuenta por ciento adicional</t>
    </r>
    <r>
      <rPr>
        <sz val="12"/>
        <rFont val="Calibri Light"/>
        <family val="2"/>
        <scheme val="major"/>
      </rPr>
      <t>”. Esto es, si se toma el plazo total previsto en la ley para el agotamiento del trámite, y se adicional un cincuenta por ciento, o si se toma tal plazo total y se le adiciona en un ciento cincuenta por ciento. Si es lo segundo, solicitamos modificar, para efectos de que se entienda que se configura la fuerza mayor cuando transcurre el cien por ciento, adicionado en un cincuenta por ciento.</t>
    </r>
  </si>
  <si>
    <r>
      <t>Modificar en los siguientes términos: “</t>
    </r>
    <r>
      <rPr>
        <i/>
        <sz val="12"/>
        <rFont val="Calibri Light"/>
        <family val="2"/>
        <scheme val="major"/>
      </rPr>
      <t>Si con posterioridad a la obtención de la Licencia Ambiental, la Autoridad Ambiental exige la ejecución de obras y/o actividades no previstas en el Apéndice Técnico 1 o en la Licencia Ambiental, o hay lugar a su ejecución como consecuencia de determinaciones adoptadas en el marco del trámite ambiental, se aplicará lo previsto en la Sección 8.1.(i) anterior, siempre y cuando el Concesionario demuestre su debida diligencia en la implementación de las obligaciones y medidas de manejo a su cargo</t>
    </r>
    <r>
      <rPr>
        <sz val="12"/>
        <rFont val="Calibri Light"/>
        <family val="2"/>
        <scheme val="major"/>
      </rPr>
      <t>”.</t>
    </r>
  </si>
  <si>
    <r>
      <t>“(xxviii)   </t>
    </r>
    <r>
      <rPr>
        <sz val="12"/>
        <rFont val="Calibri Light"/>
        <family val="2"/>
        <scheme val="major"/>
      </rPr>
      <t>“</t>
    </r>
    <r>
      <rPr>
        <i/>
        <sz val="12"/>
        <rFont val="Calibri Light"/>
        <family val="2"/>
        <scheme val="major"/>
      </rPr>
      <t>Los efectos favorables y/o desfavorables derivados de los cambios en la Ley Aplicable, con excepción de la cobertura dada al riesgo de Cambio Tributario y cambio en Especificaciones Técnicas, definidos en las Secciones 13.3(o) y 13.3(p), respectivamente”.</t>
    </r>
  </si>
  <si>
    <r>
      <t>Al respecto, es preciso señalar que de acuerdo con la ley 1508 de 2012, el contrato de asociación público privada (“</t>
    </r>
    <r>
      <rPr>
        <u/>
        <sz val="12"/>
        <rFont val="Calibri Light"/>
        <family val="2"/>
        <scheme val="major"/>
      </rPr>
      <t>APP</t>
    </r>
    <r>
      <rPr>
        <sz val="12"/>
        <rFont val="Calibri Light"/>
        <family val="2"/>
        <scheme val="major"/>
      </rPr>
      <t>”) es un instrumento de vinculación de capital privado que, entre sus finalidades esenciales, </t>
    </r>
    <r>
      <rPr>
        <i/>
        <sz val="12"/>
        <rFont val="Calibri Light"/>
        <family val="2"/>
        <scheme val="major"/>
      </rPr>
      <t>“involucra la retención y transferencia de riesgos entre las partes”</t>
    </r>
    <r>
      <rPr>
        <i/>
        <vertAlign val="superscript"/>
        <sz val="12"/>
        <rFont val="Calibri Light"/>
        <family val="2"/>
        <scheme val="major"/>
      </rPr>
      <t xml:space="preserve"> </t>
    </r>
    <r>
      <rPr>
        <b/>
        <i/>
        <vertAlign val="superscript"/>
        <sz val="12"/>
        <rFont val="Calibri Light"/>
        <family val="2"/>
        <scheme val="major"/>
      </rPr>
      <t>[1]</t>
    </r>
    <r>
      <rPr>
        <i/>
        <sz val="12"/>
        <rFont val="Calibri Light"/>
        <family val="2"/>
        <scheme val="major"/>
      </rPr>
      <t xml:space="preserve">. </t>
    </r>
    <r>
      <rPr>
        <sz val="12"/>
        <rFont val="Calibri Light"/>
        <family val="2"/>
        <scheme val="major"/>
      </rPr>
      <t xml:space="preserve">Para ello, la propia Ley establece en su artículo 4° el criterio general de asignación de riesgos, atribuyéndolos a </t>
    </r>
    <r>
      <rPr>
        <i/>
        <sz val="12"/>
        <rFont val="Calibri Light"/>
        <family val="2"/>
        <scheme val="major"/>
      </rPr>
      <t>“la parte que esté en mejor capacidad de administrarlos”</t>
    </r>
    <r>
      <rPr>
        <b/>
        <i/>
        <vertAlign val="superscript"/>
        <sz val="12"/>
        <rFont val="Calibri Light"/>
        <family val="2"/>
        <scheme val="major"/>
      </rPr>
      <t>[2]</t>
    </r>
    <r>
      <rPr>
        <vertAlign val="superscript"/>
        <sz val="12"/>
        <rFont val="Calibri Light"/>
        <family val="2"/>
        <scheme val="major"/>
      </rPr>
      <t xml:space="preserve">, </t>
    </r>
    <r>
      <rPr>
        <sz val="12"/>
        <rFont val="Calibri Light"/>
        <family val="2"/>
        <scheme val="major"/>
      </rPr>
      <t>sin poderse deducir de aparte alguno de la norma la existencia de una regla general, que implique una camisa de fuerza según la cual ciertos riesgos deben quedar en cabeza de una u otra parte. Bien por el contrario, de acuerdo con la referida Ley 1508 de 2012 la labor de asignar riesgos a cada parte debe hacerse caso por caso y dependiendo de cada proyecto específico, siempre conforme al criterio general de asignación al que nos hemos referido.</t>
    </r>
  </si>
  <si>
    <r>
      <t>Al respecto, es preciso señalar que tanto los cambios que se puedan producir en la normatividad tributaria, así como en la Ley Aplicable al Contrato, constituyen situaciones que se encuentran enmarcadas dentro de la función reglamentaria del Estado, y en consecuencia, se trata de riesgos de carácter público que lejos está el particular de poder administrar, controlar o mitigar. </t>
    </r>
    <r>
      <rPr>
        <i/>
        <sz val="12"/>
        <rFont val="Calibri Light"/>
        <family val="2"/>
        <scheme val="major"/>
      </rPr>
      <t>Contrario sensu</t>
    </r>
    <r>
      <rPr>
        <sz val="12"/>
        <rFont val="Calibri Light"/>
        <family val="2"/>
        <scheme val="major"/>
      </rPr>
      <t>, por tratarse de un riesgo vinculado a una actividad que se desarrolla en ejercicio de una función legislativa, es evidente que tanto las reformas en materia tributaria, como las modificaciones a la Ley Aplicable, que puedan afectar el normal desarrollo del Contrato, constituyen circunstancias que la entidad estatal se encuentra en una mejor posición para poder ejercer algún tipo de medida, que eventualmente permita evitar o mitigar los efectos que este tipo de actuaciones del Estado (de origen gubernamental o legislativo) puedan llegar a tener en la ejecución del Contrato.</t>
    </r>
  </si>
  <si>
    <r>
      <t>En este orden de ideas, y de conformidad con el principio consagrado en la Ley 1508 de 2012, de acuerdo con el cual los riesgos deben asignarse a la parte</t>
    </r>
    <r>
      <rPr>
        <i/>
        <sz val="12"/>
        <rFont val="Calibri Light"/>
        <family val="2"/>
        <scheme val="major"/>
      </rPr>
      <t> “(…) que esté en mejor capacidad de administrarlos”</t>
    </r>
    <r>
      <rPr>
        <sz val="12"/>
        <rFont val="Calibri Light"/>
        <family val="2"/>
        <scheme val="major"/>
      </rPr>
      <t>, solicitamos respetuosamente modificar la asignación de los riesgos previstos en las Secciones 13.2 (a) (xxviii) y 13.2 (a) (xxix) a fin de que el riesgo derivado del cambio de la Ley Aplicable y el riesgo del Cambio Tributario, sean asignados a la Agencia Nacional de Infraestructura, por ser la parte del Contrato que se encuentra, sin lugar a dudas, en una mejor posición de controlar, administrar o mitigar la ocurrencia de estos riesgos y sus eventuales efectos.</t>
    </r>
  </si>
  <si>
    <r>
      <t>Se define el Ar</t>
    </r>
    <r>
      <rPr>
        <vertAlign val="subscript"/>
        <sz val="12"/>
        <rFont val="Calibri Light"/>
        <family val="2"/>
        <scheme val="major"/>
      </rPr>
      <t xml:space="preserve">h </t>
    </r>
    <r>
      <rPr>
        <i/>
        <sz val="12"/>
        <rFont val="Calibri Light"/>
        <family val="2"/>
        <scheme val="major"/>
      </rPr>
      <t>“…En el evento en que se cuente con Recaudo de Peaje y por lo tanto proceda el pago definido en la Sección 3.4(f), la variable ARh tomará el valor de cero (0) para los meses h correspondientes a la Etapa de Reversión (es decir, para cualquier periodo posterior a m).Únicamente para el caso en que no exista Recaudo de Peaje en el Proyecto al momento de declarar la Terminación Anticipada del Contrato, se incluirán también en el ARh las actividades desarrolladas durante la Etapa de Reversión…”.</t>
    </r>
  </si>
  <si>
    <r>
      <t>Se define el Ar</t>
    </r>
    <r>
      <rPr>
        <vertAlign val="subscript"/>
        <sz val="12"/>
        <rFont val="Calibri Light"/>
        <family val="2"/>
        <scheme val="major"/>
      </rPr>
      <t xml:space="preserve">h </t>
    </r>
    <r>
      <rPr>
        <i/>
        <sz val="12"/>
        <rFont val="Calibri Light"/>
        <family val="2"/>
        <scheme val="major"/>
      </rPr>
      <t>“…Para los Meses h posteriores a la Fecha de Inicio se reconocerán exclusivamente los costos asociados con las siguientes actividades y se deberán verificar por parte del Interventor los siguientes criterios: (A) que hayan sido ejecutadas para contribuir a satisfacer el interés público, (B) que estén estrictamente asociadas al objeto del Contrato, (C) que los costos correspondan a precios de mercado asociados a las condiciones particulares del Proyecto al momento de su causación de acuerdo con la modalidad contractual y (D) que el bien y/o servicio haya sido debidamente entregado y/o prestado…”.</t>
    </r>
  </si>
  <si>
    <r>
      <t>Se define el Ar</t>
    </r>
    <r>
      <rPr>
        <vertAlign val="subscript"/>
        <sz val="12"/>
        <rFont val="Calibri Light"/>
        <family val="2"/>
        <scheme val="major"/>
      </rPr>
      <t xml:space="preserve">h </t>
    </r>
    <r>
      <rPr>
        <i/>
        <sz val="12"/>
        <rFont val="Calibri Light"/>
        <family val="2"/>
        <scheme val="major"/>
      </rPr>
      <t xml:space="preserve">“…Comisiones de disponibilidad y de estructuración del Cierre Financiero o de la emisión de bonos (commitment fee y upfront fee) pagadas a los Prestamistas en el Mes h, los cuales serán verificados por la interventoría. </t>
    </r>
    <r>
      <rPr>
        <b/>
        <i/>
        <u/>
        <sz val="12"/>
        <rFont val="Calibri Light"/>
        <family val="2"/>
        <scheme val="major"/>
      </rPr>
      <t>No se reconocerán los pagos realizados por servicio de la deuda (intereses y principal)</t>
    </r>
    <r>
      <rPr>
        <i/>
        <sz val="12"/>
        <rFont val="Calibri Light"/>
        <family val="2"/>
        <scheme val="major"/>
      </rPr>
      <t xml:space="preserve"> ni penalizaciones, cualquiera que sea la modalidad de financiación utilizada por el Concesionario…</t>
    </r>
    <r>
      <rPr>
        <sz val="12"/>
        <rFont val="Calibri Light"/>
        <family val="2"/>
        <scheme val="major"/>
      </rPr>
      <t>” (Subrayas y negrillas fuera de texto)</t>
    </r>
  </si>
  <si>
    <r>
      <t>Se define el E</t>
    </r>
    <r>
      <rPr>
        <vertAlign val="subscript"/>
        <sz val="12"/>
        <rFont val="Calibri Light"/>
        <family val="2"/>
        <scheme val="major"/>
      </rPr>
      <t xml:space="preserve">h </t>
    </r>
    <r>
      <rPr>
        <sz val="12"/>
        <rFont val="Calibri Light"/>
        <family val="2"/>
        <scheme val="major"/>
      </rPr>
      <t>“</t>
    </r>
    <r>
      <rPr>
        <i/>
        <sz val="12"/>
        <rFont val="Calibri Light"/>
        <family val="2"/>
        <scheme val="major"/>
      </rPr>
      <t>Valor de los Giros de Equity expresados en Pesos corrientes, siempre que hayan sido efectivamente desembolsados por parte del Concesionario en las condiciones que establece el Contrato. El valor acumulado hasta el mes h, no podrá superar el valor que resulte de multiplicar la suma del total de los montos mínimos de los Giros de Equity previstos en la Parte Especial por el factor FAE que se establece en la Parte Especial.”.</t>
    </r>
  </si>
  <si>
    <r>
      <t>El Contrato prevé que, en el caso de que no se logre el acuerdo entre las Partes en los costos para la ejecución de Obras Menores, </t>
    </r>
    <r>
      <rPr>
        <i/>
        <sz val="12"/>
        <rFont val="Calibri Light"/>
        <family val="2"/>
        <scheme val="major"/>
      </rPr>
      <t>“las obras serán ejecutadas por un tercero que deberá ser contratado por el Concesionario”</t>
    </r>
    <r>
      <rPr>
        <sz val="12"/>
        <rFont val="Calibri Light"/>
        <family val="2"/>
        <scheme val="major"/>
      </rPr>
      <t>, en cuyo caso el Concesionario debe adelantar un proceso de selección que garantice la libre concurrencia. Así mismo, se indica que, en estos casos, </t>
    </r>
    <r>
      <rPr>
        <i/>
        <sz val="12"/>
        <rFont val="Calibri Light"/>
        <family val="2"/>
        <scheme val="major"/>
      </rPr>
      <t>“El Concesionario estará en la obligación de supervisar la ejecución de las obras ejecutadas por el contratista, teniendo en cuenta que, independientemente de la responsabilidad de ese tercero frente al Concesionario, el Concesionario responderá frente a la ANI, por la calidad y estabilidad de las obras ejecutadas”.</t>
    </r>
  </si>
  <si>
    <r>
      <t>Solicitamos por favor aclarar qué quiere decir "</t>
    </r>
    <r>
      <rPr>
        <i/>
        <sz val="12"/>
        <rFont val="Calibri Light"/>
        <family val="2"/>
        <scheme val="major"/>
      </rPr>
      <t>sin perjuicio de los tramos de vías que cuenten con garantías de calidad y estabilidad de las obras</t>
    </r>
    <r>
      <rPr>
        <sz val="12"/>
        <rFont val="Calibri Light"/>
        <family val="2"/>
        <scheme val="major"/>
      </rPr>
      <t>".</t>
    </r>
  </si>
  <si>
    <r>
      <t>La Sección 3.6 (e) establece que “</t>
    </r>
    <r>
      <rPr>
        <i/>
        <sz val="12"/>
        <rFont val="Calibri Light"/>
        <family val="2"/>
        <scheme val="major"/>
      </rPr>
      <t xml:space="preserve">La obligación de la ANI en relación con la entrega de la infraestructura identificada en el Apéndice Técnico 1 del presente Contrato, se limita a la entrega de los predios y las obras existentes en el estado en el que se encuentren, y </t>
    </r>
    <r>
      <rPr>
        <b/>
        <i/>
        <u/>
        <sz val="12"/>
        <rFont val="Calibri Light"/>
        <family val="2"/>
        <scheme val="major"/>
      </rPr>
      <t>en ningún caso conlleva la obligación por parte de la ANI de entregar la totalidad de los predios correspondientes a las Fajas del Proyecto, ni de entregar las obras existentes o predios en un estado material o jurídico determinado</t>
    </r>
    <r>
      <rPr>
        <sz val="12"/>
        <rFont val="Calibri Light"/>
        <family val="2"/>
        <scheme val="major"/>
      </rPr>
      <t>”.</t>
    </r>
  </si>
  <si>
    <r>
      <t>Sin embargo, en el numeral (iii) del ordinal (g) de la referida Sección, se señala que “</t>
    </r>
    <r>
      <rPr>
        <i/>
        <sz val="12"/>
        <rFont val="Calibri Light"/>
        <family val="2"/>
        <scheme val="major"/>
      </rPr>
      <t>si una vez vencido el plazo máximo para recibir la Infraestructura, las “Intervenciones Previstas” en la tabla anterior (exceptuando la puesta a punto del tramo Cali – Candelaria), se encuentran finalizadas, el monto de CAPEX de la infraestructura asociado a dichas intervenciones será trasladado por el Concesionario de conformidad con la Sección 3.6(g)(i) anterior a la Subcuenta Excedentes ANI, previa instrucción expresa y escrita de la ANI, el Concesionario asumirá la Operación y Mantenimiento de esta infraestructura</t>
    </r>
    <r>
      <rPr>
        <sz val="12"/>
        <rFont val="Calibri Light"/>
        <family val="2"/>
        <scheme val="major"/>
      </rPr>
      <t>”.</t>
    </r>
  </si>
  <si>
    <r>
      <t xml:space="preserve">El Apéndice Técnico 1 en el Capítulo IV Infraestructura proyectada, Numeral 4.1 División por unidades funcionales, Tabla 5 Unidades funcionales del Proyecto establece que uno de los tramos que conforman la Unidad Funcional 2 del Proyecto es Cali - Candelaria cuyo alcance es </t>
    </r>
    <r>
      <rPr>
        <i/>
        <sz val="12"/>
        <rFont val="Calibri Light"/>
        <family val="2"/>
        <scheme val="major"/>
      </rPr>
      <t>puesta a punto</t>
    </r>
    <r>
      <rPr>
        <sz val="12"/>
        <rFont val="Calibri Light"/>
        <family val="2"/>
        <scheme val="major"/>
      </rPr>
      <t>.</t>
    </r>
  </si>
  <si>
    <r>
      <t>El alcance para la UF0 en la Tabla 5 dice que incluye “</t>
    </r>
    <r>
      <rPr>
        <i/>
        <sz val="12"/>
        <rFont val="Calibri Light"/>
        <family val="2"/>
        <scheme val="major"/>
      </rPr>
      <t>Toda la infraestructura, la que se describe en el CAPÍTULO III y la resultante de las Intervenciones de la Tabla 5 del presente Apéndice”</t>
    </r>
    <r>
      <rPr>
        <sz val="12"/>
        <rFont val="Calibri Light"/>
        <family val="2"/>
        <scheme val="major"/>
      </rPr>
      <t>.  De acuerdo a lo anterior, luego de terminar cada unidad funcional, ¿estas harán parte de la UF0? En caso de ser afirmativa la respuesta, cuando cada unidad funcional pasa a ser parte de la UF0, ¿se aplicarían los indicadores definidos la tabla 4 del apéndice técnico 4 para las UF 1,2,3,4 y 5 o los indicadores para UF0?</t>
    </r>
  </si>
  <si>
    <r>
      <t xml:space="preserve">En el numeral 3.3.10.1. Centro de Control Operacional (CCO) se incluye lo siguiente </t>
    </r>
    <r>
      <rPr>
        <i/>
        <sz val="12"/>
        <rFont val="Calibri Light"/>
        <family val="2"/>
        <scheme val="major"/>
      </rPr>
      <t>"...Para ello, a todo lo largo de la(s) vía(s) deberá implantar un sistema que incluya fibra óptica y sus canalizaciones, a través del cual se integren todos los elementos de los sistemas de control de tráfico (ITS)...</t>
    </r>
    <r>
      <rPr>
        <sz val="12"/>
        <rFont val="Calibri Light"/>
        <family val="2"/>
        <scheme val="major"/>
      </rPr>
      <t>". De acuerdo a lo anterior, sírvase confirmar que la fibra óptica y complementarios deben ser instalados mediante canalizaciones subterráneas en las unidades funcionales 1, 2, 3, 4 y 5.</t>
    </r>
  </si>
  <si>
    <r>
      <t xml:space="preserve">Respecto al siguiente requerimiento: </t>
    </r>
    <r>
      <rPr>
        <i/>
        <sz val="12"/>
        <rFont val="Calibri Light"/>
        <family val="2"/>
        <scheme val="major"/>
      </rPr>
      <t>“(…) En cada Estación de Peaje, el Sistema de Control de Tráfico deberá contar al menos con los siguientes equipos (…) vehículos de inspección de tráfico”.</t>
    </r>
    <r>
      <rPr>
        <sz val="12"/>
        <rFont val="Calibri Light"/>
        <family val="2"/>
        <scheme val="major"/>
      </rPr>
      <t xml:space="preserve"> </t>
    </r>
  </si>
  <si>
    <r>
      <t xml:space="preserve">Según lo indicado en el Apéndice Técnico 3, Capítulo II, Numeral 2.2, literal (a), subliteral (i), para el proyecto de la Nueva Malla Vial del Valle del Cauca aplican las Especificaciones Generales para construcción de Carreteras de INVIAS 2013, y que dentro de estas se encuentra la especificación número 330-13 que regula la base granular, y que dicha norma establece en el numeral 330.2.2 que las bases granulares Clase A deben cumplir con el 100% de caras fracturadas por una cara, se solicita hacer una excepción a este requisito debido a la </t>
    </r>
    <r>
      <rPr>
        <b/>
        <u/>
        <sz val="12"/>
        <rFont val="Calibri Light"/>
        <family val="2"/>
        <scheme val="major"/>
      </rPr>
      <t>imposibilidad</t>
    </r>
    <r>
      <rPr>
        <sz val="12"/>
        <rFont val="Calibri Light"/>
        <family val="2"/>
        <scheme val="major"/>
      </rPr>
      <t xml:space="preserve"> material de cumplirlo debido a la características físicas y geológicas de los materiales de peña y río en Colombia.</t>
    </r>
  </si>
  <si>
    <r>
      <t xml:space="preserve">Para el Indicador O3-1 - Cola de Peaje (IP/REV), se presenta la siguiente redacción: </t>
    </r>
    <r>
      <rPr>
        <i/>
        <sz val="12"/>
        <rFont val="Calibri Light"/>
        <family val="2"/>
        <scheme val="major"/>
      </rPr>
      <t>“(…) El Operador IP/REV deberá permitir el tránsito de por lo menos (300) vehículos/hora/carril, sin que se presenten acumulaciones en un mismo carril de vehículos que detienen su marcha de manera simultánea, para pagar la Tasa de Peaje superiores a diez (10) vehículos para las demás categorías que se encuentran en servicio, por un periodo igual o mayor a sesenta (60) minutos(…)”.</t>
    </r>
    <r>
      <rPr>
        <sz val="12"/>
        <rFont val="Calibri Light"/>
        <family val="2"/>
        <scheme val="major"/>
      </rPr>
      <t xml:space="preserve"> </t>
    </r>
  </si>
  <si>
    <r>
      <t>Respecto a los presupuestos que deben consignarse en el PMTR, se menciona que éstos deben</t>
    </r>
    <r>
      <rPr>
        <i/>
        <sz val="12"/>
        <rFont val="Calibri Light"/>
        <family val="2"/>
        <scheme val="major"/>
      </rPr>
      <t xml:space="preserve"> "establecer los precios unitarios de acuerdo al tipo de solución y su justificación".</t>
    </r>
  </si>
  <si>
    <r>
      <t>Al respecto, se pregunta lo siguiente:</t>
    </r>
    <r>
      <rPr>
        <i/>
        <sz val="12"/>
        <rFont val="Calibri Light"/>
        <family val="2"/>
        <scheme val="major"/>
      </rPr>
      <t xml:space="preserve"> </t>
    </r>
    <r>
      <rPr>
        <sz val="12"/>
        <rFont val="Calibri Light"/>
        <family val="2"/>
        <scheme val="major"/>
      </rPr>
      <t>¿la justificación se debe hacer por medio de la elaboración y entrega de Análisis de Precios Unitarios o se puede hacer por medio de cotizaciones y estudios de mercado?</t>
    </r>
  </si>
  <si>
    <r>
      <t xml:space="preserve">Se define el Protocolo de Seguridad como </t>
    </r>
    <r>
      <rPr>
        <i/>
        <sz val="12"/>
        <rFont val="Calibri Light"/>
        <family val="2"/>
        <scheme val="major"/>
      </rPr>
      <t>"Capítulo cuyo texto debió haber sido aprobado por las empresas administradoras, propietarias o prestadoras de la red en el cual…".</t>
    </r>
  </si>
  <si>
    <r>
      <t>Al respecto se pregunta lo siguiente:</t>
    </r>
    <r>
      <rPr>
        <i/>
        <sz val="12"/>
        <rFont val="Calibri Light"/>
        <family val="2"/>
        <scheme val="major"/>
      </rPr>
      <t xml:space="preserve"> </t>
    </r>
    <r>
      <rPr>
        <sz val="12"/>
        <rFont val="Calibri Light"/>
        <family val="2"/>
        <scheme val="major"/>
      </rPr>
      <t>¿Cuál es el paso a seguir si no hay pronunciamiento por parte de las empresas respecto al Protocolo de Seguridad?</t>
    </r>
  </si>
  <si>
    <r>
      <t xml:space="preserve">Se define el Plan de contingencias como </t>
    </r>
    <r>
      <rPr>
        <i/>
        <sz val="12"/>
        <rFont val="Calibri Light"/>
        <family val="2"/>
        <scheme val="major"/>
      </rPr>
      <t xml:space="preserve">"plan donde se encontrarán los procedimientos acordados con la empresa titula de Redes para la atención de emergencias...". </t>
    </r>
  </si>
  <si>
    <r>
      <t>Al respecto se pregunta lo siguiente:</t>
    </r>
    <r>
      <rPr>
        <i/>
        <sz val="12"/>
        <rFont val="Calibri Light"/>
        <family val="2"/>
        <scheme val="major"/>
      </rPr>
      <t xml:space="preserve"> </t>
    </r>
    <r>
      <rPr>
        <sz val="12"/>
        <rFont val="Calibri Light"/>
        <family val="2"/>
        <scheme val="major"/>
      </rPr>
      <t>¿Cuál es el paso a seguir si no se logra acordar el Plan de Contingencias con las empresas titulares de la red?</t>
    </r>
  </si>
  <si>
    <r>
      <t xml:space="preserve">Respecto a los planos </t>
    </r>
    <r>
      <rPr>
        <i/>
        <sz val="12"/>
        <rFont val="Calibri Light"/>
        <family val="2"/>
        <scheme val="major"/>
      </rPr>
      <t>As Built</t>
    </r>
    <r>
      <rPr>
        <sz val="12"/>
        <rFont val="Calibri Light"/>
        <family val="2"/>
        <scheme val="major"/>
      </rPr>
      <t xml:space="preserve"> que hacen parte del Inventario del estado las Redes, ¿estos deben ir aprobados por las empresas titulares de la Red? ¿Cuál es el paso a seguir en caso de que las empresas titulares de la Red se nieguen a firmar dichos planos?</t>
    </r>
  </si>
  <si>
    <r>
      <t xml:space="preserve">Se presume que: </t>
    </r>
    <r>
      <rPr>
        <i/>
        <sz val="12"/>
        <rFont val="Calibri Light"/>
        <family val="2"/>
        <scheme val="major"/>
      </rPr>
      <t>"una Red se ve afectada por una intervención cuando por causa o en ocasión de su implementación se pudiera causar impactos que pongan en peligro la integridad de una Red y/o la prestación del servicio asociado a la misma".</t>
    </r>
  </si>
  <si>
    <r>
      <t>EXPEDIENTE LAM: 3423, VARIANTE EL BOLO.</t>
    </r>
    <r>
      <rPr>
        <sz val="12"/>
        <rFont val="Calibri Light"/>
        <family val="2"/>
        <scheme val="major"/>
      </rPr>
      <t xml:space="preserve">   Revisado el AUTO ANLA No. 10287 de 25 de noviembre de 2019, por el cual se realiza un seguimiento y control ambiental, se evidencia que de esta Licencia se encuentran 14 requerimientos pendientes relacionados con obras de mitigación social y compensaciones de carácter ambiental (reforestaciones y revegetalizaciones). La ANLA programó reunión con el Titular de la Licencia para el día 13 de mayo de 2020, para definir qué obligaciones se pueden cerrar, por lo que solicitamos a la ANI, precisar los pendientes que están pendientes de esta licencia.</t>
    </r>
  </si>
  <si>
    <r>
      <t xml:space="preserve">EXPEDIENTE LAM: 1659. </t>
    </r>
    <r>
      <rPr>
        <sz val="12"/>
        <rFont val="Calibri Light"/>
        <family val="2"/>
        <scheme val="major"/>
      </rPr>
      <t>En relación con este expediente, se revisó el AUTO ANLA No. 2222 del 3 de junio de 2015, por el cual se efectúa un seguimiento y control ambiental. Al respecto, es de anotar que este es el último Auto que se encontró en el expediente y en teoría entenderíamos que el que resume todas las actividades pendientes por cumplir a cargo del titular de la Licencia. En dicho Auto se puede evidenciar que el titular (UTDVVCC) no ha dado cumplimiento a 31 requerimientos establecidos en la Licencia Ambiental, por lo cual, en este punto solicitamos informar en qué estado de cumplimiento se encuentran estos pendientes por parte del titular de la Licencia Ambiental. De acuerdo con el referido documento, es nuestro entendimiento que algunos de estos compromisos están por cerrar pues, según el expediente, la ANLA los visitó en marzo de 2020 y deben estar preparando la publicación del Auto de seguimiento y control. En vista de lo anterior, solicitamos publicar la información más reciente sobre este expediente, en particular, el respectivo Auto de seguimiento y control, a efectos de poder realizar una correcta evaluación y valoración del mismo.</t>
    </r>
  </si>
  <si>
    <r>
      <t xml:space="preserve">EXPEDIENTE LAM: 1015. </t>
    </r>
    <r>
      <rPr>
        <sz val="12"/>
        <rFont val="Calibri Light"/>
        <family val="2"/>
        <scheme val="major"/>
      </rPr>
      <t>En referencia a este expediente se revisó el último Auto de seguimiento y control ambiental, el AUTO ANLA No. 02369 de 6 de mayo de 2019 en el cual se puede evidenciar que el Titular de la Licencia Ambiental no ha dado cumplimiento a 32 requerimientos consignados en el Auto de seguimiento y control, no obstante, en el expediente reposa un documento llamado ACTA DE REUNION Y CONTROL DE SEGUIMIENTO AMBIENTAL,  dicha acta es del 28 de febrero de 2020, en donde cierran la mayoría de las obligaciones pendientes y por lo descrito en el Acta dejan dos (2) compromisos pendientes por cumplir relacionados con unos temas de revegetalización y reforestación de áreas intervenidas y la construcción de 5 puentes peatonales. En vista de lo anterior, solicitamos publicar la información más reciente sobre este expediente, en particular, el respectivo Auto de seguimiento y control, a efectos de poder realizar una correcta evaluación y valoración del mismo.</t>
    </r>
  </si>
  <si>
    <r>
      <t>Asegurados/Beneficiarios:</t>
    </r>
    <r>
      <rPr>
        <sz val="12"/>
        <rFont val="Calibri Light"/>
        <family val="2"/>
        <scheme val="major"/>
      </rPr>
      <t xml:space="preserve"> Concesionario SPV, Contratista EPC, Contratistas y/o Subcontratistas, prestamistas y financiadores.</t>
    </r>
  </si>
  <si>
    <r>
      <t>ASEGURADO PRINCIPAL:</t>
    </r>
    <r>
      <rPr>
        <sz val="12"/>
        <rFont val="Calibri Light"/>
        <family val="2"/>
        <scheme val="major"/>
      </rPr>
      <t xml:space="preserve"> CONTRATISTA SPV Y/O CONTRATISTA EPC, y cualquier subcontratista vinculado al proyecto de forma directa o indirecta.</t>
    </r>
  </si>
  <si>
    <r>
      <t xml:space="preserve">32: RCE que pueda ser imputable al asegurado, por daños o perjuicios </t>
    </r>
    <r>
      <rPr>
        <u/>
        <sz val="12"/>
        <rFont val="Calibri Light"/>
        <family val="2"/>
        <scheme val="major"/>
      </rPr>
      <t>originados</t>
    </r>
    <r>
      <rPr>
        <sz val="12"/>
        <rFont val="Calibri Light"/>
        <family val="2"/>
        <scheme val="major"/>
      </rPr>
      <t xml:space="preserve"> a los bienes de terceros bajo cuidado, tenencia y control del asegurado.</t>
    </r>
  </si>
  <si>
    <r>
      <t xml:space="preserve">la aseguradora ampara la responsabilidad civil que pueda ser imputable al asegurado, por daños o perjuicios </t>
    </r>
    <r>
      <rPr>
        <u/>
        <sz val="12"/>
        <rFont val="Calibri Light"/>
        <family val="2"/>
        <scheme val="major"/>
      </rPr>
      <t>originados</t>
    </r>
    <r>
      <rPr>
        <sz val="12"/>
        <rFont val="Calibri Light"/>
        <family val="2"/>
        <scheme val="major"/>
      </rPr>
      <t xml:space="preserve"> en los bienes de terceros bajo el cuidado, tenencia o control del asegurado principal.</t>
    </r>
  </si>
  <si>
    <r>
      <t xml:space="preserve">El Proyecto está inmerso en una coyuntura económica recesiva en particular por la pandemia mundial (COVID-19), con probabilidad de un deteriorio financiero a nivel mundial, lo cual complica cualquier proceso de financiación. El tráfico esperado, las restricciones a la movilidad, etc., son aspectos que la ANI debe considerar para analizar si se otorga el Soporte de Ingresos en este proyecto. Dada la trascendencia de poder tener seguridad en la financiación del proyecto, se sugieren determinandos mecanismos para ayudar a la bancabilidad del  mismo:
</t>
    </r>
    <r>
      <rPr>
        <b/>
        <sz val="12"/>
        <rFont val="Calibri Light"/>
        <family val="2"/>
        <scheme val="major"/>
      </rPr>
      <t xml:space="preserve">
1)</t>
    </r>
    <r>
      <rPr>
        <sz val="12"/>
        <rFont val="Calibri Light"/>
        <family val="2"/>
        <scheme val="major"/>
      </rPr>
      <t xml:space="preserve">	</t>
    </r>
    <r>
      <rPr>
        <b/>
        <sz val="12"/>
        <rFont val="Calibri Light"/>
        <family val="2"/>
        <scheme val="major"/>
      </rPr>
      <t xml:space="preserve">Establecer un tramo en USD </t>
    </r>
    <r>
      <rPr>
        <sz val="12"/>
        <rFont val="Calibri Light"/>
        <family val="2"/>
        <scheme val="major"/>
      </rPr>
      <t xml:space="preserve">para apoyar la consecución de financiación en moneda diferente a COP con el objeto de:
a.	Dar acceso a financiadores internacionales ante la situación actual de financiamiento local reducido. La banca local ha tenido muchos eventos relevantes (4G) que ha reducido su apetito por la financiación de proyectos de infraestructura (APP)
b.	Dar un apoyo a la concepción de flujos de caja estables y predecibles que son base del Project Finance para mititgar la valoración del riesgo tráfico, algo que ante la tendencia de proyectos con Pagos por Disponibidad no es muy bien valorado por la entidades financiares actualmente. Además hay que tener en consideración que el tráfico con el que se estructuró el Proyecto (Pre – COVID19) no será el mismo tras la crisis financiera Post- COVID19
</t>
    </r>
    <r>
      <rPr>
        <b/>
        <sz val="12"/>
        <rFont val="Calibri Light"/>
        <family val="2"/>
        <scheme val="major"/>
      </rPr>
      <t>2)</t>
    </r>
    <r>
      <rPr>
        <sz val="12"/>
        <rFont val="Calibri Light"/>
        <family val="2"/>
        <scheme val="major"/>
      </rPr>
      <t xml:space="preserve">	</t>
    </r>
    <r>
      <rPr>
        <b/>
        <sz val="12"/>
        <rFont val="Calibri Light"/>
        <family val="2"/>
        <scheme val="major"/>
      </rPr>
      <t xml:space="preserve">Ingresos de peaje mínimos garantizados </t>
    </r>
    <r>
      <rPr>
        <sz val="12"/>
        <rFont val="Calibri Light"/>
        <family val="2"/>
        <scheme val="major"/>
      </rPr>
      <t xml:space="preserve">que permitan la certeza de los flujos de caja futuros del proyecto. Proponemos que la ANI introduzca algún mecanismo que ayude a reducir el riesgo de tráfico, motivado en:
a.	La coyuntura actual imposibilita la correcta realización de estudios de tráfico que permitan conocer el impacto del COVID19 en la estructuración del proyecto. En el mejor de los casos que los equipos puedan acceder a las zonas de referencia, los conteos que se pudiesen llegar a hacer estarán sesgados y no serán estudios de tráfico al uso. 
b.	Se requiere flexibilidad para la obtención de Financiamiento en este escenario de potencial crisis económica a nivel mundial post COVID-19. 
</t>
    </r>
    <r>
      <rPr>
        <b/>
        <sz val="12"/>
        <rFont val="Calibri Light"/>
        <family val="2"/>
        <scheme val="major"/>
      </rPr>
      <t>3)</t>
    </r>
    <r>
      <rPr>
        <sz val="12"/>
        <rFont val="Calibri Light"/>
        <family val="2"/>
        <scheme val="major"/>
      </rPr>
      <t xml:space="preserve"> </t>
    </r>
    <r>
      <rPr>
        <b/>
        <sz val="12"/>
        <rFont val="Calibri Light"/>
        <family val="2"/>
        <scheme val="major"/>
      </rPr>
      <t xml:space="preserve">Establecer un límite máximo a la Deducción por Indice de Cumplimiento Predial 
</t>
    </r>
    <r>
      <rPr>
        <sz val="12"/>
        <rFont val="Calibri Light"/>
        <family val="2"/>
        <scheme val="major"/>
      </rPr>
      <t xml:space="preserve">
</t>
    </r>
  </si>
  <si>
    <r>
      <t xml:space="preserve">4)	</t>
    </r>
    <r>
      <rPr>
        <b/>
        <sz val="12"/>
        <rFont val="Calibri Light"/>
        <family val="2"/>
        <scheme val="major"/>
      </rPr>
      <t>Estructura de Garantías de Ingresos</t>
    </r>
    <r>
      <rPr>
        <sz val="12"/>
        <rFont val="Calibri Light"/>
        <family val="2"/>
        <scheme val="major"/>
      </rPr>
      <t xml:space="preserve">. El proyecto fue diseñado en su estructuración con una Subcuenta de Deposito Especial en donde se depositan recursos en favor de otros proyectos. Sin embargo, se solicita especial consideración a que los ingresos que genera el proyecto y que sean transferidos a ese “Deposito Especial” sirvan PRIMERO como fuente de garantía del proyecto durante su periodo de Construcción. En la situación actual esos ingresos pueden ser la fuente y garantía del actual proyecto. Proponemos la utilización como soporte de ingresos para los Ingresos Minimos Garantizados. En cualquier caso consideramos lógico que esos fondos ayuden al proyecto que los generan, más en la situación actual de potencial dificultad econcómica y que debemos facilitar un esquema de financiación adecuado. En cualquier caso, consideramos que en el esquema actual del contrato, la salida de esos fondos nunca debería darse antes de que finalice la Etapa Preoperatriva.
5) </t>
    </r>
    <r>
      <rPr>
        <b/>
        <sz val="12"/>
        <rFont val="Calibri Light"/>
        <family val="2"/>
        <scheme val="major"/>
      </rPr>
      <t xml:space="preserve"> Derecho a un requilibrio económico financiero por fuerte desviación en costes financieros.</t>
    </r>
    <r>
      <rPr>
        <sz val="12"/>
        <rFont val="Calibri Light"/>
        <family val="2"/>
        <scheme val="major"/>
      </rPr>
      <t xml:space="preserve"> En ese sentido proponemos definir un porcentaje [10%] de desviación, a partir del cual el incremento del coste financiero sea reequilibrado. Este mecanimos fue utilizado exitosamente en contratos de concesión en la crisis financiera global que inició en 2008. En compensación para que sea un mecanismo justo para la ANI, puede también pensarse en que en el evento de una refinanciación ( lo lógico es que cuando el mercado baje coste financiero se refinanciasen los proyectos), la ganacia se comparta con la ANI.
 6) </t>
    </r>
    <r>
      <rPr>
        <b/>
        <sz val="12"/>
        <rFont val="Calibri Light"/>
        <family val="2"/>
        <scheme val="major"/>
      </rPr>
      <t>Evento Eximente / Causa de Terminanción por Fuerza Mayor por imposibilidad del Cierre financiero.</t>
    </r>
    <r>
      <rPr>
        <sz val="12"/>
        <rFont val="Calibri Light"/>
        <family val="2"/>
        <scheme val="major"/>
      </rPr>
      <t xml:space="preserve"> En medio de la coyuntura económica actual un cierre de mercados podría imposibilitar la financiación del proyecto usando banca, fondos de deuda o en mercado de capitales. En consecuencia, sugerimos establecer una fuerza mayor expresa ligada a una causa de terminación por imposibilidad de consecuención del cierre financiero por hechos no imputables al Concesionario. 
</t>
    </r>
  </si>
  <si>
    <r>
      <t xml:space="preserve">7) </t>
    </r>
    <r>
      <rPr>
        <b/>
        <sz val="12"/>
        <rFont val="Calibri Light"/>
        <family val="2"/>
        <scheme val="major"/>
      </rPr>
      <t xml:space="preserve">Ajuste en la Formula de Liquidación del Contrato. </t>
    </r>
    <r>
      <rPr>
        <sz val="12"/>
        <rFont val="Calibri Light"/>
        <family val="2"/>
        <scheme val="major"/>
      </rPr>
      <t xml:space="preserve">El correcto dimensionamiento de las fórmulas que simulan el valor de terminación del contrato ante eventos de terminación anticipada suponen uno de los puntos claves para que una Concesión y una financiación tipo Project Finance pueda llegar a salir. Si este concepto esta mal dimensionado el cierre financiero tendra muchos problemas y posibilidades de no llegar a producirse, más ante un proyecto de riesgo tráfico y ante un potencial mercado financiero en desaceleración. En este sentido explicamos varias observaciones a la fórmula en las siguientes observaciones.                                                                  Sección 3.4(b) Parte Genereal - Soporte de Ingresos
</t>
    </r>
  </si>
  <si>
    <r>
      <t xml:space="preserve">PG Cl. 18.3 - Liquidación del Contrato: Por favor se solicita consideración de dimensionar las fórmulas reflejando un cálculo del valor de la inversión en el momento de reversión del activo a la ANI y eliminar el concepto F de las fórmulas aplicables. 
El sentido del Valor de Terminación es el cálculo de un valor a pagar por la Admintración Pública en un evento de Terminanción Anticipada del Contrato. Los activos de la concesión (en este caso una autopista de peaje) serán financiados por Accionistas del SPV y por Financiadores, por lo que en el escenario en el que el Contrato de Concesión termine forzosamente y los activos reviertan a la Administración Pública, ésta debe paga el valor de los activos. De lo contrario se quedaría con unos activos infravalorando su valor, lo que supondría un enriquecimiento de la Admnistración Pública, por lo que la correcta valoración del activo debe ser la regla que determine la fórmula. En base a esto: 
</t>
    </r>
    <r>
      <rPr>
        <b/>
        <sz val="12"/>
        <rFont val="Calibri Light"/>
        <family val="2"/>
        <scheme val="major"/>
      </rPr>
      <t>(i) consideramos que la fórmula no debería determinar el concepto " delta " como un minimo entre un componente C y un componente F razonado en:</t>
    </r>
    <r>
      <rPr>
        <sz val="12"/>
        <rFont val="Calibri Light"/>
        <family val="2"/>
        <scheme val="major"/>
      </rPr>
      <t xml:space="preserve">
 - El foco debe ser valorar la inversión , el cuál se detarmina con el concpeto C. La correcta certificación y aprobación de los costes de inversión mediante los mecanismos de interventoría y control de la ANI, Actas de Terminación con la aceptación de la obra y la propia redacción del concepto AR refuerza el control de la coherencia y legalidad de los costes de inversión que formen el Activo de la Concesión. 
 - si la fórmula fuese justa  y reconociese todos los costes de inversión,  C sería igual a F , de tal manera que todo el coste de inversión se debería haber financiacado con equity y deuda. F se convierte en un componente que limita valor y que por lo tanto produce una incorrecta valoración de los activos de la Concesión produciendo un enriquecimiento a favor de ésta.    
</t>
    </r>
    <r>
      <rPr>
        <b/>
        <sz val="12"/>
        <rFont val="Calibri Light"/>
        <family val="2"/>
        <scheme val="major"/>
      </rPr>
      <t xml:space="preserve">(ii) El concepto C debería reconocer los costes de inversión mediante el concepto AR y ese valor debería ser ajustado no por el concepto R que muestra la fórmula si no por el estado de depreciación de los activos en el momento de Terminación del Contrato. </t>
    </r>
    <r>
      <rPr>
        <sz val="12"/>
        <rFont val="Calibri Light"/>
        <family val="2"/>
        <scheme val="major"/>
      </rPr>
      <t xml:space="preserve">En ese sentido solictamos reconsideración del concepto R que resta el valor AR, ya que no refleja un grado de depreciación del activo, si no que esta mezclando un concepto de pago de ingresos con un valor de la inversión. El impacto de R en un año bueno de tráfico podría ser infravalorar el activo produciendo enriquecimiento, o en un mal año de tráfico sobrevalorar el activo produciendo una sobrevaloración del mismo. En este sentido, la lógica induce a que el sistema da valoración del activo sea ajustando por el grado de desgaste / depreciación de los activos basado en las amoratizaciones contables o amortizaciones por vida útiles de los elementos. 
</t>
    </r>
    <r>
      <rPr>
        <b/>
        <sz val="12"/>
        <rFont val="Calibri Light"/>
        <family val="2"/>
        <scheme val="major"/>
      </rPr>
      <t xml:space="preserve">(iii) Dentro de los conceptos AR solicitamos la consideración de:
</t>
    </r>
    <r>
      <rPr>
        <sz val="12"/>
        <rFont val="Calibri Light"/>
        <family val="2"/>
        <scheme val="major"/>
      </rPr>
      <t xml:space="preserve">- el tercer párrafo del detalle de AR, aclarar que el escenario con Recaudo de Peaje al que se refiere es en relación al Recaudo de Peaje en Etapa de Reversión por trascurso natural del plazo del Contrato sin ningún causal de Terminación Anticipada. 
- reconocimiento de los gastos financieros por intereses del periodo PreOperativo ( Preconstrucción y Construcción) que son activados como mayor valor del Activo. 
- aclaración explícita de que no procede pagar coste de estudios al que se refiere la Sección 2.3. b) vii) en este proyecto al no haber Precalificados, ( más si se debe entener por Precalificados los Licitadores) 
- Reconocimiento no sólo el valor de los Estudios de Trazado y Diseño Geométrico y los Estudios de Detalle, si no también todo estudio necesario como puede ser estudios de tráfico, etc.
- útlimo párrafo del detalle de AR, aclarar que la mención a que los valores reconocidos no deban ser superiores al valor de mercado debe considerarse en relación al valor de mercado en el momento en que se negocio y pacto el precio del valor reconocido. 
</t>
    </r>
    <r>
      <rPr>
        <b/>
        <sz val="12"/>
        <rFont val="Calibri Light"/>
        <family val="2"/>
        <scheme val="major"/>
      </rPr>
      <t>(iv) El concepto TE parece incluir una penalización al Concesionario en causas de terminación imputables a él e incluso en causa no imputables a él como puede ser Mutuo Acuerdo.</t>
    </r>
    <r>
      <rPr>
        <sz val="12"/>
        <rFont val="Calibri Light"/>
        <family val="2"/>
        <scheme val="major"/>
      </rPr>
      <t xml:space="preserve"> Solicitamos la consideración de que el concepto que penalice al Concesionario sea únicamnete la Cláusula Penal y no introducir penalizaciones en varios elementos de las fórmulas. Asímismo parecen valores algo inferiores a un potencial WACC para este proyecto. 
</t>
    </r>
    <r>
      <rPr>
        <b/>
        <sz val="12"/>
        <rFont val="Calibri Light"/>
        <family val="2"/>
        <scheme val="major"/>
      </rPr>
      <t>(v) El concepto F no debería de aplicar por considerar que el reconocimiento debe ser el valor de la inversión, y no incluir en consideración el sistema de financiación del activo.</t>
    </r>
    <r>
      <rPr>
        <sz val="12"/>
        <rFont val="Calibri Light"/>
        <family val="2"/>
        <scheme val="major"/>
      </rPr>
      <t xml:space="preserve"> Lo que debe pagar la adminsitración es un valor justo del activo, dando igual el histórico de quien lo financion antes, valiendo exactamente lo mismo si se financió 100% con Equity o con estructuras de apalancamiento. El valor justo que no produzca infravaloración o sobrevaloración del activo es el mismo. 
</t>
    </r>
    <r>
      <rPr>
        <b/>
        <sz val="12"/>
        <rFont val="Calibri Light"/>
        <family val="2"/>
        <scheme val="major"/>
      </rPr>
      <t>(vi) En todo caso, tal y como ha quedado definido el concepto F solicitamos consideración de :</t>
    </r>
    <r>
      <rPr>
        <sz val="12"/>
        <rFont val="Calibri Light"/>
        <family val="2"/>
        <scheme val="major"/>
      </rPr>
      <t xml:space="preserve">
- </t>
    </r>
    <r>
      <rPr>
        <b/>
        <sz val="12"/>
        <rFont val="Calibri Light"/>
        <family val="2"/>
        <scheme val="major"/>
      </rPr>
      <t>El concepto E,</t>
    </r>
    <r>
      <rPr>
        <sz val="12"/>
        <rFont val="Calibri Light"/>
        <family val="2"/>
        <scheme val="major"/>
      </rPr>
      <t xml:space="preserve"> de tal manera que reconozca el Equity realmente puesto en el proyecto, sin vincular al un límite resultado del valor mínimo de Giros de Equity por el factor FAE , factor que solo es un cálculo estimativo. La justo es reflejar el valor de E para no producir una infravaloración de la cantidad F que aplica como minimo en la formula "delta"= min ( C, F) 
- </t>
    </r>
    <r>
      <rPr>
        <b/>
        <sz val="12"/>
        <rFont val="Calibri Light"/>
        <family val="2"/>
        <scheme val="major"/>
      </rPr>
      <t xml:space="preserve">El concepto U </t>
    </r>
    <r>
      <rPr>
        <sz val="12"/>
        <rFont val="Calibri Light"/>
        <family val="2"/>
        <scheme val="major"/>
      </rPr>
      <t xml:space="preserve">debería incluir los potenciales costes del derivado
- </t>
    </r>
    <r>
      <rPr>
        <b/>
        <sz val="12"/>
        <rFont val="Calibri Light"/>
        <family val="2"/>
        <scheme val="major"/>
      </rPr>
      <t xml:space="preserve">El concepto Int </t>
    </r>
    <r>
      <rPr>
        <sz val="12"/>
        <rFont val="Calibri Light"/>
        <family val="2"/>
        <scheme val="major"/>
      </rPr>
      <t xml:space="preserve">produce una infravaloración del activo. El ritmo de pago de intereses de un préstamo no tiene ninguna relación con el valor del activo y su grado de depreciación. Solo es una remuneración por el riesgo asumido en cada periodo. En ese sentido restar esos importes ajustar el concepto F por intereses pagados termina en una limitación del valor justo de Valor de la Inversión, produciendo una infravaloración del activo a favor de la ANI
- </t>
    </r>
    <r>
      <rPr>
        <b/>
        <sz val="12"/>
        <rFont val="Calibri Light"/>
        <family val="2"/>
        <scheme val="major"/>
      </rPr>
      <t>El concepto Amort</t>
    </r>
    <r>
      <rPr>
        <sz val="12"/>
        <rFont val="Calibri Light"/>
        <family val="2"/>
        <scheme val="major"/>
      </rPr>
      <t xml:space="preserve"> introduce un ajuste de F en función del grado de amortización de la deuda. Hay que tener en consideración que el mercado financiero colombiano esta recurriendo a financiaciones a corto plazo " miniperm" con bancos internacionales en algunos cierres financieros ante la imposibilidad de encontrar financiadores en COP. Estos préstamos miniperm que deben ser objeto de refinanción en el año [7-8 ] implicarían que el concepto Amort reduciría bruscamente el valor F y por tanto en concepto "delta" y el Valor de Liquidación produciendo una infravaloración del activo y un enriqucimiento a favor de la Administración Pública e imposibilitaria la refinanciación, ya que no habría un Pago por Terminación como sustento de la financiación. Conllevaría a una TErminanción de Contrato de Concesión por vencimiento de miniperm e imposiblidad de refinanciación. Nuevamente introducir la variable F demuestra que no se refleja el correcto valor del activo en el momento de Termnación del Contrato y además esta definición de F reduce la bancamibilidad del proyecto. 
Ademñas el concepto Amort reflejaría que normamelmente , cuando un proyecto sufre un deterioro de negocio, los contratos de crédito tienen ciertos mecanismos que obligan a hacer Amortizaciones adicionales a las programadas como calendario ordinario. ES muy posible que si un proyecto llega a un causal de Terminanción Anticipada, previamente haya podido sufrir Amortizaciones de Deuda aceleradas, y por lo tanto se destrozaría el valor F y en consecuencia el valor "delta" y el Valor de Liquidación. 
- </t>
    </r>
    <r>
      <rPr>
        <b/>
        <sz val="12"/>
        <rFont val="Calibri Light"/>
        <family val="2"/>
        <scheme val="major"/>
      </rPr>
      <t xml:space="preserve">El concepto Div </t>
    </r>
    <r>
      <rPr>
        <sz val="12"/>
        <rFont val="Calibri Light"/>
        <family val="2"/>
        <scheme val="major"/>
      </rPr>
      <t xml:space="preserve">produce una infravaloración del activo. El ritmo de pago de dividendos / repagos o intereses deuda subordinada no tienen una relación con el activo y su grado de depreciación. Es una remunación por el riesgo asumido en cada periodo. Restar esos importes ajusta el concepto F, infravalorando el activo a favor de la Administración Pública. Además el criterio de establecer una fórmula fija de reconocmiento de Dividendos en caso de no contar con soportes suficientes no se respalda ya que en las obligaciones de información a la ANI se considera la obligación de entregar EStados Financieros Auditados donde se reflejan los dividendos y pagos a accionistas y además esos pagos se van a realizar mediante la Fiducia y el Patrimonio Autónomo.  
- </t>
    </r>
    <r>
      <rPr>
        <b/>
        <sz val="12"/>
        <rFont val="Calibri Light"/>
        <family val="2"/>
        <scheme val="major"/>
      </rPr>
      <t>El concepto TE</t>
    </r>
    <r>
      <rPr>
        <sz val="12"/>
        <rFont val="Calibri Light"/>
        <family val="2"/>
        <scheme val="major"/>
      </rPr>
      <t xml:space="preserve"> parece incluir una penalización al Concesionario en causas de terminación imputables a él e incluso en causa no imputables a él como puede ser Mutuo Acuerdo. Solicitamos la consideración de que el concepto que penalice al Concesionario sea únicamnete la Cláusula Penal y no introducir penalizaciones en varios elementos de las fórmulas. Asímismo parece valores algo inferiores a un potencial WACC para este proyecto. </t>
    </r>
  </si>
  <si>
    <r>
      <t xml:space="preserve">En la Parte General numeral 18.3 se definen las diferentes fórmulas de terminación del contrato en cada una de las etapas del proyecto. Tomando la fórmula en el apartado (e) del numeral mencionado como ejemplo, se encuentra el valor F descrito como: 
“Valor acumulado de las fuentes de recursos admisibles, expresado en Pesos corrientes del mes en que se suscriba el Acta de Liquidación”. 
Dentro del cálculo de este valor F se encuentra el valor E, descrito como: 
“Valor de los Giros de Equity expresados en Pesos corrientes, siempre que hayan sido efectivamente desembolsados por parte del Concesionario en las condiciones que establece el Contrato. El valor acumulado hasta el mes h, no podrá superar el valor que resulte de multiplicar la suma del total de los montos mínimos de los Giros de Equity previstos en la Parte Especial por el factor FAE que se establece en la Parte Especial.”
Se entiende que el factor FAE (definido como 1.0526 en el contrato Parte Especial) se ha de aplicar solamente sobre los montos de Giros de Equity descritos en el Contrato Parte Especial, esto va a limitar la estructura de capital del Proyecto ya que la fórmula de liquidación obligará al concesionario a emplear una estructura lo más parecida a la empleada durante la estructuración del Contrato. Lo cual reduce las posibilidades de inversión y financiamiento ya que limita la ingeniería financiera del Proyecto.
</t>
    </r>
    <r>
      <rPr>
        <b/>
        <sz val="12"/>
        <rFont val="Calibri Light"/>
        <family val="2"/>
        <scheme val="major"/>
      </rPr>
      <t>Se propone eliminar el factor FAE para 1) permitir una pluralidad de opciones de estructuras de capital que permitan el desarrollo eficiente y correcto del Proyecto y 2) se reconozca en el factor E los Giros de Equity reales y efectivamente desembolsados por parte del concesionario.</t>
    </r>
  </si>
  <si>
    <r>
      <t>Sección 4.5(i) Parte Especial - Subcuenta Contingencias 
•	No es clara la forma cómo se debe fondear esta subcuenta. Agradecemos aclarar.
•	Ahora bien, debido a que el fondeo de esta subcuenta depende exclusivamente del Recaudo de Peaje, ¿significa que cualquier disminución en el tráfico disminuye a su vez la capacidad de la ANI de responder por los riesgos a su cargo? Este tratamiento pareciera no estar alineado con lo dispuesto en la Ley 448 de 1998 y en el Decreto 423 de 2001. Tales normas obligan a las entidades que sumen obligaciones contingentes a valorar las mismas y a aportar al Fondo de Contingencias los valores requeridos para hacer frente a las mismas. Sin embargo, bajo el modelo propuesto, este fondeo no estaría asegurado ya que el mismo dependería exclusivamente del Recaudo de Peaje.
•	En adición, les agradecemos explicar si la metodología propuesta en esta sección cumple con lo dispuesto en el artículo 7 del Decreto 423 el cual determina: “</t>
    </r>
    <r>
      <rPr>
        <i/>
        <sz val="12"/>
        <rFont val="Calibri Light"/>
        <family val="2"/>
        <scheme val="major"/>
      </rPr>
      <t xml:space="preserve">[a] partir de la vigencia del presente decreto, los organismos sometidos al régimen de contingencias de las entidades estatales, deberán manejar a través del Fondo de contingencias contractuales de las entidades estatales, </t>
    </r>
    <r>
      <rPr>
        <b/>
        <i/>
        <sz val="12"/>
        <rFont val="Calibri Light"/>
        <family val="2"/>
        <scheme val="major"/>
      </rPr>
      <t>la totalidad de los recursos que apropien en sus presupuesto</t>
    </r>
    <r>
      <rPr>
        <i/>
        <sz val="12"/>
        <rFont val="Calibri Light"/>
        <family val="2"/>
        <scheme val="major"/>
      </rPr>
      <t>s, para el cumplimiento de obligaciones contingentes contractuales derivadas de los riesgos comprendidos dentro del área de riesgos definida en el artículo 45 del presente decret</t>
    </r>
    <r>
      <rPr>
        <sz val="12"/>
        <rFont val="Calibri Light"/>
        <family val="2"/>
        <scheme val="major"/>
      </rPr>
      <t>o”. Lo anterior, ya que la norma pareciera establecer que los recursos que se destinan al Fondo de Contingencias deben ser recursos presupuestales y no recursos derivados de la explotación económica de la infraestructura. En relación con lo anterior, debe recordarse que en virtud del artículo 26 de la Ley 1508 "</t>
    </r>
    <r>
      <rPr>
        <i/>
        <sz val="12"/>
        <rFont val="Calibri Light"/>
        <family val="2"/>
        <scheme val="major"/>
      </rPr>
      <t xml:space="preserve">[l]os recursos que se generen por la explotación de la infraestructura o la prestación de los servicios públicos en desarrollo de Proyectos de Asociación Público Privada, </t>
    </r>
    <r>
      <rPr>
        <b/>
        <i/>
        <sz val="12"/>
        <rFont val="Calibri Light"/>
        <family val="2"/>
        <scheme val="major"/>
      </rPr>
      <t>no se contabilizarán en el Presupuesto General de la Nación, durante la ejecución del contrato.</t>
    </r>
    <r>
      <rPr>
        <sz val="12"/>
        <rFont val="Calibri Light"/>
        <family val="2"/>
        <scheme val="major"/>
      </rPr>
      <t xml:space="preserve">”
•	Por otra parte, la metodología propuesta en esta sección puede traer serios problemas para la financiación del Proyecto. Si los prestamistas no ven de manera clara la suficiencia del aporte público al Fondo de Contingencias para este proyecto, con fuente presupuestal, resultará muy difícil conseguir financiación para el Proyecto. Por ejemplo, la redacción del siguiente romanito no otorga certeza acerca de la suficiencia de los recursos: “(vi) En el evento que no existan recursos suficientes en la Subcuenta Contingencias, la ANI podrá autorizar el traslado desde la Subcuenta Excedentes ANI a la Subcuenta Contingencias para completar cada aporte del plan de aportes de contingencias vigente.” 
•	Por último, consideramos se le debe dar prioridad a la cobertura de las contingencias de este Proyecto frente al fondeo de los ingresos de otro u otros proyectos. </t>
    </r>
  </si>
  <si>
    <r>
      <t>Observación</t>
    </r>
    <r>
      <rPr>
        <sz val="12"/>
        <rFont val="Calibri Light"/>
        <family val="2"/>
        <scheme val="major"/>
      </rPr>
      <t>: Al respecto de este aparte, es importante que la Entidad Fije que la Orden de Inicio se pueda emitir siempre que la oposición se encuentre sin los sustentos del caso que permitan esgrimir el rechazo del Concesionario para aceptar la firma del documento de Acta de Inicio, esto es, que no sea unilateral y sin sustento alguno la Orden de Inicio, pues pueden exister razones de peso que hayan impedido suscribir el Acta de Inicio.</t>
    </r>
  </si>
  <si>
    <r>
      <t>Observación</t>
    </r>
    <r>
      <rPr>
        <sz val="12"/>
        <rFont val="Calibri Light"/>
        <family val="2"/>
        <scheme val="major"/>
      </rPr>
      <t>: No se puede tener como requisito de firma del Acta de Inicio la recepción de cada uno de los recursos en el PA, comoquiera que éste se fondea según los términos del 3.13 y 3.14 del Contrato Parte General, y su incumplimiento acarrea una sanción, pero no se puede tener como un requerimiento propiamente de la firma de Acta de Inicio, pues hace que varíen los términos contemplados en el Contrato.</t>
    </r>
  </si>
  <si>
    <r>
      <t>Observación</t>
    </r>
    <r>
      <rPr>
        <sz val="12"/>
        <rFont val="Calibri Light"/>
        <family val="2"/>
        <scheme val="major"/>
      </rPr>
      <t>: La condición para que se pueda proferir la Orden de Inicio, debe encontrarse ajustada a que el Concesionario se oponga a la firma del Acta de Inicio sin justificación alguna para su firma.</t>
    </r>
  </si>
  <si>
    <r>
      <t>Observación</t>
    </r>
    <r>
      <rPr>
        <sz val="12"/>
        <rFont val="Calibri Light"/>
        <family val="2"/>
        <scheme val="major"/>
      </rPr>
      <t>: Para este aparte, merece la pena que sea aclarado que este tipo de manifestación no puede operar de cara a la atención del COVID-19.</t>
    </r>
  </si>
  <si>
    <r>
      <t>Observación</t>
    </r>
    <r>
      <rPr>
        <sz val="12"/>
        <rFont val="Calibri Light"/>
        <family val="2"/>
        <scheme val="major"/>
      </rPr>
      <t>: Se sugiere la NO exigencia de la entrega de los posibles acuerdos internos, comoquiera que No es viable la obligatoriedad en la remisión de acuerdos privados y/o acuerdos de accionistas, teniendo encuentra que los mismos son documentos que cuentan con reserva y únicamente competen a los socios de la empresa, y por lo tanto, será información que es exclusiva de los mismos. Por lo anterior, cualquier multa o sanción por la no presentación de este tipo de información se encuentra viciada toda vez que se trata de la exigencia de aspectos que no son indispensables para los fines que requiera la entidad. Lo anterior se puede corroborar con los informes semestrales a que se ha hecho mención.</t>
    </r>
  </si>
  <si>
    <r>
      <t>Observación</t>
    </r>
    <r>
      <rPr>
        <sz val="12"/>
        <rFont val="Calibri Light"/>
        <family val="2"/>
        <scheme val="major"/>
      </rPr>
      <t>: Teniendo en cuenta la carga que se pretende tiene por finalidad que la ANI tenga conocimiento de la existencia de posibles situaciones particulares de los socios o miembros de la sociedad Concesionaria, que a su turno puedan repercutir en el normal avance del contrato, la misma no puede ir en contra de diferentes principios constitucionales como son el debido proceso, derecho de defensa, y sobre todo el concerniente con la reserva y presunción de inocencia; principios estos que a su turno resultarían vulnerados por parte de la ANI, toda vez que el simple hecho de la existencia de una investigación, no implica per se que la sociedad deba infórmale a la entidad la existencia de la misma.</t>
    </r>
  </si>
  <si>
    <r>
      <t>Observación</t>
    </r>
    <r>
      <rPr>
        <sz val="12"/>
        <rFont val="Calibri Light"/>
        <family val="2"/>
        <scheme val="major"/>
      </rPr>
      <t>: Demostrar la elusión a que hace mención el documento, debe tener un tiempo para que la ANI, se manifieste a efectos que el Concesionario sepa los procedimientos y/o tiempos que debe enfrentar para atender el caso.</t>
    </r>
  </si>
  <si>
    <r>
      <t>Observación</t>
    </r>
    <r>
      <rPr>
        <sz val="12"/>
        <rFont val="Calibri Light"/>
        <family val="2"/>
        <scheme val="major"/>
      </rPr>
      <t xml:space="preserve">: Teniendo en cuenta lo mencionado en la Sección en comento, es importante que se fijen DR para el proyecto. </t>
    </r>
  </si>
  <si>
    <r>
      <t>Observación</t>
    </r>
    <r>
      <rPr>
        <sz val="12"/>
        <rFont val="Calibri Light"/>
        <family val="2"/>
        <scheme val="major"/>
      </rPr>
      <t>: Teniendo en cuenta la necesidad de cumplir las cargas por parte de la ANI, es importante que cualquier valor de menor Recaudo de Peaje, se pueda complementar con la Subcuenta de excedentes ANI, de Depósito Especial, o en su defecto Contingencias.</t>
    </r>
  </si>
  <si>
    <r>
      <t>Observación</t>
    </r>
    <r>
      <rPr>
        <sz val="12"/>
        <rFont val="Calibri Light"/>
        <family val="2"/>
        <scheme val="major"/>
      </rPr>
      <t>: La fórmula utilizada debe ser bilateral para las partes.</t>
    </r>
  </si>
  <si>
    <r>
      <t>Observación</t>
    </r>
    <r>
      <rPr>
        <sz val="12"/>
        <rFont val="Calibri Light"/>
        <family val="2"/>
        <scheme val="major"/>
      </rPr>
      <t>: El termino aquí previsto deber igual al contemplado en el (iv) anterior, es decir 180 días.</t>
    </r>
  </si>
  <si>
    <r>
      <t>Observación</t>
    </r>
    <r>
      <rPr>
        <sz val="12"/>
        <rFont val="Calibri Light"/>
        <family val="2"/>
        <scheme val="major"/>
      </rPr>
      <t>: En este caso, además de transparente y necesario, se sugiere que los costos de la apertura en la nueva Fiduciaria y de cierre de la anterior, cuando se trate de requerimientos injustificados o determinaciones unilaterales de la ANI, sean atribuibles a aquella.</t>
    </r>
  </si>
  <si>
    <r>
      <t>Observación</t>
    </r>
    <r>
      <rPr>
        <sz val="12"/>
        <rFont val="Calibri Light"/>
        <family val="2"/>
        <scheme val="major"/>
      </rPr>
      <t>: La totalidad de costos asociados a la protocolización y trámites precedentes a dicho acto, igualmente deben ser reconocidos en los términos previstos en la Sección 8.1 de la Parte General.</t>
    </r>
  </si>
  <si>
    <r>
      <t>Observación</t>
    </r>
    <r>
      <rPr>
        <sz val="12"/>
        <rFont val="Calibri Light"/>
        <family val="2"/>
        <scheme val="major"/>
      </rPr>
      <t xml:space="preserve">: ¿Los traslados a que hace mención este aparte, tienen por finalidad la ejecución del proyecto de concesión? No es claro el destino que se pretende dar a los mencionados recursos. </t>
    </r>
  </si>
  <si>
    <r>
      <t>Observación</t>
    </r>
    <r>
      <rPr>
        <sz val="12"/>
        <rFont val="Calibri Light"/>
        <family val="2"/>
        <scheme val="major"/>
      </rPr>
      <t>: Cuando se trate de una situación que derive de un EER, al no ser atribuible al Concesionario el mismo, tendría mayor sentido que no se deba seguir por ese periodo con el fondeo.</t>
    </r>
  </si>
  <si>
    <r>
      <t>Observación</t>
    </r>
    <r>
      <rPr>
        <sz val="12"/>
        <rFont val="Calibri Light"/>
        <family val="2"/>
        <scheme val="major"/>
      </rPr>
      <t>: Este dinero se debería aportar de otras subcuentas de la ANI, pero no de giro de Equity y adicionales, toda vez que los montos y estructuración de los mismos fueron señalados por la ANI, y tal carga no puede trasladarse al Concesionario de manera unilateral y aún sin unas condiciones que permitan limitar tal riesgo.</t>
    </r>
  </si>
  <si>
    <r>
      <t>Observación</t>
    </r>
    <r>
      <rPr>
        <sz val="12"/>
        <rFont val="Calibri Light"/>
        <family val="2"/>
        <scheme val="major"/>
      </rPr>
      <t>: La condición que se pretende resulta completamente unilateral, así como quebranta diferentes principios que deben gobernar para el libre acceso a la administración de justicia, tal es el caso que el Concesionario se vea en la obligación de realizar un pago para que la ANI pueda cancelar los costos de los Árbitros o Amigables Componedores, pero a su turno que dichos recursos no sirvan para que se cancelen los del Concesionario, hacen que además de no contar con la igualdad del caso, se plantee que el Concesionario deba realizar pagos adicionales para velar por salvaguardar sus intereses.</t>
    </r>
  </si>
  <si>
    <r>
      <t>Observación</t>
    </r>
    <r>
      <rPr>
        <sz val="12"/>
        <rFont val="Calibri Light"/>
        <family val="2"/>
        <scheme val="major"/>
      </rPr>
      <t>: Este tipo de requerimiento debe ser extensivo para cualquier decisión que se tome.</t>
    </r>
  </si>
  <si>
    <r>
      <t>Observación</t>
    </r>
    <r>
      <rPr>
        <sz val="12"/>
        <rFont val="Calibri Light"/>
        <family val="2"/>
        <scheme val="major"/>
      </rPr>
      <t xml:space="preserve">: Tal como fue advertido en las líneas que preceden, resulta completamente viable esta disposición siempre que se ajuste el pago del amigable componedor en lo que concierne al Concesionario. </t>
    </r>
  </si>
  <si>
    <r>
      <t>Observación</t>
    </r>
    <r>
      <rPr>
        <sz val="12"/>
        <rFont val="Calibri Light"/>
        <family val="2"/>
        <scheme val="major"/>
      </rPr>
      <t>: Con la única finalidad de evitar subjetividades e indefiniciones, debe regularse el contenido de los soportes que demanda la entidad, así como un plazo determinado en que se resuelva este asunto. Lo anterior, teniendo en cuenta en que la forma en que se encuentra redactado puede generar indefiniciones que impacten negativamente el proyecto.</t>
    </r>
  </si>
  <si>
    <r>
      <t>Observación</t>
    </r>
    <r>
      <rPr>
        <sz val="12"/>
        <rFont val="Calibri Light"/>
        <family val="2"/>
        <scheme val="major"/>
      </rPr>
      <t>: Se tiene que un plazo de treinta (30) días es más que suficiente y razonable para prever la necesidad de solicitar el plazo adicional.</t>
    </r>
  </si>
  <si>
    <r>
      <t>Observación</t>
    </r>
    <r>
      <rPr>
        <sz val="12"/>
        <rFont val="Calibri Light"/>
        <family val="2"/>
        <scheme val="major"/>
      </rPr>
      <t>: Cuando no se utilice el plazo de no devolverse los recursos entregados, toda vez que no proceder de esa manera, puede haber un enriquecimiento sin justa causa por parte de la ANI, por consiguiente deberían devolverse.</t>
    </r>
  </si>
  <si>
    <r>
      <t>Observación</t>
    </r>
    <r>
      <rPr>
        <sz val="12"/>
        <rFont val="Calibri Light"/>
        <family val="2"/>
        <scheme val="major"/>
      </rPr>
      <t>: ¿Cuál es el concepto de mayores costos? En atención al aparte, es necesario que se fije un porcentaje o medida objetiva.</t>
    </r>
  </si>
  <si>
    <r>
      <t>Observación</t>
    </r>
    <r>
      <rPr>
        <sz val="12"/>
        <rFont val="Calibri Light"/>
        <family val="2"/>
        <scheme val="major"/>
      </rPr>
      <t>: Es indispensable que se aclare que en el evento en que el ajuste al Estudio de Factibilidad de Trazado y Diseño Geométrico se haya presentado con la finalidad de generar un mayor beneficio a la ANI, el mismo no deberá ser asumido por el Concesionario.</t>
    </r>
  </si>
  <si>
    <r>
      <t>Observación</t>
    </r>
    <r>
      <rPr>
        <sz val="12"/>
        <rFont val="Calibri Light"/>
        <family val="2"/>
        <scheme val="major"/>
      </rPr>
      <t>: Este término es muy largo, lo que hace que resulte más gravosa la situación para el Concesionario, por lo tanto, se sugieren diez (10) Días.</t>
    </r>
  </si>
  <si>
    <r>
      <t>Observación</t>
    </r>
    <r>
      <rPr>
        <sz val="12"/>
        <rFont val="Calibri Light"/>
        <family val="2"/>
        <scheme val="major"/>
      </rPr>
      <t>: Sobre el particular, es importante mencionar que en el evento en que se presenten dilaciones en el pago de las cuentas de cobro o documentos correspondientes, debe proceder la ANI con el respectivo reconocimiento de intereses, tal como se encuentra contemplado en el artículo 884 del Código de Comercio.</t>
    </r>
  </si>
  <si>
    <r>
      <t>Observación</t>
    </r>
    <r>
      <rPr>
        <sz val="12"/>
        <rFont val="Calibri Light"/>
        <family val="2"/>
        <scheme val="major"/>
      </rPr>
      <t>: Debe aclararse por parte de la ANI, si las sumas de dinero o utilización de los recursos de la Subcuenta de Compensaciones Socioambientales, abarca el cumplimiento de cualquier actividad que ordene en la resolución la autoridad ambiental.</t>
    </r>
  </si>
  <si>
    <r>
      <t>Observación</t>
    </r>
    <r>
      <rPr>
        <sz val="12"/>
        <rFont val="Calibri Light"/>
        <family val="2"/>
        <scheme val="major"/>
      </rPr>
      <t>: La redacción presentada tiene sentido, siempre se deba interpretarque el ajuste tenga origen en una situación imputable al Concesionario y no tenga origen por un beneficiario que se le otorgará a la ANI. Popr favor aclarar.</t>
    </r>
  </si>
  <si>
    <r>
      <t>Observación</t>
    </r>
    <r>
      <rPr>
        <sz val="12"/>
        <rFont val="Calibri Light"/>
        <family val="2"/>
        <scheme val="major"/>
      </rPr>
      <t>: ¿Esto prevé que se puede salir de la zona de utilidad pública?</t>
    </r>
  </si>
  <si>
    <r>
      <t>Observación</t>
    </r>
    <r>
      <rPr>
        <sz val="12"/>
        <rFont val="Calibri Light"/>
        <family val="2"/>
        <scheme val="major"/>
      </rPr>
      <t>: Con la finalidad de garantizar los derechos que le asisten al Concesionario, se sugiere la inclusión del siguiente literal, así:</t>
    </r>
  </si>
  <si>
    <r>
      <t>Observación</t>
    </r>
    <r>
      <rPr>
        <sz val="12"/>
        <rFont val="Calibri Light"/>
        <family val="2"/>
        <scheme val="major"/>
      </rPr>
      <t>: Teniendo en cuenta la naturaleza de las multas, el cobro de los intereses resulta además de oneroso para el Concesionario, un posible instrumento que llegue a ser utilizado para obtener recursos adicionales sin un adecuado sustento. Por lo tanto, se sugiere que no se contemplen intereses por pago de multas, más cuando la entidad cuenta con herramientas para su cobro directo.</t>
    </r>
  </si>
  <si>
    <r>
      <t>Observación</t>
    </r>
    <r>
      <rPr>
        <sz val="12"/>
        <rFont val="Calibri Light"/>
        <family val="2"/>
        <scheme val="major"/>
      </rPr>
      <t>: Con la única finalidad de evitar tener incertidumbres con las aseguradoras, así como para clarificar la situación, se torna necesario que se pueda otorgar la garantía por periodos parciales de ser el caso; situación ésta que a su turno garantizará que los amparos se otorguen de manera adecuada.</t>
    </r>
  </si>
  <si>
    <r>
      <t>Observación</t>
    </r>
    <r>
      <rPr>
        <sz val="12"/>
        <rFont val="Calibri Light"/>
        <family val="2"/>
        <scheme val="major"/>
      </rPr>
      <t>: El análisis de la pérdida máxima probable debería ser el entregado por el concesionario y no el que elabore directamente la entidad o el Estado, puesto que el conocedor de la misma es el Concesionario.</t>
    </r>
  </si>
  <si>
    <r>
      <t xml:space="preserve">SECCION 14.2 (c) (i) “Dentro de los diez (10) Días Hábiles siguientes a (1.) la ocurrencia de un Evento Eximente de Responsabilidad, (2.) el momento en que se conozca que un evento ocurrido previamente generó una afectación sustancial en la ejecución del Contrato, de tal forma que se configura un Evento Eximente de Responsabilidad o (3) la fecha en que se restablezcan las comunicaciones si hubieren sido afectadas, la Parte afectada en el cumplimiento de sus obligaciones por el Evento Eximente de Responsabilidad (la “Parte Afectada”) le Notificará a la otra Parte acerca de la ocurrencia del Evento Eximente de Responsabilidad, </t>
    </r>
    <r>
      <rPr>
        <b/>
        <i/>
        <sz val="12"/>
        <rFont val="Calibri Light"/>
        <family val="2"/>
        <scheme val="major"/>
      </rPr>
      <t>las obligaciones afectadas, incluyendo</t>
    </r>
    <r>
      <rPr>
        <sz val="12"/>
        <rFont val="Calibri Light"/>
        <family val="2"/>
        <scheme val="major"/>
      </rPr>
      <t xml:space="preserve"> (1) la información y demás detalles que fueran pertinentes, (2) un informe en el que de manera detallada se demuestre la debida diligencia de la Parte Afectada y que la ocurrencia del Evento Eximente de Responsabilidad no correspondió a un hecho a ella imputable y (3) un estimado preliminar del tiempo durante el cual la Parte Afectada se verá afectada. A partir de la fecha de ocurrencia del Evento Eximente de Responsabilidad, la duración del período durante el cual la Parte Afectada se encuentre imposibilitada para cumplir con sus obligaciones será referido como “Período Especial”.</t>
    </r>
  </si>
  <si>
    <r>
      <t>Observación</t>
    </r>
    <r>
      <rPr>
        <sz val="12"/>
        <rFont val="Calibri Light"/>
        <family val="2"/>
        <scheme val="major"/>
      </rPr>
      <t>: En el aparte que se encuentre resaltado y en negrilla de la cita cláusula, es importante que se incluya que “siempre que sea practico y posible”, comoquiera que en el trámite del aviso respectivo del EER se tienen algunos aspectos que en los tiempos determinados por el Contrato, resulta imposibles de obtener la información.</t>
    </r>
  </si>
  <si>
    <r>
      <t>Observación</t>
    </r>
    <r>
      <rPr>
        <sz val="12"/>
        <rFont val="Calibri Light"/>
        <family val="2"/>
        <scheme val="major"/>
      </rPr>
      <t>: El plazo de que trata esta Sección se debe entender como ¿el plazo para emitir el aviso para un EER?</t>
    </r>
  </si>
  <si>
    <r>
      <t>Observación</t>
    </r>
    <r>
      <rPr>
        <sz val="12"/>
        <rFont val="Calibri Light"/>
        <family val="2"/>
        <scheme val="major"/>
      </rPr>
      <t>: El término de treinta (30) días es un plazo muy amplio para determinar si se acepta o no un EER, de ahí la necesidad que se mantengan los quince (15) días para su definición, a efectos que el trámite y gestión del proyecto sea expedito.</t>
    </r>
  </si>
  <si>
    <r>
      <t>Observación</t>
    </r>
    <r>
      <rPr>
        <sz val="12"/>
        <rFont val="Calibri Light"/>
        <family val="2"/>
        <scheme val="major"/>
      </rPr>
      <t xml:space="preserve">: Al ser un EER que no es atribuible al Concesionario, los costos de las prórrogas de las vigencias de las garantías no deben ser asumidas por el Concesionario, sino que estos se deben poder extraer del Proyecto mismo. </t>
    </r>
  </si>
  <si>
    <r>
      <t>Observación</t>
    </r>
    <r>
      <rPr>
        <sz val="12"/>
        <rFont val="Calibri Light"/>
        <family val="2"/>
        <scheme val="major"/>
      </rPr>
      <t>: Falta regular una posible prórroga de un EER.</t>
    </r>
  </si>
  <si>
    <r>
      <t>Observación</t>
    </r>
    <r>
      <rPr>
        <sz val="12"/>
        <rFont val="Calibri Light"/>
        <family val="2"/>
        <scheme val="major"/>
      </rPr>
      <t>: Al excluir profesionales en derecho, hace que la decisión no pueda ser en derecho como se dice en literal b anterior. Debe permitirse que se seleccione un abogado por parte de las Partes y no restringir ese derecho a que el abogado sea el que exclusivamente señale la Cámara de Comercio.</t>
    </r>
  </si>
  <si>
    <r>
      <t>Observación</t>
    </r>
    <r>
      <rPr>
        <sz val="12"/>
        <rFont val="Calibri Light"/>
        <family val="2"/>
        <scheme val="major"/>
      </rPr>
      <t>: Se debe complementar con que esas decisiones son vinculantes y prestan merito ejecutivo para las Partes, por lo que éstas No pueden ser desconocidas, salvo lo correspondiente las causales que faculten a que se pueda alegar la decisión de cara a un Tribunal de Arbitramento.</t>
    </r>
  </si>
  <si>
    <r>
      <t>Observación</t>
    </r>
    <r>
      <rPr>
        <sz val="12"/>
        <rFont val="Calibri Light"/>
        <family val="2"/>
        <scheme val="major"/>
      </rPr>
      <t>: ¿Existe algún tipo de regulación en el literal? De no encontrarse la misma, debe ser corregida la numeración.</t>
    </r>
  </si>
  <si>
    <r>
      <t>Observación</t>
    </r>
    <r>
      <rPr>
        <sz val="12"/>
        <rFont val="Calibri Light"/>
        <family val="2"/>
        <scheme val="major"/>
      </rPr>
      <t xml:space="preserve">: Teniendo en cuenta que el Contrato no prevé un término en que se fije y/o determine el procedimiento en que se fijen las condiciones puntuales para obtener el acuerdo de las actividades de obras menores a desarrollarse, las mismas deben ser esclarecidas para que se tenga certeza de los procedimientos. </t>
    </r>
  </si>
  <si>
    <r>
      <t>Observación</t>
    </r>
    <r>
      <rPr>
        <sz val="12"/>
        <rFont val="Calibri Light"/>
        <family val="2"/>
        <scheme val="major"/>
      </rPr>
      <t>: Solicitamos confirmar si el tramo Intersección Acceso Sur Palmira – Intersección Cali-Palmira 3 (Palmira-El Cerrito), el cual se supone que hace parte de la UF2 está incluido en el alcance del proyecto, toda vez que la Longitud descrita en la Tabla 5 de 59,91 km, no corresponde al tramo: Santander de Quilichao – Ye de Villa Rica – Intersección Candelaria – Intersección Acceso Sur Palmira – Intersección Cali-Palmira 3 (Palmira-El Cerrito)</t>
    </r>
  </si>
  <si>
    <r>
      <t>Observación</t>
    </r>
    <r>
      <rPr>
        <sz val="12"/>
        <rFont val="Calibri Light"/>
        <family val="2"/>
        <scheme val="major"/>
      </rPr>
      <t>: En ese sentido, agradecemos informar el inventario de Paraderos existentes, la ubicación, el estado y describir el Alcance de la operación y Mantenimiento de los mismos.</t>
    </r>
  </si>
  <si>
    <r>
      <t xml:space="preserve">Dentro de las intervenciones previstaspara el Tramo Cali - Palmira se encuentran: Puesta a Punto, </t>
    </r>
    <r>
      <rPr>
        <b/>
        <sz val="12"/>
        <rFont val="Calibri Light"/>
        <family val="2"/>
        <scheme val="major"/>
      </rPr>
      <t>Iluminación</t>
    </r>
    <r>
      <rPr>
        <sz val="12"/>
        <rFont val="Calibri Light"/>
        <family val="2"/>
        <scheme val="major"/>
      </rPr>
      <t xml:space="preserve"> y Mantenimiento Periódico.</t>
    </r>
  </si>
  <si>
    <r>
      <t>El numeral 3.1.25 del Pliego de Condiciones tiene una referencia al “</t>
    </r>
    <r>
      <rPr>
        <i/>
        <sz val="12"/>
        <rFont val="Calibri Light"/>
        <family val="2"/>
        <scheme val="major"/>
      </rPr>
      <t xml:space="preserve">valor presente de la Fecha Estimada de Inicio y expresado en Pesos del Mes de Referencia” </t>
    </r>
    <r>
      <rPr>
        <sz val="12"/>
        <rFont val="Calibri Light"/>
        <family val="2"/>
        <scheme val="major"/>
      </rPr>
      <t xml:space="preserve">mientras que el Anexo 13 no hace referencia a la “Fecha Estimada de Inicio” y simplemente señala que el valor de la oferta económica se debe expresar </t>
    </r>
    <r>
      <rPr>
        <i/>
        <sz val="12"/>
        <rFont val="Calibri Light"/>
        <family val="2"/>
        <scheme val="major"/>
      </rPr>
      <t>“en Pesos Constantes del 31 de Diciembre de 2018”</t>
    </r>
    <r>
      <rPr>
        <sz val="12"/>
        <rFont val="Calibri Light"/>
        <family val="2"/>
        <scheme val="major"/>
      </rPr>
      <t>. Al respecto agradecemos confirme/aclare si el valor que deben incluir los proponentes en el Anexo 13 es un valor presente a la Fecha Estimada de Inicio y en Pesos del Mes de Referencia.</t>
    </r>
  </si>
  <si>
    <r>
      <t>El numeral 3.4 señala que en la carta de presentación de la oferta se deberán hacer las declaraciones que se señalan en dicho numeral. Sin embargo, el texto de esas declaraciones difiere del texto del Anexo 2. Por ejemplo, en el numeral 3.4 del Pliego de Condiciones se observa una referencia a</t>
    </r>
    <r>
      <rPr>
        <i/>
        <sz val="12"/>
        <rFont val="Calibri Light"/>
        <family val="2"/>
        <scheme val="major"/>
      </rPr>
      <t xml:space="preserve"> “ni su equipo de trabajo” </t>
    </r>
    <r>
      <rPr>
        <sz val="12"/>
        <rFont val="Calibri Light"/>
        <family val="2"/>
        <scheme val="major"/>
      </rPr>
      <t>concepto que no contiene el Anexo 2- Carta de Presentación de la Propuesta.</t>
    </r>
  </si>
  <si>
    <r>
      <t xml:space="preserve">Lo anterior es fundamental toda vez que el numeral 4.1.6 del Pliego establece que </t>
    </r>
    <r>
      <rPr>
        <i/>
        <sz val="12"/>
        <rFont val="Calibri Light"/>
        <family val="2"/>
        <scheme val="major"/>
      </rPr>
      <t xml:space="preserve">“La Carta de Presentación de la Oferta deberá ajustarse en un todo al Anexo 2 del presente Pliego de Condiciones” </t>
    </r>
    <r>
      <rPr>
        <sz val="12"/>
        <rFont val="Calibri Light"/>
        <family val="2"/>
        <scheme val="major"/>
      </rPr>
      <t>con lo cual no debería generarse dudas de cuál es el contenido de dicho anexo.</t>
    </r>
  </si>
  <si>
    <r>
      <t xml:space="preserve">La parte final del numeral 4.1.3 (d) del Pliego de Condiciones establece </t>
    </r>
    <r>
      <rPr>
        <i/>
        <sz val="12"/>
        <rFont val="Calibri Light"/>
        <family val="2"/>
        <scheme val="major"/>
      </rPr>
      <t>“Para estos efectos, la autorización se entiende contenida dentro de las autorizaciones generales otorgadas para comprometer a la sociedad”</t>
    </r>
    <r>
      <rPr>
        <sz val="12"/>
        <rFont val="Calibri Light"/>
        <family val="2"/>
        <scheme val="major"/>
      </rPr>
      <t xml:space="preserve">. </t>
    </r>
  </si>
  <si>
    <r>
      <t xml:space="preserve">Sírvase confirmar que la parte final del numeral 4.1.9 del Pliego de Condiciones que señala </t>
    </r>
    <r>
      <rPr>
        <i/>
        <sz val="12"/>
        <rFont val="Calibri Light"/>
        <family val="2"/>
        <scheme val="major"/>
      </rPr>
      <t xml:space="preserve">“Cada persona puede firmar el Pacto de Transparencia de forma individual o todos los obligados pueden firmar y presentar una única comunicación” </t>
    </r>
    <r>
      <rPr>
        <sz val="12"/>
        <rFont val="Calibri Light"/>
        <family val="2"/>
        <scheme val="major"/>
      </rPr>
      <t>aplica para estructuras plurales conformadas por personas jurídicas, de tal manera que los miembros (personas jurídicas) de una estructura plural firmen individualmente el Pacto de Transparencia.</t>
    </r>
  </si>
  <si>
    <r>
      <t>En relación con el tercer párrafo de este numeral que establece “</t>
    </r>
    <r>
      <rPr>
        <i/>
        <sz val="12"/>
        <rFont val="Calibri Light"/>
        <family val="2"/>
        <scheme val="major"/>
      </rPr>
      <t xml:space="preserve">Con la suscripción del Anexo 10A, el Representante Legal reconoce que quien actúa de conformidad con lo señalado en los numerales (ii) y (iii) anteriores han sido designados por el órgano social competente para acreditar la información financiera y tienen vínculo contractual con la sociedad”. </t>
    </r>
    <r>
      <rPr>
        <sz val="12"/>
        <rFont val="Calibri Light"/>
        <family val="2"/>
        <scheme val="major"/>
      </rPr>
      <t xml:space="preserve"> Sírvase confirmar nuestro entendimiento en el sentido que no se debe entregar documento (s) que evidencien lo anterior.</t>
    </r>
  </si>
  <si>
    <r>
      <t>En relación con el cuarto párrafo de este numeral que establece “</t>
    </r>
    <r>
      <rPr>
        <i/>
        <sz val="12"/>
        <rFont val="Calibri Light"/>
        <family val="2"/>
        <scheme val="major"/>
      </rPr>
      <t xml:space="preserve">En el evento de personas jurídicas nacionales en que el revisor fiscal sea una firma de auditoría, el nombre de quien certifica la información financiera deberá constar en el Certificado de Existencia y Representación Legal de la Cámara de Comercio” </t>
    </r>
    <r>
      <rPr>
        <sz val="12"/>
        <rFont val="Calibri Light"/>
        <family val="2"/>
        <scheme val="major"/>
      </rPr>
      <t>sírvase aclarar si se refieren al nombre de la firma de auditoría o al nombre de la persona natural.</t>
    </r>
  </si>
  <si>
    <r>
      <t>Solicitamos eliminar la referencia a “</t>
    </r>
    <r>
      <rPr>
        <i/>
        <sz val="12"/>
        <rFont val="Calibri Light"/>
        <family val="2"/>
        <scheme val="major"/>
      </rPr>
      <t>Atn.”</t>
    </r>
    <r>
      <rPr>
        <sz val="12"/>
        <rFont val="Calibri Light"/>
        <family val="2"/>
        <scheme val="major"/>
      </rPr>
      <t xml:space="preserve"> de la ANI, es suficiente con remitir el Anexo a la ANI como parte de la oferta.</t>
    </r>
  </si>
  <si>
    <r>
      <t xml:space="preserve">Este numeral establece: </t>
    </r>
    <r>
      <rPr>
        <i/>
        <sz val="12"/>
        <rFont val="Calibri Light"/>
        <family val="2"/>
        <scheme val="major"/>
      </rPr>
      <t xml:space="preserve">“Los Integrantes del Oferente que hubieren sido Líderes se obligan a acompañar al Concesionario mediante apoyo, asesoría, orientación, </t>
    </r>
    <r>
      <rPr>
        <b/>
        <i/>
        <u/>
        <sz val="12"/>
        <rFont val="Calibri Light"/>
        <family val="2"/>
        <scheme val="major"/>
      </rPr>
      <t xml:space="preserve">representación </t>
    </r>
    <r>
      <rPr>
        <i/>
        <sz val="12"/>
        <rFont val="Calibri Light"/>
        <family val="2"/>
        <scheme val="major"/>
      </rPr>
      <t>y demás actos y acciones connaturales al cumplimiento de las obligaciones del mismo. En particular, estos miembros deberán ofrecer su conocimiento, apoyo, experiencia y asesoría al Concesionario en las obligaciones que éste adquiere relacionadas con el Cierre Financiero y los Giros de Equity de los cuales tratan las Secciones 3.8 y 3.9 de la Parte General del Contrato”</t>
    </r>
    <r>
      <rPr>
        <sz val="12"/>
        <rFont val="Calibri Light"/>
        <family val="2"/>
        <scheme val="major"/>
      </rPr>
      <t xml:space="preserve">. </t>
    </r>
  </si>
  <si>
    <r>
      <t xml:space="preserve">Solicitamos eliminar la referencia a </t>
    </r>
    <r>
      <rPr>
        <i/>
        <sz val="12"/>
        <rFont val="Calibri Light"/>
        <family val="2"/>
        <scheme val="major"/>
      </rPr>
      <t>“Atn.”</t>
    </r>
    <r>
      <rPr>
        <sz val="12"/>
        <rFont val="Calibri Light"/>
        <family val="2"/>
        <scheme val="major"/>
      </rPr>
      <t xml:space="preserve"> de la ANI, es suficiente con remitir el Anexo a la ANI como parte de la oferta.</t>
    </r>
  </si>
  <si>
    <r>
      <t>En el formato se señala en este numeral “</t>
    </r>
    <r>
      <rPr>
        <i/>
        <sz val="12"/>
        <rFont val="Calibri Light"/>
        <family val="2"/>
        <scheme val="major"/>
      </rPr>
      <t>Se transcribirá cláusula de Resolución de Disputas del Contrato para efectos de Adhesión a la misma por parte de los firmantes de éste acuerdo</t>
    </r>
    <r>
      <rPr>
        <sz val="12"/>
        <rFont val="Calibri Light"/>
        <family val="2"/>
        <scheme val="major"/>
      </rPr>
      <t>” al respecto agradecemos aclarar si la entidad transcribirá dicha cláusula o el proponente la incluye?</t>
    </r>
  </si>
  <si>
    <r>
      <t xml:space="preserve">Agradecemos la ANI aclare a qué hace referencia la columna </t>
    </r>
    <r>
      <rPr>
        <i/>
        <sz val="12"/>
        <rFont val="Calibri Light"/>
        <family val="2"/>
        <scheme val="major"/>
      </rPr>
      <t>“Actividades Desarrolladas”</t>
    </r>
    <r>
      <rPr>
        <sz val="12"/>
        <rFont val="Calibri Light"/>
        <family val="2"/>
        <scheme val="major"/>
      </rPr>
      <t xml:space="preserve"> si ya existe una columna “</t>
    </r>
    <r>
      <rPr>
        <i/>
        <sz val="12"/>
        <rFont val="Calibri Light"/>
        <family val="2"/>
        <scheme val="major"/>
      </rPr>
      <t xml:space="preserve">Objeto del Proyecto y Descripción de la Financiación” </t>
    </r>
  </si>
  <si>
    <r>
      <t xml:space="preserve">En la definición de Corredor del Proyecto se indica que </t>
    </r>
    <r>
      <rPr>
        <i/>
        <sz val="12"/>
        <rFont val="Calibri Light"/>
        <family val="2"/>
        <scheme val="major"/>
      </rPr>
      <t>“Los Predios correspondientes al Corredor del Proyecto, que no hayan sido objeto de la Entrega de la Infraestructura, deberán ser adquiridos conforme con las obligaciones de la Gestión Predial a cargo del Concesionario”</t>
    </r>
    <r>
      <rPr>
        <sz val="12"/>
        <rFont val="Calibri Light"/>
        <family val="2"/>
        <scheme val="major"/>
      </rPr>
      <t>. Teniendo en cuenta que los oferentes deben evaluar y valorar cuales serán esos predios faltantes para efectos de la oferta, agradecemos que la ANI informe cuáles son los predios que harán parte de la Entrega de la Infraestructura.</t>
    </r>
  </si>
  <si>
    <r>
      <t xml:space="preserve">Se entenderá por Fuerza Mayor lo estipulado en la Ley Aplicable, </t>
    </r>
    <r>
      <rPr>
        <strike/>
        <sz val="12"/>
        <rFont val="Calibri Light"/>
        <family val="2"/>
        <scheme val="major"/>
      </rPr>
      <t>y</t>
    </r>
    <r>
      <rPr>
        <sz val="12"/>
        <rFont val="Calibri Light"/>
        <family val="2"/>
        <scheme val="major"/>
      </rPr>
      <t xml:space="preserve"> la jurisprudencia y laudos arbitrables.</t>
    </r>
  </si>
  <si>
    <r>
      <t xml:space="preserve">Solicitamos se incluyan ajustes en el Contrato de Concesión para que sea claro que los Ingresos por Explotación Comercial </t>
    </r>
    <r>
      <rPr>
        <u/>
        <sz val="12"/>
        <rFont val="Calibri Light"/>
        <family val="2"/>
        <scheme val="major"/>
      </rPr>
      <t>no</t>
    </r>
    <r>
      <rPr>
        <sz val="12"/>
        <rFont val="Calibri Light"/>
        <family val="2"/>
        <scheme val="major"/>
      </rPr>
      <t xml:space="preserve"> pueden ser considerados propiamente como ingresos del Concesionario y que en esta medida, el Contrato de Concesión establezca mecanismos en virtud de los cuales el Concesionario pueda recibir los Ingresos por Explotación Comercial y posteriormente transferirlos en las respectivas subcuentas antes señaladas, </t>
    </r>
    <r>
      <rPr>
        <u/>
        <sz val="12"/>
        <rFont val="Calibri Light"/>
        <family val="2"/>
        <scheme val="major"/>
      </rPr>
      <t>sin que esto implique la obligación para el Concesionario de asumir la carga impositiva derivada de la Explotación Comercial</t>
    </r>
    <r>
      <rPr>
        <sz val="12"/>
        <rFont val="Calibri Light"/>
        <family val="2"/>
        <scheme val="major"/>
      </rPr>
      <t>.   Agradecemos se consideren alternativas como que el Concesionario reciba estos Ingresos por Explotación Comercial y emita las correspondientes facturas por mandato de la ANI (que conste explícitamente en en el Contrato de Concesión) o, que la ANI se obligue a otorgue un mandato expreso para tal efecto.</t>
    </r>
  </si>
  <si>
    <r>
      <t xml:space="preserve">Solicitamos eliminar la parte final de esta sección que establece:  </t>
    </r>
    <r>
      <rPr>
        <i/>
        <sz val="12"/>
        <rFont val="Calibri Light"/>
        <family val="2"/>
        <scheme val="major"/>
      </rPr>
      <t xml:space="preserve">El Concesionario declara y garantiza que la eventual aplicación de Deducciones, la compra de plazo adicional sin sanciones, Descuentos, Multas y Retenciones por suspensión de la Retribución en virtud de lo dispuesto en el presente Contrato no afecta la suficiencia de la Retribución”. </t>
    </r>
  </si>
  <si>
    <r>
      <t xml:space="preserve">Solicitamos eliminar el párrafo resaltado toda vez que el Concesionario no puede de ninguna forma garantizar la suficiencia de la Retribución con relación a las </t>
    </r>
    <r>
      <rPr>
        <b/>
        <sz val="12"/>
        <rFont val="Calibri Light"/>
        <family val="2"/>
        <scheme val="major"/>
      </rPr>
      <t>eventuales</t>
    </r>
    <r>
      <rPr>
        <sz val="12"/>
        <rFont val="Calibri Light"/>
        <family val="2"/>
        <scheme val="major"/>
      </rPr>
      <t xml:space="preserve"> deducciones, descuentos, multas y retenciones, suspensión de la Retribución.  El Concesionario puede activar los mecanismos de solución de controversias para defender sus derechos frente a la aplicación de dichos aspectos. Por ello no resulta correcto incluir ese tipo de declaraciones por parte del Concesionario que podrían entenderse como una renuncia generalizada a defender sus derechos posteriormente.</t>
    </r>
  </si>
  <si>
    <r>
      <t xml:space="preserve">“(e) El Acta de Cálculo de la Retribución será remitida por el Interventor a la ANI y a la Fiduciaria, a más tardar el Día Hábil siguiente a su suscripción. De no haber objeción por parte de la ANI dentro de los doce (12) Días Hábiles siguientes a la recepción de dicha acta, la Fiduciaria procederá a realizar la transferencia de la Retribución. Lo anterior sin perjuicio de que, si con posterioridad se identifican errores en el cálculo de la Retribución, cualquiera de las Partes podrá solicitar la corrección correspondiente, </t>
    </r>
    <r>
      <rPr>
        <b/>
        <i/>
        <u/>
        <sz val="12"/>
        <rFont val="Calibri Light"/>
        <family val="2"/>
        <scheme val="major"/>
      </rPr>
      <t>la cual se reconocerá o descontará –actualizada con la variación del IPC–</t>
    </r>
    <r>
      <rPr>
        <i/>
        <sz val="12"/>
        <rFont val="Calibri Light"/>
        <family val="2"/>
        <scheme val="major"/>
      </rPr>
      <t xml:space="preserve"> en la Retribución inmediatamente siguiente de la Unidad Funcional respecto de la cual se haya identificado el error”. </t>
    </r>
  </si>
  <si>
    <r>
      <t xml:space="preserve">Solicitamos ajustar la redacción de la frase y reemplazarla por </t>
    </r>
    <r>
      <rPr>
        <i/>
        <sz val="12"/>
        <rFont val="Calibri Light"/>
        <family val="2"/>
        <scheme val="major"/>
      </rPr>
      <t>“(….) la cual se ajustará de conformidad con la variación del IPC (…)”</t>
    </r>
  </si>
  <si>
    <r>
      <t>Destacamos que la misma ANI señala en la Sección 3.8 (h) de la Parte General del Contrato de Concesión que “</t>
    </r>
    <r>
      <rPr>
        <i/>
        <sz val="12"/>
        <rFont val="Calibri Light"/>
        <family val="2"/>
        <scheme val="major"/>
      </rPr>
      <t>La obligación del Concesionario de financiar el Proyecto no se agota ni se entiende cumplida con la obtención del Cierre Financiero”</t>
    </r>
    <r>
      <rPr>
        <sz val="12"/>
        <rFont val="Calibri Light"/>
        <family val="2"/>
        <scheme val="major"/>
      </rPr>
      <t xml:space="preserve"> con lo cual no se entiende la finalidad de la ANI de incluir cláusulas tan restrictivas y exigentes en materia de Cierre Financiero y mucho menos multas por ello.</t>
    </r>
  </si>
  <si>
    <r>
      <t xml:space="preserve">Solicitamos eliminar de esta sección la expresión </t>
    </r>
    <r>
      <rPr>
        <i/>
        <sz val="12"/>
        <rFont val="Calibri Light"/>
        <family val="2"/>
        <scheme val="major"/>
      </rPr>
      <t>“de manera que el Interventor pueda hacerse un juicio acerca de los plazos”</t>
    </r>
    <r>
      <rPr>
        <sz val="12"/>
        <rFont val="Calibri Light"/>
        <family val="2"/>
        <scheme val="major"/>
      </rPr>
      <t>.  El Plan de Adquisición de Predios debe cumplir con el Contrato de Concesión y ello es suficiente. Expresiones como la arriba transcrita da lugar a interpretaciones subjetivas y seguramente discusiones entre el Concesionario y el Interventor.</t>
    </r>
  </si>
  <si>
    <r>
      <t>Según estas secciones, con leves diferencias en su redacción (se transcribe la Sección 4.2 (s)) es obligación del Concesionario: “</t>
    </r>
    <r>
      <rPr>
        <i/>
        <sz val="12"/>
        <rFont val="Calibri Light"/>
        <family val="2"/>
        <scheme val="major"/>
      </rPr>
      <t>Dar los avisos correspondientes a las autoridades de tránsito competentes y colaborar con las mismas en el control de la utilización de vías que tengan como finalidad o efecto la Evasión y/o Elusión en el pago del Peaje, obligación que aplica también para la Fase de Construcción y la Etapa de Operación y Mantenimiento. Con este fin deberá realizar a su costo, con el apoyo y bajo la coordinación de ANI, un convenio con las autoridades de tránsito competentes y, acordar con ellas el soporte logístico requerido para prestar el servicio. Dicho convenio deberá sujetarse a las directrices impartidas por la ANI de conformidad con el presente Contrato y el Apéndice Técnico 2 y, de existir, al convenio marco y/o convenio tipo que la ANI hubiere elaborado o, eventualmente, celebrado con dichas autoridades“</t>
    </r>
    <r>
      <rPr>
        <sz val="12"/>
        <rFont val="Calibri Light"/>
        <family val="2"/>
        <scheme val="major"/>
      </rPr>
      <t xml:space="preserve"> </t>
    </r>
  </si>
  <si>
    <r>
      <t xml:space="preserve">Solicitamos modificar el Contrato de Concesión en el sentido que la ANI reconocerá los costos (tanto de realizar nuevas consultas previas como de implementar los acuerdos) y eventuales retrasos que genere la realización de nuevas consultas previas. Al respecto anotamos que el artículo 39 de la ley 1682 de 2013, determina que, a partir de noviembre de 2016, uno de los requisitos para abrir la licitación de un proyecto de APP de iniciativa pública es el de </t>
    </r>
    <r>
      <rPr>
        <i/>
        <sz val="12"/>
        <rFont val="Calibri Light"/>
        <family val="2"/>
        <scheme val="major"/>
      </rPr>
      <t xml:space="preserve">“haber concluido el proceso de consulta previa con la respectiva comunidad hasta su protocolización, si procede la misma” </t>
    </r>
    <r>
      <rPr>
        <sz val="12"/>
        <rFont val="Calibri Light"/>
        <family val="2"/>
        <scheme val="major"/>
      </rPr>
      <t xml:space="preserve"> con lo cual, si la ANI no identificó a todas las comunidades o no concluyó procesos de consulta previa, el costo y riesgo de ello no puede ser asumido por el Concesionario. </t>
    </r>
  </si>
  <si>
    <r>
      <t>Solicitamos agregar la palabra “oportunamente” en negrilla “</t>
    </r>
    <r>
      <rPr>
        <i/>
        <sz val="12"/>
        <rFont val="Calibri Light"/>
        <family val="2"/>
        <scheme val="major"/>
      </rPr>
      <t xml:space="preserve">(…) y otorgarle los poderes </t>
    </r>
    <r>
      <rPr>
        <b/>
        <i/>
        <u/>
        <sz val="12"/>
        <rFont val="Calibri Light"/>
        <family val="2"/>
        <scheme val="major"/>
      </rPr>
      <t>oportunamente</t>
    </r>
    <r>
      <rPr>
        <i/>
        <sz val="12"/>
        <rFont val="Calibri Light"/>
        <family val="2"/>
        <scheme val="major"/>
      </rPr>
      <t xml:space="preserve"> para el debido desarrollo de la Gestión Predial”</t>
    </r>
    <r>
      <rPr>
        <sz val="12"/>
        <rFont val="Calibri Light"/>
        <family val="2"/>
        <scheme val="major"/>
      </rPr>
      <t>.</t>
    </r>
  </si>
  <si>
    <r>
      <t xml:space="preserve">Adicionalmente solicitamos eliminar la siguiente expresión </t>
    </r>
    <r>
      <rPr>
        <i/>
        <sz val="12"/>
        <rFont val="Calibri Light"/>
        <family val="2"/>
        <scheme val="major"/>
      </rPr>
      <t xml:space="preserve">“Los ahorros por el cambio en las Especificaciones Técnicas serán a favor de la ANI, para lo cual el Concesionario deberá calcular dichos ahorros y suministrar a la ANI y al Interventor toda la información y soportes necesarios para el cálculo de los mismos, así mismo, dichos ahorros acrecentarán la Subcuenta Excedentes ANI”. </t>
    </r>
    <r>
      <rPr>
        <sz val="12"/>
        <rFont val="Calibri Light"/>
        <family val="2"/>
        <scheme val="major"/>
      </rPr>
      <t>Lo anterior teniendo en cuenta la transferencia de gran cantidad de riesgos al Concesionario es apenas razonable que los eventuales ahorros con ocasión de cambios en las Especificaciones Técnicas sean exclusivamente en beneficio del Concesionario. En este sentido se debería modificar también la Sección 13.3 (p) de la Parte General del Contrato de Concesión.</t>
    </r>
  </si>
  <si>
    <r>
      <t xml:space="preserve">“En todos los casos, el Concesionario seguirá siendo el responsable frente a la ANI por la ejecución de la totalidad de las obligaciones contenidas en el presente Contrato, incluyendo, pero sin limitarse a aquellas que ejecuten los Contratistas y sus respectivos subcontratistas, y deberá mantener indemne a la ANI por incumplimientos, y demandas de los Contratistas y subcontratistas. </t>
    </r>
    <r>
      <rPr>
        <b/>
        <i/>
        <u/>
        <sz val="12"/>
        <rFont val="Calibri Light"/>
        <family val="2"/>
        <scheme val="major"/>
      </rPr>
      <t xml:space="preserve">Adicionalmente, el Concesionario deberá obtener y entregar toda la información disponible y detallada, respecto a las actividades que haya(n) realizado el(los) Contratista(s) y subcontratistas, en el momento en que la ANI se lo solicite, sin ningún tipo de salvedad para su entrega”. </t>
    </r>
  </si>
  <si>
    <r>
      <t xml:space="preserve">Solicitamos eliminar de esta sección la expresión </t>
    </r>
    <r>
      <rPr>
        <i/>
        <sz val="12"/>
        <rFont val="Calibri Light"/>
        <family val="2"/>
        <scheme val="major"/>
      </rPr>
      <t>“de manera que el Interventor pueda hacerse un juicio acerca de la obra”</t>
    </r>
    <r>
      <rPr>
        <sz val="12"/>
        <rFont val="Calibri Light"/>
        <family val="2"/>
        <scheme val="major"/>
      </rPr>
      <t>. Los Estudios de Trazado y Diseño Geométrico o de los Estudios de Detalle deben cumplir con el Contrato de Concesión y ello es suficiente. Expresiones como la arriba transcrita da lugar a interpretaciones subjetivas y seguramente discusiones entre el Concesionario y el Interventor.</t>
    </r>
  </si>
  <si>
    <r>
      <t xml:space="preserve">Esta sección establece que :  </t>
    </r>
    <r>
      <rPr>
        <i/>
        <sz val="12"/>
        <rFont val="Calibri Light"/>
        <family val="2"/>
        <scheme val="major"/>
      </rPr>
      <t xml:space="preserve">El Interventor y/o la ANI podrán objetar los Estudios de Trazado y Diseño Geométrico y/o los Estudios de Detalle únicamente cuando los mismos no se ajusten a las previsiones del Contrato y/o sus Apéndices </t>
    </r>
    <r>
      <rPr>
        <b/>
        <i/>
        <u/>
        <sz val="12"/>
        <rFont val="Calibri Light"/>
        <family val="2"/>
        <scheme val="major"/>
      </rPr>
      <t>o cuando impliquen una variación desfavorable para los riesgos a cargo de la ANI,</t>
    </r>
    <r>
      <rPr>
        <i/>
        <sz val="12"/>
        <rFont val="Calibri Light"/>
        <family val="2"/>
        <scheme val="major"/>
      </rPr>
      <t xml:space="preserve"> siempre que (i) lo haga dentro del plazo previsto en la Sección 6.2(a) anterior; y (ii) el Concesionario no haya efectuado los ajustes solicitados por el Interventor y/o la ANI o no se haya logrado un acuerdo entre ellos en relación con la pertinencia de los comentarios. </t>
    </r>
  </si>
  <si>
    <r>
      <t xml:space="preserve">Solicitamos eliminar la frase resaltada </t>
    </r>
    <r>
      <rPr>
        <i/>
        <sz val="12"/>
        <rFont val="Calibri Light"/>
        <family val="2"/>
        <scheme val="major"/>
      </rPr>
      <t>“(…) o cuando impliquen una variación desfavorable para los riesgos a cargo de la ANI”</t>
    </r>
    <r>
      <rPr>
        <sz val="12"/>
        <rFont val="Calibri Light"/>
        <family val="2"/>
        <scheme val="major"/>
      </rPr>
      <t xml:space="preserve"> toda vez que el texto precedente establece claramente que los </t>
    </r>
    <r>
      <rPr>
        <i/>
        <sz val="12"/>
        <rFont val="Calibri Light"/>
        <family val="2"/>
        <scheme val="major"/>
      </rPr>
      <t xml:space="preserve">Estudios de Trazado y Diseño Geométrico y/o los Estudios de Detalle únicamente </t>
    </r>
    <r>
      <rPr>
        <sz val="12"/>
        <rFont val="Calibri Light"/>
        <family val="2"/>
        <scheme val="major"/>
      </rPr>
      <t xml:space="preserve">deben ajustarse al Contrato y/o sus Apéndices. Así, si se cumple con el Contrato no podría existir una variación desfavorable para los riesgos a cargo de la ANI. </t>
    </r>
  </si>
  <si>
    <r>
      <t xml:space="preserve">En relación con el numeral (3) y la exigencia de presentar </t>
    </r>
    <r>
      <rPr>
        <i/>
        <sz val="12"/>
        <rFont val="Calibri Light"/>
        <family val="2"/>
        <scheme val="major"/>
      </rPr>
      <t>“(3) un estimado preliminar del tiempo durante el cual la Parte Afectada se verá afectada”</t>
    </r>
    <r>
      <rPr>
        <sz val="12"/>
        <rFont val="Calibri Light"/>
        <family val="2"/>
        <scheme val="major"/>
      </rPr>
      <t xml:space="preserve"> se debe complementar dicha redacción con </t>
    </r>
    <r>
      <rPr>
        <i/>
        <sz val="12"/>
        <rFont val="Calibri Light"/>
        <family val="2"/>
        <scheme val="major"/>
      </rPr>
      <t xml:space="preserve">“en la medida que sea posible” </t>
    </r>
    <r>
      <rPr>
        <sz val="12"/>
        <rFont val="Calibri Light"/>
        <family val="2"/>
        <scheme val="major"/>
      </rPr>
      <t>toda vez que hay muchos escenarios en los que frente a un Evento Eximente de Responsabilidad le resulta imposible al Concesionario, así sea con carácter preliminar, determinar el tiempo durante el cual la Parte Afectada se verá afectada. Un ejemplo concreto de ello es todo lo relacionado con el COVID-19, en la actualidad nadie está en capacidad de establecer por cuanto tiempo continuarán sus efectos.</t>
    </r>
  </si>
  <si>
    <r>
      <t xml:space="preserve">Agradecemos se aclare a qué se refiere la ANI con </t>
    </r>
    <r>
      <rPr>
        <i/>
        <sz val="12"/>
        <rFont val="Calibri Light"/>
        <family val="2"/>
        <scheme val="major"/>
      </rPr>
      <t>“recompra de derechos económicos”</t>
    </r>
    <r>
      <rPr>
        <sz val="12"/>
        <rFont val="Calibri Light"/>
        <family val="2"/>
        <scheme val="major"/>
      </rPr>
      <t xml:space="preserve">. </t>
    </r>
  </si>
  <si>
    <r>
      <t xml:space="preserve">EL último párrafo de esta sección establece que </t>
    </r>
    <r>
      <rPr>
        <i/>
        <sz val="12"/>
        <rFont val="Calibri Light"/>
        <family val="2"/>
        <scheme val="major"/>
      </rPr>
      <t>“Este puntaje será asignado al Oferente que oferte su uso en una longitud continua igual o mayor al diez por ciento (10%) de la longitud de cada una de las Unidades Funcionales que conforman el Proyecto, longitud 6 establecida en la tabla N°3 del Apéndice Técnico 1. Quien oferte menos del diez por ciento (10%) de la longitud que conforman las Unidades Funcionales del Proyecto, tendrá cero (0) puntos”.</t>
    </r>
  </si>
  <si>
    <r>
      <t xml:space="preserve">Se especifica: </t>
    </r>
    <r>
      <rPr>
        <i/>
        <sz val="12"/>
        <rFont val="Calibri Light"/>
        <family val="2"/>
        <scheme val="major"/>
      </rPr>
      <t>“NOTA 2: Los tramos construido con “MEZCLAS ASFÁLTICAS MODIFICADAS CON GRANO DE CAUCHO RECICLADO”, deberán ser Operados y Mantenidos durante toda la etapa de Operación y Mantenimiento siguiendo lo exigido en el Apéndice Técnico 4 Indicadores.”</t>
    </r>
    <r>
      <rPr>
        <sz val="12"/>
        <rFont val="Calibri Light"/>
        <family val="2"/>
        <scheme val="major"/>
      </rPr>
      <t xml:space="preserve"> Según la nota anterior, para los tramos de reversión especial y en la UF3 ¿las intervenciones NO deben incluir la mezcla asfáltica modificada con grano de caucho reciclado? Agradecemos confirmar</t>
    </r>
  </si>
  <si>
    <r>
      <t xml:space="preserve">En el apéndice técnico 1 y en el proyecto de pliego se establece que hay derecho a puntaje adicional para el uso de caucho reciclado en la mezcla asfáltica y se especifica: </t>
    </r>
    <r>
      <rPr>
        <i/>
        <sz val="12"/>
        <rFont val="Calibri Light"/>
        <family val="2"/>
        <scheme val="major"/>
      </rPr>
      <t xml:space="preserve">"El Concesionario deberán incluir el uso de Mezcla Asfáltica reciclada en una longitud continua, mínimo igual al 10% de la longitud total que conforma cada una de las Unidades Funcionales del proyecto." </t>
    </r>
    <r>
      <rPr>
        <sz val="12"/>
        <rFont val="Calibri Light"/>
        <family val="2"/>
        <scheme val="major"/>
      </rPr>
      <t>Se solicitan el siguiente: 1) Que esta longitud total se aplique solamente para las capas inferiores de la carpeta asfáltica y que no aplique para la capa de rodadura 2) Que este concepto solo aplique a los tramos de construcción y mejoramiento, porque los tramos de puesta Punto y rehabilitación pueden no tener intervenciones al nivel del pavimento y así, no será posible cumplir con el requerimiento de 10% de la totalidad de la UF. 3) En la etapa de operación y mantenimiento no se tengan que emplear mezcla asfáltica con caucho reciclado</t>
    </r>
  </si>
  <si>
    <r>
      <t xml:space="preserve">Si dentro de los expedientes existen en curso procesos sancionatorios </t>
    </r>
    <r>
      <rPr>
        <b/>
        <sz val="12"/>
        <rFont val="Calibri Light"/>
        <family val="2"/>
        <scheme val="major"/>
      </rPr>
      <t>¿Los mismos en el trámite de cesión deberán ser asumidos por El Concesionario?</t>
    </r>
  </si>
  <si>
    <r>
      <t xml:space="preserve">Se presentan en la Tabla 29 un total de 70 puentes peatonales entre existentes, nuevos y reubicación. </t>
    </r>
    <r>
      <rPr>
        <b/>
        <i/>
        <sz val="12"/>
        <rFont val="Calibri Light"/>
        <family val="2"/>
        <scheme val="major"/>
      </rPr>
      <t>Aclarar cuales puentes deben contar con iluminación de los siguientes  (</t>
    </r>
    <r>
      <rPr>
        <sz val="12"/>
        <rFont val="Calibri Light"/>
        <family val="2"/>
        <scheme val="major"/>
      </rPr>
      <t>24 nuevos, 43 existentes y 3 a reubicar).</t>
    </r>
  </si>
  <si>
    <r>
      <t>Carpetas D1222; D1223; D1224; D4123; D4124</t>
    </r>
    <r>
      <rPr>
        <b/>
        <i/>
        <sz val="12"/>
        <rFont val="Calibri Light"/>
        <family val="2"/>
        <scheme val="major"/>
      </rPr>
      <t xml:space="preserve"> Solicitamos sea verificadas estas carpetas faltantes (no vacias) en el cuarto de datos</t>
    </r>
  </si>
  <si>
    <r>
      <t xml:space="preserve">Características mínimas de algunas instalaciones que el Concesionario deberá construir, operar y mantener en el Corredor del Proyecto. </t>
    </r>
    <r>
      <rPr>
        <b/>
        <sz val="12"/>
        <rFont val="Calibri Light"/>
        <family val="2"/>
        <scheme val="major"/>
      </rPr>
      <t>Solicitamos informar si es posible acceder a información relacionada al estado actual de la infraestructura mencionada en el capítulo V</t>
    </r>
  </si>
  <si>
    <r>
      <t xml:space="preserve">La Sección 4.2.10 del Proyecto de Pliego de Condiciones regula lo referente a la acreditación de la Experiencia en Inversión en Estructuras Plurales, y señala que debe adjuntarse una certificación de la entidad contratante en la que conste: (i) fecha de suscripción del contrato, (ii) valor, (iii) obligaciones principales de la parte privada, y (iv) que el contrato no haya sido objeto de terminación por incumplimiento, y que no se hubieran hecho efectivas las garantías. Tratándose de contratos en ejecución, la certificación no debe tener fecha de expedición mayor a tres meses contados desde la publicación de la Licitación en el SECOP.
Sobre el particular, preguntamos: 
• Entendemos que una certificación de un contrato en ejecución que se expidió el 6 de abril de 2020 sería válida bajo la regla del Pliego de Condiciones, teniendo en cuenta que se expidió tres meses antes de la creación del proceso en el SECOP, según lo establecido en el Link: </t>
    </r>
    <r>
      <rPr>
        <u/>
        <sz val="12"/>
        <rFont val="Calibri Light"/>
        <family val="2"/>
        <scheme val="major"/>
      </rPr>
      <t>https://www.contratos.gov.co/consultas/detalleProceso.do?numConstancia=20-19-10660579</t>
    </r>
    <r>
      <rPr>
        <sz val="12"/>
        <rFont val="Calibri Light"/>
        <family val="2"/>
        <scheme val="major"/>
      </rPr>
      <t xml:space="preserve">. Por favor confirmar que nuestro entendimiento sea correcto. 
• Ahora bien, atentamente consideramos que los Pliegos de Condiciones deben ajustarse a la situación de emergencia actual, lo que significa que va a ser bastante complejo para los interesados en participar obtener este tipo de certificaciones cuando, como medida sanitaria, las entidades gubernamentales han optado por limitar drásticamente la atención al público, ampliando los plazos que tienen para contestar derechos de petición, por ejemplo, o, incluso, suspendiendo el desarrollo de ciertos trámites administrativos. En virtud de lo anterior, y con miras a permitir la mayor participación de interesados, solicitamos que la vigencia de la certificación referida en la Sección 4.2.10(c) del Pliego de Condiciones, tratándose de contratos en ejecución, tenga una fecha de expedición no mayor de seis (6) meses contados desde el 6 de abril de 2020, fecha de publicación de la Licitación Pública en el SECOP.
• Finalmente, solicitamos que los Pliegos de Condiciones se ajusten en el sentido de permitir que documentos que ya reposan en la entidad, como certificaciones de experiencia o constancias de cumplimiento, no tengan que volver a adjuntarse, por lo que no se requerirán los documentos originales, sino una copia en la que conste que la ANI tiene el documento en sus archivos. Lo anterior en estricto cumplimiento de lo establecido en el Decreto-ley 019 de 2012, y que en su artículo 9º señala: </t>
    </r>
    <r>
      <rPr>
        <i/>
        <sz val="12"/>
        <rFont val="Calibri Light"/>
        <family val="2"/>
        <scheme val="major"/>
      </rPr>
      <t>“Cuando se esté adelantando un trámite ante la administración, se prohíbe exigir actos administrativos, constancias, certificaciones o documentos que ya reposen en la entidad ante la cual se está tramitando la respectiva actuación”</t>
    </r>
    <r>
      <rPr>
        <sz val="12"/>
        <rFont val="Calibri Light"/>
        <family val="2"/>
        <scheme val="major"/>
      </rPr>
      <t>.</t>
    </r>
  </si>
  <si>
    <r>
      <t xml:space="preserve">Sugerimos corregir la redacción de una parte del párrafo a "sin que la Autoridad Ambiental expida el acto administrativo que otorgue o niegue la solicitud. El tiempo contará a partir de la fecha de notificación del Auto de Inicio del trámite o de la fecha de radicación de la información adicional del estudio ambiental si es que la Autoridad Ambiental </t>
    </r>
    <r>
      <rPr>
        <b/>
        <sz val="12"/>
        <rFont val="Calibri Light"/>
        <family val="2"/>
        <scheme val="major"/>
      </rPr>
      <t>la</t>
    </r>
    <r>
      <rPr>
        <sz val="12"/>
        <rFont val="Calibri Light"/>
        <family val="2"/>
        <scheme val="major"/>
      </rPr>
      <t xml:space="preserve"> requiere"</t>
    </r>
  </si>
  <si>
    <r>
      <t xml:space="preserve">En desarrollo del principio de libre implementación de estructuras financieras que establece la Sección 3.11 del Contrato de Concesión, y considerando las diferentes estructuras de aporte de equity que se pueden diseñar en proyectos con modalidades de financiación tipo </t>
    </r>
    <r>
      <rPr>
        <i/>
        <sz val="12"/>
        <rFont val="Calibri Light"/>
        <family val="2"/>
        <scheme val="major"/>
      </rPr>
      <t>project finance</t>
    </r>
    <r>
      <rPr>
        <sz val="12"/>
        <rFont val="Calibri Light"/>
        <family val="2"/>
        <scheme val="major"/>
      </rPr>
      <t>, respetuosamente solicitamos a la entidad que permita la contabilización como Giros de Equity no sólo de los recursos aportados a título de deuda subordinada por parte de los socios del Concesionario, sino también de aquellos que se aporten a ese mismo título por parte de sociedades que tenga participación accionaria en dichos socios. 
La inclusión de esta modalidad de Giro de Equity no sólo permitiría implementar eficiencias en el costo de financiación del Proyecto (las cuales repercutirían en el costo total del Proyecto incorporado en la Oferta), sino que mantiene todas las salvaguardas que sobre este tipo de recursos de financiación trae el Contrato de Concesión.</t>
    </r>
  </si>
  <si>
    <r>
      <t>En la Sección 1.128 de la Parte General, la ANI señala que la Parte Especial prima sobre todos los demás documentos que integran el Contrato, estableciendo, en principio, una regla clara de solución de posibles contradicciones entre el texto de dicho documento y las demás partes del Contrato. Sin embargo, la entidad posteriormente señala que “A</t>
    </r>
    <r>
      <rPr>
        <i/>
        <sz val="12"/>
        <rFont val="Calibri Light"/>
        <family val="2"/>
        <scheme val="major"/>
      </rPr>
      <t xml:space="preserve"> pesar de dicha primacía, el Contrato deberá interpretarse de forma que haya la debida correspondencia y armonía entre sus partes</t>
    </r>
    <r>
      <rPr>
        <sz val="12"/>
        <rFont val="Calibri Light"/>
        <family val="2"/>
        <scheme val="major"/>
      </rPr>
      <t>”, pareciendo eliminar la certidumbre que la regla mencionada anteriormente brindaba a la estructura contractual (lo cual, es exacerbado con el texto de la Sección 19.15 de la Parte General respecto de la prevalencia relativa de cada documento del Contrato). 
En este contexto, se considera imprescindible que la entidad señale con total claridad cuál es el efecto de la primacía de la Parte Especial, y del orden de prevalencia que se menciona para cada documento y apéndice. Dicha claridad es de particular importancia para satisfacer el estándar mínimo de certidumbre y previsibilidad en la solución de contradicciones del Contrato que este tipo de estructura contractuales requiere, lo cual se logra con la eliminación en las Secciones 1.128 y 19.15 de la Parte General del texto transcrito arriba.</t>
    </r>
  </si>
  <si>
    <r>
      <t xml:space="preserve"> Considerando los pronunciamientos del gerente general del Banco de la República y del Superintendente Financiero respecto de la posibilidad de que la DTF deje de certificarse en los próximos meses o años, recomendamos a la entidad que los intereses de los que trata la Sección 3.6 de la Parte General utilicen como referente otra tasa certificada oficialmente en Colombia (</t>
    </r>
    <r>
      <rPr>
        <i/>
        <sz val="12"/>
        <rFont val="Calibri Light"/>
        <family val="2"/>
        <scheme val="major"/>
      </rPr>
      <t>e.g.</t>
    </r>
    <r>
      <rPr>
        <sz val="12"/>
        <rFont val="Calibri Light"/>
        <family val="2"/>
        <scheme val="major"/>
      </rPr>
      <t xml:space="preserve"> el Indicador Bancario de Referencia) o que el Contrato establezca reglas claras ante eventos en los que se deje de certificar la DTF (como las establecidas en contratos como el de la Primera Línea del Metro de Bogotá). </t>
    </r>
  </si>
  <si>
    <r>
      <t>Entendemos que cuando la Sección 3.14(g)(ix)(1) hace referencia a "</t>
    </r>
    <r>
      <rPr>
        <i/>
        <u/>
        <sz val="12"/>
        <rFont val="Calibri Light"/>
        <family val="2"/>
        <scheme val="major"/>
      </rPr>
      <t>fuentes de financiación</t>
    </r>
    <r>
      <rPr>
        <i/>
        <sz val="12"/>
        <rFont val="Calibri Light"/>
        <family val="2"/>
        <scheme val="major"/>
      </rPr>
      <t xml:space="preserve"> diferentes a las descritas en la Sección 3.1(b) de esta Parte General</t>
    </r>
    <r>
      <rPr>
        <sz val="12"/>
        <rFont val="Calibri Light"/>
        <family val="2"/>
        <scheme val="major"/>
      </rPr>
      <t>", no se está refiriendo propiamente a recursos de financiación (</t>
    </r>
    <r>
      <rPr>
        <i/>
        <sz val="12"/>
        <rFont val="Calibri Light"/>
        <family val="2"/>
        <scheme val="major"/>
      </rPr>
      <t>i.e.</t>
    </r>
    <r>
      <rPr>
        <sz val="12"/>
        <rFont val="Calibri Light"/>
        <family val="2"/>
        <scheme val="major"/>
      </rPr>
      <t xml:space="preserve"> recursos provenientes de Prestamistas o financiadores que tienen como propósito anticipar los flujos del Concesionario para el cumplimiento de las obligaciones en el corto/mediano plazo, y que luego serán pagados por el Concesionario con la retribución), sino a recursos adicionales de retribución al Concesionario que son provistos por terceros (distintos de la ANI). Lo anterior, considerando que  la Sección 3.1(b) (que se menciona en la Sección 3.14(g)(ix)(1)) se refiere a las fuentes de la Retribución del Concesionario y no a las modalidades de financiación del Proyecto. 
Por favor confirmar si nuestro entendimiento es correcto.</t>
    </r>
  </si>
  <si>
    <r>
      <t>En relación con la Sección 6.1(a) de la Parte General, solicitamos respetuosamente a la ANI que se respondan los siguientes interrogantes:
- ¿Qué propósito tiene la obligación contenida en dicha Sección según la cual los Estudios de Diseño y Trazado Geométrico del Proyecto deben contener una valoración de los efectos que sobre los riesgos asignados a  la ANI se derivan de dichos estudios? 
- ¿El resultado de dicha valoración puede ser utilizado por la ANI para condicionar, modular o limitar de cualquier forma la asunción de riesgo por parte de la ANI? 
 -¿Los Estudios de Diseño y Trazado Geométrico del Proyecto pueden ser objetados por la ANI o por el Interventor por razones derivadas de dicha valoración (en particular, por considerar que los riesgos de la ANI no se han mitigado lo "</t>
    </r>
    <r>
      <rPr>
        <i/>
        <sz val="12"/>
        <rFont val="Calibri Light"/>
        <family val="2"/>
        <scheme val="major"/>
      </rPr>
      <t>suficiente</t>
    </r>
    <r>
      <rPr>
        <sz val="12"/>
        <rFont val="Calibri Light"/>
        <family val="2"/>
        <scheme val="major"/>
      </rPr>
      <t xml:space="preserve">")? 
-¿De ser así, con base en qué estándar contractual objetivo y predeterminado se evaluará la suficiencia o no del análisis y la mitigación respectiva?
</t>
    </r>
  </si>
  <si>
    <r>
      <t>Recomendamos que la siguiente frase ser ajustada incluyendo la palabra subrayada a continuación:  "</t>
    </r>
    <r>
      <rPr>
        <i/>
        <sz val="12"/>
        <rFont val="Calibri Light"/>
        <family val="2"/>
        <scheme val="major"/>
      </rPr>
      <t xml:space="preserve">sin que la Autoridad Ambiental expida el acto administrativo que otorgue o niegue la solicitud. El tiempo contará a partir de la fecha de notificación del Auto de Inicio del trámite o de la fecha de radicación de la información adicional del estudio ambiental si es que </t>
    </r>
    <r>
      <rPr>
        <i/>
        <u/>
        <sz val="12"/>
        <rFont val="Calibri Light"/>
        <family val="2"/>
        <scheme val="major"/>
      </rPr>
      <t>la</t>
    </r>
    <r>
      <rPr>
        <i/>
        <sz val="12"/>
        <rFont val="Calibri Light"/>
        <family val="2"/>
        <scheme val="major"/>
      </rPr>
      <t xml:space="preserve"> Autoridad Ambiental la requiere</t>
    </r>
    <r>
      <rPr>
        <sz val="12"/>
        <rFont val="Calibri Light"/>
        <family val="2"/>
        <scheme val="major"/>
      </rPr>
      <t>"</t>
    </r>
  </si>
  <si>
    <r>
      <t>La redacción de la Sección 13.3(p), particularmente la frase “</t>
    </r>
    <r>
      <rPr>
        <i/>
        <sz val="12"/>
        <rFont val="Calibri Light"/>
        <family val="2"/>
        <scheme val="major"/>
      </rPr>
      <t xml:space="preserve">cambios en la normatividad </t>
    </r>
    <r>
      <rPr>
        <i/>
        <u/>
        <sz val="12"/>
        <rFont val="Calibri Light"/>
        <family val="2"/>
        <scheme val="major"/>
      </rPr>
      <t>que establece las especificaciones técnicas de los proyectos viales</t>
    </r>
    <r>
      <rPr>
        <sz val="12"/>
        <rFont val="Calibri Light"/>
        <family val="2"/>
        <scheme val="major"/>
      </rPr>
      <t>” parece orientada a restringir o calificar los cambios normativos para que aplique la asunción de riesgo a cargo de la ANI. No parece haber justificación objetiva que lo soporte. Lo subrayado debería eliminarse. La anterior solicitud está en línea con lo señalado en el Documento CONPES 3961 del 2019 cuando expresa (las subrayas no son del original): 
“</t>
    </r>
    <r>
      <rPr>
        <i/>
        <u/>
        <sz val="12"/>
        <rFont val="Calibri Light"/>
        <family val="2"/>
        <scheme val="major"/>
      </rPr>
      <t>Cualquier</t>
    </r>
    <r>
      <rPr>
        <i/>
        <sz val="12"/>
        <rFont val="Calibri Light"/>
        <family val="2"/>
        <scheme val="major"/>
      </rPr>
      <t xml:space="preserve"> cambio regulatorio que tenga </t>
    </r>
    <r>
      <rPr>
        <i/>
        <u/>
        <sz val="12"/>
        <rFont val="Calibri Light"/>
        <family val="2"/>
        <scheme val="major"/>
      </rPr>
      <t>como efecto la modificación de las especificaciones técnicas será asumido por la entidad contratante</t>
    </r>
    <r>
      <rPr>
        <i/>
        <sz val="12"/>
        <rFont val="Calibri Light"/>
        <family val="2"/>
        <scheme val="major"/>
      </rPr>
      <t>, siempre que esta notifique al inversionista privado que debe implementar los cambios previstos en las nuevas normas. Dicho cambio incluirá las</t>
    </r>
    <r>
      <rPr>
        <i/>
        <u/>
        <sz val="12"/>
        <rFont val="Calibri Light"/>
        <family val="2"/>
        <scheme val="major"/>
      </rPr>
      <t xml:space="preserve"> variaciones en las especificaciones estipuladas contractualmente</t>
    </r>
    <r>
      <rPr>
        <i/>
        <sz val="12"/>
        <rFont val="Calibri Light"/>
        <family val="2"/>
        <scheme val="major"/>
      </rPr>
      <t xml:space="preserve">, así como la </t>
    </r>
    <r>
      <rPr>
        <i/>
        <u/>
        <sz val="12"/>
        <rFont val="Calibri Light"/>
        <family val="2"/>
        <scheme val="major"/>
      </rPr>
      <t>solicitud de las nuevas obras y sus diseños, decididos por una autoridad gubernamental o la entidad contratante de manera unilateral</t>
    </r>
    <r>
      <rPr>
        <i/>
        <sz val="12"/>
        <rFont val="Calibri Light"/>
        <family val="2"/>
        <scheme val="major"/>
      </rPr>
      <t xml:space="preserve">. Para tal propósito, el contrato deberá establecer los </t>
    </r>
    <r>
      <rPr>
        <i/>
        <u/>
        <sz val="12"/>
        <rFont val="Calibri Light"/>
        <family val="2"/>
        <scheme val="major"/>
      </rPr>
      <t>instrumentos mediante los cuales la entidad contratante cubrirá dichos cambios</t>
    </r>
    <r>
      <rPr>
        <i/>
        <sz val="12"/>
        <rFont val="Calibri Light"/>
        <family val="2"/>
        <scheme val="major"/>
      </rPr>
      <t xml:space="preserve">, en caso de que estos generen sobrecostos para el inversionista privado. En caso de que dicho cambio no implique mayores costos, de acuerdo con lo contractualmente establecido para el inversionista privado, este deberá aplicar las nuevas especificaciones técnicas obligatoriamente."
</t>
    </r>
    <r>
      <rPr>
        <sz val="12"/>
        <rFont val="Calibri Light"/>
        <family val="2"/>
        <scheme val="major"/>
      </rPr>
      <t xml:space="preserve">
Bien entendemos que el CONPES 3961 no es directamente aplicable a las concesiones carreteras, pero lo que queremos destacar es el tratamiento dado en ese CONPES a riesgos sobre los cuales no existe razón alguna para prever tratamientos diferenciales entre los proyectos carreteros y los proyectos férreos de transporte masivo.</t>
    </r>
  </si>
  <si>
    <r>
      <t xml:space="preserve">En atención a las características esenciales de cualquier proyecto con financiación tipo </t>
    </r>
    <r>
      <rPr>
        <i/>
        <sz val="12"/>
        <rFont val="Calibri Light"/>
        <family val="2"/>
        <scheme val="major"/>
      </rPr>
      <t xml:space="preserve">project finance </t>
    </r>
    <r>
      <rPr>
        <sz val="12"/>
        <rFont val="Calibri Light"/>
        <family val="2"/>
        <scheme val="major"/>
      </rPr>
      <t xml:space="preserve">(i.e. exposición limitada de los </t>
    </r>
    <r>
      <rPr>
        <i/>
        <sz val="12"/>
        <rFont val="Calibri Light"/>
        <family val="2"/>
        <scheme val="major"/>
      </rPr>
      <t xml:space="preserve">sponsors </t>
    </r>
    <r>
      <rPr>
        <sz val="12"/>
        <rFont val="Calibri Light"/>
        <family val="2"/>
        <scheme val="major"/>
      </rPr>
      <t>y financiadores), se le solicita a la entidad establecer un límite absoluto de la responsabilidad del Contrato por la ejecución del Contrato, que también aplique a la obligación de indemnidad a la ANI.  La inexistencia de este tipo de límites evita la estructuración eficiente de estructuras de financiación para el Proyecto y encarece injustificadamente el Proyecto.</t>
    </r>
  </si>
  <si>
    <r>
      <t>La regulación actual de las fórmulas de liquidación respecto de la variable ARh incorpora dos criterios tremendamente subjetivos: (i) que el Interventor verifique que las actividades han sido ejecutadas para contribuir a satisfacer el interés público, y (ii) que los costos equivalgan a precios de mercado asociados a las condiciones particulares del Proyecto al momento de su causación, de acuerdo con la modalidad contractual. 
En cuanto al primer criterio, la introducción de un concepto abierto como el de "contribuir a satisfacer el interés público" para la determinación de los componentes admisibles en la fórmula de liquidación, parece sujetar el resultado de la fórmula a la opinión subjetiva de lo que significa "interés público" para un contratista de la ANI (como lo es el Interventor). Adicionalmente, éste criterio permitiría que rubros que tienen como único fin el cumplimiento de obligaciones introducidas por la ANI en el Contrato de Concesión y que son mencionados expresamente por dicha entidad en la fórmula como actividades que hacen parte de la variable ARh (</t>
    </r>
    <r>
      <rPr>
        <i/>
        <sz val="12"/>
        <rFont val="Calibri Light"/>
        <family val="2"/>
        <scheme val="major"/>
      </rPr>
      <t>i.e.</t>
    </r>
    <r>
      <rPr>
        <sz val="12"/>
        <rFont val="Calibri Light"/>
        <family val="2"/>
        <scheme val="major"/>
      </rPr>
      <t xml:space="preserve"> primas de seguros de las Garantías, valor de estudios y diseños, etc.), no sean tenidos en cuenta en la fórmula de liquidación si el Interventor  considera que no son de "de interés público"; lo cual, no sólo va en contra de la interpretación más sensata del término "interés público" (</t>
    </r>
    <r>
      <rPr>
        <i/>
        <sz val="12"/>
        <rFont val="Calibri Light"/>
        <family val="2"/>
        <scheme val="major"/>
      </rPr>
      <t>i.e.</t>
    </r>
    <r>
      <rPr>
        <sz val="12"/>
        <rFont val="Calibri Light"/>
        <family val="2"/>
        <scheme val="major"/>
      </rPr>
      <t xml:space="preserve"> todo lo que un contratista haya ejecutado para dar cumplimiento a una obligación contractual exigida por la entidad, satisface el interés público por definición), sino que eliminaría cualquier previsibilidad a la aplicación de la fórmula, impidiendo satisfacer los presupuestos mínimos que en estos puntos exige una estructura </t>
    </r>
    <r>
      <rPr>
        <i/>
        <sz val="12"/>
        <rFont val="Calibri Light"/>
        <family val="2"/>
        <scheme val="major"/>
      </rPr>
      <t>project finance</t>
    </r>
    <r>
      <rPr>
        <sz val="12"/>
        <rFont val="Calibri Light"/>
        <family val="2"/>
        <scheme val="major"/>
      </rPr>
      <t xml:space="preserve">.
En relación con el segundo criterio,  si el Contrato no determina con precisión qué considera como "precios de mercado", se abre un espacio considerable a discusiones extendidas entre las Partes sobre si dicho concepto incluye diversos criterios que afectan directamente el precio de un bien o servicio en este tipo de proyectos. 
Todo lo anterior, eleva de manera relevante el nivel de incertidumbre respecto del resultado de la liquidación (que, por demás, es la principal </t>
    </r>
    <r>
      <rPr>
        <i/>
        <sz val="12"/>
        <rFont val="Calibri Light"/>
        <family val="2"/>
        <scheme val="major"/>
      </rPr>
      <t xml:space="preserve">garantía </t>
    </r>
    <r>
      <rPr>
        <sz val="12"/>
        <rFont val="Calibri Light"/>
        <family val="2"/>
        <scheme val="major"/>
      </rPr>
      <t xml:space="preserve">de los Prestamistas), lo cual seguramente conllevará a un </t>
    </r>
    <r>
      <rPr>
        <i/>
        <sz val="12"/>
        <rFont val="Calibri Light"/>
        <family val="2"/>
        <scheme val="major"/>
      </rPr>
      <t xml:space="preserve">castigo </t>
    </r>
    <r>
      <rPr>
        <sz val="12"/>
        <rFont val="Calibri Light"/>
        <family val="2"/>
        <scheme val="major"/>
      </rPr>
      <t>por parte de los Prestamistas y, por ende, al aumento significativo del costo y riesgo del Proyecto. 
En este contexto, comedidamente solicitamos a la entidad que elimine los criterios mencionados en esta observación y, con el fin de reducir aún más la incertidumbre asociada con la aplicación de la fórmula (propósito que beneficia a ambas Partes del Contrato), introduzca un procedimiento mediante el cual se cuente con una acreditación periódica vinculante de la valoración de las fórmulas de terminación durante la ejecución del Contrato de Concesión.</t>
    </r>
  </si>
  <si>
    <r>
      <t xml:space="preserve">Por otro lado, vemos que, como parte de listado de </t>
    </r>
    <r>
      <rPr>
        <i/>
        <sz val="12"/>
        <rFont val="Calibri Light"/>
        <family val="2"/>
        <scheme val="major"/>
      </rPr>
      <t>actividades</t>
    </r>
    <r>
      <rPr>
        <sz val="12"/>
        <rFont val="Calibri Light"/>
        <family val="2"/>
        <scheme val="major"/>
      </rPr>
      <t xml:space="preserve"> admisibles de la variable ARh, la ANI no parece haber incluido diversos rubros connaturales a o causados por    la ejecución y terminación de cualquier proyecto de asociación público privada, como: i) los costos de terminación de los mecanismos de cobertura que utilice el Concesionario dentro de su estructura de financiación, ii) las penalidades por prepago de la financiación, y iii) otros costos indirectos asociados con la ejecución del Contrato (como honorarios de asesores, gestiones para la consecución de permisos que no hagan parte de las Gestiones Ambientales o Prediales).
Lo anterior, no sólo impide en la práctica que el Concesionario implemente instrumentos financieros de particular utilidad para la administración y mitigación de riesgos en este tipo de proyectos (como cross-currency swaps y otros derivados para cobertura de tasas de interés, cuyo uso sería inviable de no reconocerse sus costos de ruptura), sino que desconoce la estructura de costos propia de cualquier modalidad de financiación senior que se vaya a implementar para el Proyecto (al no reconocer elementos propios a dichas modalidades como las comisiones de prepago) y pone en riesgo de no ser repagados a diversos componentes esenciales para la ejecución del Proyecto.
Por todo lo anterior, solicitamos comedidamente que dichos rubros sean incluido como parte de la variable ARh.</t>
    </r>
  </si>
  <si>
    <r>
      <t xml:space="preserve">La introducción de la variable F en las fórmulas de liquidación introduce diversas distorsiones al cálculo de la liquidación al desconocer no sólo las responsabilidades y  asignación de riesgos del Contrato (entre ellas, la libertad de desarrollo de estructuras financieras por parte del Concesiones y la asignación del riesgo de apalancamiento del Proyecto, por medio de la variable FAE), sino al implementar criterios </t>
    </r>
    <r>
      <rPr>
        <i/>
        <sz val="12"/>
        <rFont val="Calibri Light"/>
        <family val="2"/>
        <scheme val="major"/>
      </rPr>
      <t xml:space="preserve">unilaterales </t>
    </r>
    <r>
      <rPr>
        <sz val="12"/>
        <rFont val="Calibri Light"/>
        <family val="2"/>
        <scheme val="major"/>
      </rPr>
      <t xml:space="preserve">y </t>
    </r>
    <r>
      <rPr>
        <i/>
        <sz val="12"/>
        <rFont val="Calibri Light"/>
        <family val="2"/>
        <scheme val="major"/>
      </rPr>
      <t>subjetivos</t>
    </r>
    <r>
      <rPr>
        <sz val="12"/>
        <rFont val="Calibri Light"/>
        <family val="2"/>
        <scheme val="major"/>
      </rPr>
      <t xml:space="preserve"> de determinación de ciertos rubros de la fórmula (como en la variable FDiv). Todo lo anterior, genera contingencias e inflexibilidades considerables al Concesionario y a los Prestamistas que, en la práctica, limitan la ejecución eficiente del Proyecto, limitando las herramientas que han sido utilizado en los proyectos de la Cuarta Generación de Concesiones Viales para asegurar el avance de las obras. 
Por demás, estas variables deja sin cobertura a los inversionistas frente aportes de equity superiores al monto mínimo contractual requerido, con lo cual un inversionista difícilmente realizará aportes por encima del límite. Esto no solo genera los efectos descritos arriba, sino que dificulta en gran medida la financiación (considerando los montos efectivos de aporte de equity que los Prestamistas han solicitado en la 4G). 
Por lo anterior solicitamos considerar la eliminación de la variable F en las fórmulas de liquidación.</t>
    </r>
  </si>
  <si>
    <r>
      <t>Considerando que en estructuras tipo</t>
    </r>
    <r>
      <rPr>
        <i/>
        <sz val="12"/>
        <rFont val="Calibri Light"/>
        <family val="2"/>
        <scheme val="major"/>
      </rPr>
      <t xml:space="preserve"> project finance </t>
    </r>
    <r>
      <rPr>
        <sz val="12"/>
        <rFont val="Calibri Light"/>
        <family val="2"/>
        <scheme val="major"/>
      </rPr>
      <t xml:space="preserve">es usual que se vinculen recursos distintos de </t>
    </r>
    <r>
      <rPr>
        <i/>
        <sz val="12"/>
        <rFont val="Calibri Light"/>
        <family val="2"/>
        <scheme val="major"/>
      </rPr>
      <t xml:space="preserve">equity </t>
    </r>
    <r>
      <rPr>
        <sz val="12"/>
        <rFont val="Calibri Light"/>
        <family val="2"/>
        <scheme val="major"/>
      </rPr>
      <t xml:space="preserve">(como </t>
    </r>
    <r>
      <rPr>
        <i/>
        <sz val="12"/>
        <rFont val="Calibri Light"/>
        <family val="2"/>
        <scheme val="major"/>
      </rPr>
      <t>bridge loans</t>
    </r>
    <r>
      <rPr>
        <sz val="12"/>
        <rFont val="Calibri Light"/>
        <family val="2"/>
        <scheme val="major"/>
      </rPr>
      <t xml:space="preserve">) para reducir los costos de financiación asociados con los rubros de la Fase de Preconstrucción, solicitamos a la ANI que se reconozcan estos tipos de financiación complementaria como parte de las variables C y F de la fórmula de liquidación aplicable a dicha Fase. De lo contrario, se obligaría al Concesionario a utilizar exclusivamente </t>
    </r>
    <r>
      <rPr>
        <i/>
        <sz val="12"/>
        <rFont val="Calibri Light"/>
        <family val="2"/>
        <scheme val="major"/>
      </rPr>
      <t xml:space="preserve">equity </t>
    </r>
    <r>
      <rPr>
        <sz val="12"/>
        <rFont val="Calibri Light"/>
        <family val="2"/>
        <scheme val="major"/>
      </rPr>
      <t>o deuda subordinada de los accionistas en esta Fase, lo cual, por definición, aumentaría innecesariamente el costo del Proyecto.</t>
    </r>
  </si>
  <si>
    <r>
      <t>Teniendo en cuenta que en la tabla 6 del Apéndice Técnico 1 se establece que se debe conservar la geometría existente y a su vez dice que se debe dar cumplimiento de la Ley 105 de 93, ¿qué estándar prevalece en los eventos en que la geometría existente no cumpla con lo exigido para el efecto en la Ley 105 de 1993 (</t>
    </r>
    <r>
      <rPr>
        <i/>
        <sz val="12"/>
        <rFont val="Calibri Light"/>
        <family val="2"/>
        <scheme val="major"/>
      </rPr>
      <t xml:space="preserve">i.e. </t>
    </r>
    <r>
      <rPr>
        <sz val="12"/>
        <rFont val="Calibri Light"/>
        <family val="2"/>
        <scheme val="major"/>
      </rPr>
      <t xml:space="preserve">se mantiene la geometría o se debe intervenir para cumplir con dicha Ley)? </t>
    </r>
  </si>
  <si>
    <r>
      <t>"</t>
    </r>
    <r>
      <rPr>
        <i/>
        <sz val="12"/>
        <rFont val="Calibri Light"/>
        <family val="2"/>
        <scheme val="major"/>
      </rPr>
      <t>3.3.3.1.3. Equipo para Auxilio Mecánico 
Para proporcionar el servicio de atención mecánica de emergencia, el Concesionario deberá disponer de servicio de grúa para vehículos pesados y livianos propio o subcontratado, el cual se desplazará al lugar del suceso para retirar el vehículo y trasladarlo al Área de Servicio más cercana o a algún taller mecánico ubicado en alguna población en la zona atendida por la carretera. En esa ubicación, el Concesionario deberá disponer de un taller propio o subcontratado con capacidad para arreglar averías básicas (repuestos menores, baterías, pinchazos, etc.) según el diagnóstico del mecánico. Este servicio estará disponible las 24 horas de todos los Días del año."
En caso de que se requiera una reparación mayor, los costos de traslado al taller estarán a cargo del Concesionario y el pago de peajes de salida del sistema vial correrá por cuenta del damnificad</t>
    </r>
    <r>
      <rPr>
        <sz val="12"/>
        <rFont val="Calibri Light"/>
        <family val="2"/>
        <scheme val="major"/>
      </rPr>
      <t>o." 
Proponemos que se considere únicamente la atención de averías mecánicas básicas, tal como se relaciona en el primer párrafo de este numeral, esto con el fin de que la obligación contractual sea clara y no se de pie a interpretaciones que puedan atentar contra la prestación de los servicios obligatorios y el cumplimiento de indicadores, al no ser clara la delimitación y alcance del traslado.</t>
    </r>
  </si>
  <si>
    <r>
      <t xml:space="preserve">PROYECTO PLIEGO-1.8-VISITAS AL LUGAR DONDE SE DESARROLLARÁ EL PROYECTO, DEBIDA DILIGENCIA E  INFORMACIÓN SOBRE EL PROYECTO-El examen que deberán hacer los interesados incluirá también, entre otras cosas y  sin limitarse necesariamente a éstas, la revisión de todos los asuntos e informaciones relacionados con el Contrato y los lugares donde se ejecutará el Proyecto, incluyendo condiciones de transporte a los sitios de trabajo, obtención, manejo y almacenamiento de materiales, transporte, manejo y disposición de materiales sobrantes, disponibilidad de materiales y mano de obra disponible  para acometer las obras necesarias para la ejecución de las obligaciones  señaladas en el Contrato, aspectos ambientales, presencia de comunidades protegidas por la Ley, entre otros. Adicionalmente, los interesados deberán  verificar las condiciones climáticas, de pluviosidad, topográficas y geológicas,  </t>
    </r>
    <r>
      <rPr>
        <b/>
        <u/>
        <sz val="12"/>
        <rFont val="Calibri Light"/>
        <family val="2"/>
        <scheme val="major"/>
      </rPr>
      <t>las características de los equipos requeridos para la ejecución de las obligaciones  del Contrato</t>
    </r>
    <r>
      <rPr>
        <sz val="12"/>
        <rFont val="Calibri Light"/>
        <family val="2"/>
        <scheme val="major"/>
      </rPr>
      <t xml:space="preserve">, las características del tráfico automotor en cada una de las calzadas  del Proyecto, considerando el volumen y peso de los vehículos, existencia e  interferencias de Redes, y, en general, todos los demás aspectos que puedan  afectar el cumplimiento del Contrato, todo lo cual debe ser tomado en cuenta  para la preparación de la Oferta. </t>
    </r>
  </si>
  <si>
    <r>
      <t xml:space="preserve">PROYECTO PLIEGO-5.4.5 -5.4 INCENTIVO A LA INDUSTRIA NACIONAL Y RECIPROCIDAD-El porcentaje de incorporación a que se refiere el presente aparte, se  medirá en función del valor total invertido por el Oferente en la  adquisición de los bienes que se incorporarán en la infraestructura  contratada. Por bienes incorporados en la infraestructura, se entienden  los siguientes: 
- Aceros 
- Asfalto y mezclas asfálticas 
- Concretos 
- Riegos y Emulsiones 
- Geomallas y Geotextiles 
- Material de sub-base 
- Material de base 
- Tubería de drenaje 
- Pintura de demarcación 
- Elementos de contención vehicular 
- Equipos y sistemas electromecánicos y electrónicos operación de  túneles 
- Dispositivos de automatización e integrador de sistemas  operacionales de túneles 
- Transformadores 
</t>
    </r>
    <r>
      <rPr>
        <b/>
        <u/>
        <sz val="12"/>
        <rFont val="Calibri Light"/>
        <family val="2"/>
        <scheme val="major"/>
      </rPr>
      <t>- Sistemas y dispositivos de iluminación.</t>
    </r>
    <r>
      <rPr>
        <sz val="12"/>
        <rFont val="Calibri Light"/>
        <family val="2"/>
        <scheme val="major"/>
      </rPr>
      <t xml:space="preserve"> 
- Sistemas y dispositivos para contra -incendios. 
- Sistemas y dispositivos de los sistemas de ventilación 
- Vehículos Para la Construcción y Operación de la Vía objeto de  la concesión.</t>
    </r>
  </si>
  <si>
    <r>
      <t xml:space="preserve">ANEXO TÉCNICO 1 ALCANCE DEL PROYECTO-5.4-Sistemas de comunicación y postes SOS-(a) Como se establece en el Apéndice Técnico 2, el Concesionario deberá proveer al sistema de comunicación de todos los elementos y equipos necesarios para el cumplimiento adecuado de sus funciones. Estos deben incluir entre otros, estaciones de telecomunicaciones, postes SOS, telefonía operacional, </t>
    </r>
    <r>
      <rPr>
        <b/>
        <u/>
        <sz val="12"/>
        <rFont val="Calibri Light"/>
        <family val="2"/>
        <scheme val="major"/>
      </rPr>
      <t>radiocomunicación</t>
    </r>
    <r>
      <rPr>
        <sz val="12"/>
        <rFont val="Calibri Light"/>
        <family val="2"/>
        <scheme val="major"/>
      </rPr>
      <t>, interconexión de equipos de computación y conexión directa con la ANI. Como principios básicos del sistema de comunicación se contempla que el Concesionario(i) tenga capacidad de intercomunicarse de forma inmediata y permanente dentro del Proyecto, esto es entre el(los) Centro(s) de Control de Operación, Áreas de Servicio, las Estaciones de Peaje, y demás instalaciones destinadas a la Operación del Proyecto, (ii) tenga comunicación eficiente y adecuada con los usuarios que además le permita garantizar que se les da un servicio adecuado para cumplir con el Contrato y (iii) tenga la capacidad de transmitir información a la ANI de forma inmediata como se establece en el dicho Apéndice.</t>
    </r>
  </si>
  <si>
    <r>
      <t xml:space="preserve">ANEXO TÉCNICO 1 ALCANCE DEL PROYECTO-5.4-Sistemas de comunicación y postes SOS-(d) El sistema de comunicaciones deberá ser proyectado de forma que pueda servir de interconexión de equipos y sistemas diversos con señales de voz, datos y </t>
    </r>
    <r>
      <rPr>
        <b/>
        <u/>
        <sz val="12"/>
        <rFont val="Calibri Light"/>
        <family val="2"/>
        <scheme val="major"/>
      </rPr>
      <t>video</t>
    </r>
    <r>
      <rPr>
        <sz val="12"/>
        <rFont val="Calibri Light"/>
        <family val="2"/>
        <scheme val="major"/>
      </rPr>
      <t>. El sistema SOS tendrá una central específica la cual podrá gestionar también las llamadas desde celular si así lo estima conveniente el Concesionario, Este servicio será instalado y comenzará a operar de forma gradual pero paralelamente con el progreso de las obras.</t>
    </r>
  </si>
  <si>
    <r>
      <t xml:space="preserve">ANEXO TÉCNICO 2 CONDICIONES DE OPERACIÓN Y MANTENIMIENTO-3.3.8. -Sistemas de Pesaje-Los sistemas de pesaje incluirán sistemas combinados </t>
    </r>
    <r>
      <rPr>
        <b/>
        <u/>
        <sz val="12"/>
        <rFont val="Calibri Light"/>
        <family val="2"/>
        <scheme val="major"/>
      </rPr>
      <t xml:space="preserve">dinámicos y estáticos </t>
    </r>
    <r>
      <rPr>
        <sz val="12"/>
        <rFont val="Calibri Light"/>
        <family val="2"/>
        <scheme val="major"/>
      </rPr>
      <t>y buscarán reducir el número de camiones que deban detenerse</t>
    </r>
  </si>
  <si>
    <r>
      <t xml:space="preserve">ANEXO TÉCNICO 2 CONDICIONES DE OPERACIÓN Y MANTENIMIENTO-3.3.8. -Sistemas de Pesaje-Todas las básculas utilizadas deben tener una capacidad de 100 toneladas. </t>
    </r>
    <r>
      <rPr>
        <b/>
        <u/>
        <sz val="12"/>
        <rFont val="Calibri Light"/>
        <family val="2"/>
        <scheme val="major"/>
      </rPr>
      <t>Las básculas fijas deberán tener un error máximo permisible del 1%, mientras que las dinámicas y las móviles podrán tener un error máximo permisible del 5%</t>
    </r>
    <r>
      <rPr>
        <sz val="12"/>
        <rFont val="Calibri Light"/>
        <family val="2"/>
        <scheme val="major"/>
      </rPr>
      <t>. Todas las básculas fijas deberán contar con un sistema automático de impresión del peso, identificando el vehículo y la compañía de transporte. La Interventoría verificará que se cumplan estas disposiciones.</t>
    </r>
  </si>
  <si>
    <r>
      <t xml:space="preserve">ANEXO TÉCNICO 2 CONDICIONES DE OPERACIÓN Y MANTENIMIENTO-3.3.10.1.-Centro de Control de Operaciones-El Concesionario deberá enviar mensajes periódicos a los Usuarios por medio de paneles de mensajes variables o de servicios de </t>
    </r>
    <r>
      <rPr>
        <b/>
        <u/>
        <sz val="12"/>
        <rFont val="Calibri Light"/>
        <family val="2"/>
        <scheme val="major"/>
      </rPr>
      <t>radiodifusió</t>
    </r>
    <r>
      <rPr>
        <sz val="12"/>
        <rFont val="Calibri Light"/>
        <family val="2"/>
        <scheme val="major"/>
      </rPr>
      <t>n. A través de estos mensajes informará a los Usuarios sobre condiciones de tráfico, velocidad máxima permitida, avisos de atención y otra información especificada en el apartado de control del tráfico. En situaciones anormales de tráfico, la información del Centro de Control de Operaciones servirá para implantar las acciones preventivas o correctivas que se requieran para la seguridad de los Usuarios, indicando por ejemplo desvíos de tráfico.</t>
    </r>
  </si>
  <si>
    <r>
      <t xml:space="preserve">ANEXO TÉCNICO 2 CONDICIONES DE OPERACIÓN Y MANTENIMIENTO-3.3.10.1.-Centro de Control de Operaciones-El encendido y apagado de la instalación de </t>
    </r>
    <r>
      <rPr>
        <b/>
        <u/>
        <sz val="12"/>
        <rFont val="Calibri Light"/>
        <family val="2"/>
        <scheme val="major"/>
      </rPr>
      <t>iluminación</t>
    </r>
    <r>
      <rPr>
        <sz val="12"/>
        <rFont val="Calibri Light"/>
        <family val="2"/>
        <scheme val="major"/>
      </rPr>
      <t xml:space="preserve"> de los tramos alumbrados de la(s) vía(s) podrá controlarse desde el Centro de Control, independientemente de que cuente con programadores locales que permitan establecer un horario de encendido. Para ello, los centros de mando de alumbrado (o armarios de alimentación eléctrica), deberán disponer de conexión a la red de comunicaciones, a través de la cual comunicarán su estado y recibirán señales del Centro de Control de Operaciones. Esto permite, junto con los contadores de consumo eléctrico, una gestión energética óptima, al tiempo que permite detectar fallos de funcionamiento del sistema.</t>
    </r>
  </si>
  <si>
    <r>
      <t>ANEXO TÉCNICO 2 CONDICIONES DE OPERACIÓN Y MANTENIMIENTO-3.3.10.1.-Centro de Control de Operaciones-</t>
    </r>
    <r>
      <rPr>
        <b/>
        <u/>
        <sz val="12"/>
        <rFont val="Calibri Light"/>
        <family val="2"/>
        <scheme val="major"/>
      </rPr>
      <t>El nivel de disponibilidad</t>
    </r>
    <r>
      <rPr>
        <sz val="12"/>
        <rFont val="Calibri Light"/>
        <family val="2"/>
        <scheme val="major"/>
      </rPr>
      <t xml:space="preserve"> de los equipos del Centro de Control de Operaciones será del noventa y nueve por ciento (99%) del tiempo anual. El Concesionario deberá realizar las actividades de Operación necesarias para que el funcionamiento de los sistemas de comunicación cumpla con lo estipulado en esta Sección.
ANEXO TÉCNICO 2 CONDICIONES DE OPERACIÓN Y MANTENIMIENTO-3.3.10.1.-Centro de Control de Operaciones-La disponibilidad mensual de los </t>
    </r>
    <r>
      <rPr>
        <b/>
        <u/>
        <sz val="12"/>
        <rFont val="Calibri Light"/>
        <family val="2"/>
        <scheme val="major"/>
      </rPr>
      <t xml:space="preserve">equipos de telecomunicaciones </t>
    </r>
    <r>
      <rPr>
        <sz val="12"/>
        <rFont val="Calibri Light"/>
        <family val="2"/>
        <scheme val="major"/>
      </rPr>
      <t>deberá ser mayor al noventa y nueve por ciento (99%) del tiempo.</t>
    </r>
  </si>
  <si>
    <r>
      <t xml:space="preserve">ANEXO TÉCNICO 2 CONDICIONES DE OPERACIÓN Y MANTENIMIENTO-3.3.4.2.-Dimensionamiento del Peaje. Niveles de Servicio.-El Concesionario será responsable del </t>
    </r>
    <r>
      <rPr>
        <b/>
        <u/>
        <sz val="12"/>
        <rFont val="Calibri Light"/>
        <family val="2"/>
        <scheme val="major"/>
      </rPr>
      <t>dimensionamiento inicial del número de cabinas de recaudo y de los equipos de cobro</t>
    </r>
    <r>
      <rPr>
        <sz val="12"/>
        <rFont val="Calibri Light"/>
        <family val="2"/>
        <scheme val="major"/>
      </rPr>
      <t xml:space="preserve">, inclusive semiautomáticos y automáticos, con el objeto de proveer un nivel de servicio satisfactorio que cumpla con los Indicadores.
ANEXO TÉCNICO 2 CONDICIONES DE OPERACIÓN Y MANTENIMIENTO-3.3.4.3.-Tecnología de Cobro y Control del Tráfico-Para garantizar el nivel de servicio solicitado, el Concesionario será responsable de </t>
    </r>
    <r>
      <rPr>
        <b/>
        <u/>
        <sz val="12"/>
        <rFont val="Calibri Light"/>
        <family val="2"/>
        <scheme val="major"/>
      </rPr>
      <t>definir el número de carriles de cada tecnología</t>
    </r>
    <r>
      <rPr>
        <sz val="12"/>
        <rFont val="Calibri Light"/>
        <family val="2"/>
        <scheme val="major"/>
      </rPr>
      <t xml:space="preserve"> que resulten necesarios en cada Estación de Peaje.</t>
    </r>
  </si>
  <si>
    <r>
      <t xml:space="preserve">ANEXO TÉCNICO 2 CONDICIONES DE OPERACIÓN Y MANTENIMIENTO-3.3.4.3.-Tecnología de Cobro y Control del Tráfico-Cobro semiautomático
Se desarrolla mediante las siguientes funciones:
• Clasificación de los vehículos de acuerdo con las categorías vigentes;
• Información automática acerca del monto a pagar;
• </t>
    </r>
    <r>
      <rPr>
        <b/>
        <u/>
        <sz val="12"/>
        <rFont val="Calibri Light"/>
        <family val="2"/>
        <scheme val="major"/>
      </rPr>
      <t>Autorización del cargo de la tarjeta débito o crédito por el monto correspondiente</t>
    </r>
    <r>
      <rPr>
        <sz val="12"/>
        <rFont val="Calibri Light"/>
        <family val="2"/>
        <scheme val="major"/>
      </rPr>
      <t>;
• Entrega del comprobante de pago correspondiente si el Usuario lo solicita;
• Información del monto o número de peajes restantes en la tarjeta de prepago;
• Autorización del levantamiento de la barrera de salida.</t>
    </r>
  </si>
  <si>
    <r>
      <t>ANEXO TÉCNICO 2 CONDICIONES DE OPERACIÓN Y MANTENIMIENTO-3.3.4.4.-Operación de Cobro, Recaudo y Manejo de Dinero.-El Concesionario</t>
    </r>
    <r>
      <rPr>
        <b/>
        <u/>
        <sz val="12"/>
        <rFont val="Calibri Light"/>
        <family val="2"/>
        <scheme val="major"/>
      </rPr>
      <t xml:space="preserve"> deberá mantener partes y repuestos</t>
    </r>
    <r>
      <rPr>
        <sz val="12"/>
        <rFont val="Calibri Light"/>
        <family val="2"/>
        <scheme val="major"/>
      </rPr>
      <t xml:space="preserve"> que permitan reparar o cambiar los equipos en el instante que se requiera, de manera que ningún equipo quede sin registrar vehículos en ningún momento de la operación.</t>
    </r>
  </si>
  <si>
    <r>
      <t xml:space="preserve">ANEXO TÉCNICO 2 CONDICIONES DE OPERACIÓN Y MANTENIMIENTO-3.3.4.5.-Control-El Concesionario operará la(s) caseta(s) de cobro empleando equipos de conteo y clasificación de vehículos que permitan que tanto él como la ANI y el Interventor lleven un control permanente y exacto del volumen y tipo de vehículos que hacen uso de la(s) vía(s). En caso de utilizar boletos, el Concesionario debe expedirlos con un texto previamente acordado con la ANI. </t>
    </r>
    <r>
      <rPr>
        <b/>
        <u/>
        <sz val="12"/>
        <rFont val="Calibri Light"/>
        <family val="2"/>
        <scheme val="major"/>
      </rPr>
      <t>Los equipos de conteo y clasificación de vehículos deben estar instalados y en operación en la fecha en que dé inicio el cobro de la Tarifa por parte del Concesionario</t>
    </r>
    <r>
      <rPr>
        <sz val="12"/>
        <rFont val="Calibri Light"/>
        <family val="2"/>
        <scheme val="major"/>
      </rPr>
      <t>.</t>
    </r>
  </si>
  <si>
    <r>
      <t xml:space="preserve">ANEXO TÉCNICO 2 CONDICIONES DE OPERACIÓN Y MANTENIMIENTO-3.3.4.5.-Control-En el caso de las Estaciones de Peaje existentes y entregadas al Concesionario mediante el Acta de Entrega de Infraestructura, el Concesionario utilizará los equipos de conteo y clasificación de vehículos disponibles hasta tanto se disponga de su reposición conforme al Plan de Obra. En todo caso, el Plan de Obra considerará el estado de los equipos existentes para determinar el momento de su reposición, que ocurrirá </t>
    </r>
    <r>
      <rPr>
        <b/>
        <u/>
        <sz val="12"/>
        <rFont val="Calibri Light"/>
        <family val="2"/>
        <scheme val="major"/>
      </rPr>
      <t>antes de expirada la vida útil del equipo</t>
    </r>
    <r>
      <rPr>
        <sz val="12"/>
        <rFont val="Calibri Light"/>
        <family val="2"/>
        <scheme val="major"/>
      </rPr>
      <t xml:space="preserve"> conforme a las especificaciones del fabricante o las buenas prácticas en la operación de estos equipos y en todo caso antes de la suscripción del Acta de Terminación de la Unidad Funcional correspondiente, para el caso de UF0 el Concesionario deberá cumplir con el Apéndice Técnico 4, según corresponda</t>
    </r>
  </si>
  <si>
    <r>
      <t>ANEXO TÉCNICO 2 CONDICIONES DE OPERACIÓN Y MANTENIMIENTO-3.3.4.5.-Control-</t>
    </r>
    <r>
      <rPr>
        <b/>
        <u/>
        <sz val="12"/>
        <rFont val="Calibri Light"/>
        <family val="2"/>
        <scheme val="major"/>
      </rPr>
      <t xml:space="preserve">Si el Concesionario estima conveniente cambiar alguno de los equipos de control de tránsito instalados </t>
    </r>
    <r>
      <rPr>
        <sz val="12"/>
        <rFont val="Calibri Light"/>
        <family val="2"/>
        <scheme val="major"/>
      </rPr>
      <t>y en operación en las Estaciones de Peaje que la ANI le entregará como parte de la Concesión lo podrá hacer, a su costo. En todo caso, una vez recibidas las Estaciones de Peaje, el Concesionario deberá contar en todo momento con equipos de control en funcionamiento que cumplan con las especificaciones mínimas establecidas en el presente Apéndice Técnico y con los Indicadores.</t>
    </r>
  </si>
  <si>
    <r>
      <t xml:space="preserve">ANEXO TÉCNICO 2 CONDICIONES DE OPERACIÓN Y MANTENIMIENTO-3.3.5.1.-Sistema de Control de Tráfico-En cada Estación de Peaje, el Sistema de Control de Tráfico deberá contar al menos con los siguientes equipos: equipos de detección y sensores de pista (o carril); paneles de mensajes variables </t>
    </r>
    <r>
      <rPr>
        <b/>
        <u/>
        <sz val="12"/>
        <rFont val="Calibri Light"/>
        <family val="2"/>
        <scheme val="major"/>
      </rPr>
      <t>(al menos dos por cada área de peaje</t>
    </r>
    <r>
      <rPr>
        <sz val="12"/>
        <rFont val="Calibri Light"/>
        <family val="2"/>
        <scheme val="major"/>
      </rPr>
      <t>), de acuerdo con lo establecido en el numeral 2.9.1.8 de la Resolución 546 de 2018; equipos de monitoreo meteorológico; vehículos de inspección de tráfico; circuito cerrado de TV (CCTV); cámara panorámica, detectores de altura, y sistemas de control de velocidad, los cuales, en todo caso, obedecerán al soporte técnico del Estudio de Detalle respectivo. </t>
    </r>
  </si>
  <si>
    <r>
      <t xml:space="preserve">ANEXO TÉCNICO 2 CONDICIONES DE OPERACIÓN Y MANTENIMIENTO-3.3.5.1.-Sistema de Control de Tráfico-Los equipos de control de tráfico deberán ser instalados en todas las Estaciones de Peaje y en otros puntos donde se requiera monitorear el tráfico, </t>
    </r>
    <r>
      <rPr>
        <b/>
        <u/>
        <sz val="12"/>
        <rFont val="Calibri Light"/>
        <family val="2"/>
        <scheme val="major"/>
      </rPr>
      <t>los cuales serán definidos conjuntamente por el Concesionario y la Interventoría</t>
    </r>
    <r>
      <rPr>
        <sz val="12"/>
        <rFont val="Calibri Light"/>
        <family val="2"/>
        <scheme val="major"/>
      </rPr>
      <t>.</t>
    </r>
  </si>
  <si>
    <r>
      <t xml:space="preserve">ANEXO TÉCNICO 2 CONDICIONES DE OPERACIÓN Y MANTENIMIENTO-6.3.4. -Iluminación-El Concesionario se obliga a </t>
    </r>
    <r>
      <rPr>
        <b/>
        <u/>
        <sz val="12"/>
        <rFont val="Calibri Light"/>
        <family val="2"/>
        <scheme val="major"/>
      </rPr>
      <t>asegurar la adecuada iluminación</t>
    </r>
    <r>
      <rPr>
        <sz val="12"/>
        <rFont val="Calibri Light"/>
        <family val="2"/>
        <scheme val="major"/>
      </rPr>
      <t xml:space="preserve"> de todas y cada una de las Estaciones de Pesaje, Estaciones de Peaje, Centros de Control de Operación, intersecciones a nivel y a desnivel, paraderos y pasos peatonales, y Áreas de Servicio de la(s) vía(s), con el fin de dar seguridad a la Operación en estos sitios. El Concesionario deberá igualmente asegurar el Mantenimiento de la iluminación que pueda existir en otras zonas de la(s) vía(s).
Los Indicadores relacionados con la iluminación de las vías se presentan a continuación.
En caso de que se presenten deficiencias en el funcionamiento de la iluminación, el Concesionario deberá corregir o remplazar las lámparas defectuosas, administración en los tiempos establecidos en el Apéndice Técnico 4.</t>
    </r>
  </si>
  <si>
    <r>
      <t>Respetuosamente, sometemos a consideración de la Entidad la redacción del siguiente a parte, para que se incluya la parte en negrilla: "(o donde el conjunto de poblaciones sumen</t>
    </r>
    <r>
      <rPr>
        <b/>
        <sz val="12"/>
        <rFont val="Calibri Light"/>
        <family val="2"/>
        <scheme val="major"/>
      </rPr>
      <t xml:space="preserve"> más</t>
    </r>
    <r>
      <rPr>
        <sz val="12"/>
        <rFont val="Calibri Light"/>
        <family val="2"/>
        <scheme val="major"/>
      </rPr>
      <t xml:space="preserve">  50000 habitantes).</t>
    </r>
  </si>
  <si>
    <r>
      <t>Cuarto de Datos ANI
ESTUDIOS Y ANÁLISIS ADICIONALES-4.5.2.1.1-Justificación de equipos-4.5.2.1.1	Justificación de equipos
Los puntos de conteo vehicular de tecnología se dispondrán en variantes, peajes, entradas y salidas de poblaciones con más de 50.000 habitantes (</t>
    </r>
    <r>
      <rPr>
        <u/>
        <sz val="12"/>
        <rFont val="Calibri Light"/>
        <family val="2"/>
        <scheme val="major"/>
      </rPr>
      <t>o donde el conjunto de poblaciones sume 50000 habitantes</t>
    </r>
    <r>
      <rPr>
        <sz val="12"/>
        <rFont val="Calibri Light"/>
        <family val="2"/>
        <scheme val="major"/>
      </rPr>
      <t>).</t>
    </r>
  </si>
  <si>
    <r>
      <t xml:space="preserve">Cuarto de Datos ANI
ANI ESTUDIOS Y ANÁLISIS ADICIONALES-1.1.1.8-4.5.2	Sistema de Análisis de Tráfico.   / Recomendaciones-Se recomienda la instalación de tecnología </t>
    </r>
    <r>
      <rPr>
        <b/>
        <sz val="12"/>
        <rFont val="Calibri Light"/>
        <family val="2"/>
        <scheme val="major"/>
      </rPr>
      <t xml:space="preserve">no invasiva </t>
    </r>
    <r>
      <rPr>
        <sz val="12"/>
        <rFont val="Calibri Light"/>
        <family val="2"/>
        <scheme val="major"/>
      </rPr>
      <t xml:space="preserve">frente a la invasiva.
Como características generales el equipo tendrá las siguientes:
•	Permitirá una cobertura de todos los carriles de la calzada donde se quiera realizar la toma de datos.
•	Permitirá establecimiento de zonas de detección para discriminar vehículos en carriles diferentes.
•	Utilización de la banda de 24 GHz
•	Elaboración de al menos los siguientes tipos de datos:  volumen, ocupación, velocidad, separación entre vehículos, clasificación (en las categorías establecidas en los manuales del INVIAS)
•	Memoria interna de almacenamiento de datos.
•	Interfaces de comunicación y alimentación de acuerdo a estándares de mercado.
•	Protección adecuada para su uso en condiciones de intemperie.
Para el desarrollo del proyecto se podría considerar el sistema de registro por espiras teniendo en cuenta la alta confiabilidad que brinda </t>
    </r>
    <r>
      <rPr>
        <b/>
        <sz val="12"/>
        <rFont val="Calibri Light"/>
        <family val="2"/>
        <scheme val="major"/>
      </rPr>
      <t>(técnología invasiva)</t>
    </r>
    <r>
      <rPr>
        <sz val="12"/>
        <rFont val="Calibri Light"/>
        <family val="2"/>
        <scheme val="major"/>
      </rPr>
      <t>. La solución por espiras se destaca por su gran sensibilidad, tiempos de medición reducidos y alto grado de funcionalidad.</t>
    </r>
  </si>
  <si>
    <r>
      <t xml:space="preserve">En los documentos de estudios adicionales F2111, se especifica una estación ambiental para los corredores 1, 3 y 15. En los documentos F1211, F3111, F4111,Y F5111 no se especifica la cantidad de estaciones ambientales. Por lo tanto, solicitamos a la ANI que aclare si en estos corredores </t>
    </r>
    <r>
      <rPr>
        <b/>
        <sz val="12"/>
        <rFont val="Calibri Light"/>
        <family val="2"/>
        <scheme val="major"/>
      </rPr>
      <t>no</t>
    </r>
    <r>
      <rPr>
        <sz val="12"/>
        <rFont val="Calibri Light"/>
        <family val="2"/>
        <scheme val="major"/>
      </rPr>
      <t xml:space="preserve"> existirán estaciones, a pesar de que los requerimientos ANI consideran una estación mínimo por UF?</t>
    </r>
  </si>
  <si>
    <r>
      <t xml:space="preserve">Teniendo en cuenta la redacción actual de la presente sección, se sugiere el traslado de dichos sobrantes </t>
    </r>
    <r>
      <rPr>
        <b/>
        <u/>
        <sz val="12"/>
        <rFont val="Calibri Light"/>
        <family val="2"/>
        <scheme val="major"/>
      </rPr>
      <t>diariamente</t>
    </r>
    <r>
      <rPr>
        <sz val="12"/>
        <rFont val="Calibri Light"/>
        <family val="2"/>
        <scheme val="major"/>
      </rPr>
      <t xml:space="preserve"> a la Subcuenta, para un mejor control operativo (no mensual como se requiere actualmentte). Adicionalmente, solicitamos a la Entidad que indique si existiría algún beneficio del concesionario con los sobrantes (% o monto de remuneración), ya que estos salen de la supervisión y control que éste ejerce.</t>
    </r>
  </si>
  <si>
    <r>
      <t xml:space="preserve">Para los tramos cuyo tipo de intervención corresponde a la puesta a punto, mantenimiento y rehabilitación, es importante especificar a nivel geométrico les pédimos aclarar el alcance a ejecutar. Asimismo, aclarar qué especificaciones se deberán cumplir teniendo en cuenta la definición de este tipo de intervención "... </t>
    </r>
    <r>
      <rPr>
        <i/>
        <sz val="12"/>
        <rFont val="Calibri Light"/>
        <family val="2"/>
        <scheme val="major"/>
      </rPr>
      <t xml:space="preserve">llevar la vía a sus condiciones iniciales de construcción, con el propósito de que se cumplan las </t>
    </r>
    <r>
      <rPr>
        <i/>
        <u/>
        <sz val="12"/>
        <rFont val="Calibri Light"/>
        <family val="2"/>
        <scheme val="major"/>
      </rPr>
      <t>especificaciones técnicas</t>
    </r>
    <r>
      <rPr>
        <i/>
        <sz val="12"/>
        <rFont val="Calibri Light"/>
        <family val="2"/>
        <scheme val="major"/>
      </rPr>
      <t xml:space="preserve"> para las que se diseñó</t>
    </r>
    <r>
      <rPr>
        <sz val="12"/>
        <rFont val="Calibri Light"/>
        <family val="2"/>
        <scheme val="major"/>
      </rPr>
      <t>". Teniendo en cuenta lo anterior, se solicita a la Entidad aclarar a qué especificación técnica se hace referencia, dado que los estudios de la estructuración no lo indican.</t>
    </r>
  </si>
  <si>
    <r>
      <t xml:space="preserve">Dentro de la presente sección, sometemos a  consideración de la Entidad, la inclusión del siguiente párrafo: </t>
    </r>
    <r>
      <rPr>
        <i/>
        <sz val="12"/>
        <rFont val="Calibri Light"/>
        <family val="2"/>
        <scheme val="major"/>
      </rPr>
      <t>Salvo por las coberturas a cargo de la ANI expresamente previstas en el presente Contrato</t>
    </r>
    <r>
      <rPr>
        <sz val="12"/>
        <rFont val="Calibri Light"/>
        <family val="2"/>
        <scheme val="major"/>
      </rPr>
      <t>. Lo anterior dado que existe la posibilidad que se pueden presentar cambios de trazado en los tramos de construcción durante la gestión de la licencia ambiental, causa no imputable al Concesionario.</t>
    </r>
  </si>
  <si>
    <r>
      <t>En la sección 7.5. (b) (i) se menciona que el plazo de las coberturas será por el</t>
    </r>
    <r>
      <rPr>
        <i/>
        <sz val="12"/>
        <rFont val="Calibri Light"/>
        <family val="2"/>
        <scheme val="major"/>
      </rPr>
      <t xml:space="preserve"> "plazo de duración de la Fase de Construcción de cada Unidad Funcional".</t>
    </r>
    <r>
      <rPr>
        <sz val="12"/>
        <rFont val="Calibri Light"/>
        <family val="2"/>
        <scheme val="major"/>
      </rPr>
      <t xml:space="preserve"> Entendemos que habría que añadir que sea conforme al calendario de ejecución que se defina para cada Unidad Funcional</t>
    </r>
  </si>
  <si>
    <r>
      <t xml:space="preserve">En el </t>
    </r>
    <r>
      <rPr>
        <i/>
        <sz val="12"/>
        <rFont val="Calibri Light"/>
        <family val="2"/>
        <scheme val="major"/>
      </rPr>
      <t>capítulo IV Infraestructura Proyectada, apartado 4.1 División por Unidades Funcionales, tabla 5 Unidades funcionales del proyecto del Apéndice Técnico 1 al Contrato de Concesión</t>
    </r>
    <r>
      <rPr>
        <sz val="12"/>
        <rFont val="Calibri Light"/>
        <family val="2"/>
        <scheme val="major"/>
      </rPr>
      <t>, entendemos que el primer tramo incluido en la UF2 definido como Santander de Quilichao-Ye de Villa Rica-Intersección Candelaria-Intersección Acceso Sur Palmira-Intersección Cali-Palmira 3 (Palmira-El Cerrito), debería ser en realidad Santander de Quilichao-Ye de Villa Rica-Intersección Candelaria-Intersección Acceso Sur Palmira-</t>
    </r>
    <r>
      <rPr>
        <b/>
        <sz val="12"/>
        <rFont val="Calibri Light"/>
        <family val="2"/>
        <scheme val="major"/>
      </rPr>
      <t>Intersección Cali-Palmira 5 (Palmira-El Cerrito).</t>
    </r>
  </si>
  <si>
    <r>
      <t xml:space="preserve">Solicitamos que se aclare en el Pliego de Condiciones que se entienden matrices no sólo quienes ejercen control directo sobre el Oferente o cualquiera de sus Integrantes, sino que se entiendan en este concepto también quienes ejercen el control indirecto (es decir quien  es controlante de la controlante del Oferente o el Integrante respectivo). Esto, teniendo en cuenta que existen estructuras societarias y grupos empresariales que tienen varias sociedades/fondos y demás y al final quien concentra toda la experiencia es una gran matriz que controla todo el grupo empresarial.
Para esto, proponemos que en el numeral 1.3.41 se establezca que son matrices quienes </t>
    </r>
    <r>
      <rPr>
        <i/>
        <sz val="12"/>
        <rFont val="Calibri Light"/>
        <family val="2"/>
        <scheme val="major"/>
      </rPr>
      <t xml:space="preserve">“ejerzan control </t>
    </r>
    <r>
      <rPr>
        <b/>
        <i/>
        <sz val="12"/>
        <rFont val="Calibri Light"/>
        <family val="2"/>
        <scheme val="major"/>
      </rPr>
      <t>directo o indirecto</t>
    </r>
    <r>
      <rPr>
        <i/>
        <sz val="12"/>
        <rFont val="Calibri Light"/>
        <family val="2"/>
        <scheme val="major"/>
      </rPr>
      <t xml:space="preserve"> sobre el Oferente o cualquiera de sus Integrantes, en los términos del numeral 4.4 de este Pliego”.</t>
    </r>
  </si>
  <si>
    <r>
      <t xml:space="preserve">Solicitamos que se aclare en el Pliego de Condiciones que se entienden matrices no sólo las personas naturales o jurídicas (de naturaleza societaria o no societaria) sino que también entran en este supuesto los </t>
    </r>
    <r>
      <rPr>
        <b/>
        <sz val="12"/>
        <rFont val="Calibri Light"/>
        <family val="2"/>
        <scheme val="major"/>
      </rPr>
      <t>Fondos de Capital Privado</t>
    </r>
    <r>
      <rPr>
        <sz val="12"/>
        <rFont val="Calibri Light"/>
        <family val="2"/>
        <scheme val="major"/>
      </rPr>
      <t xml:space="preserve">. Esto, teniendo en cuenta que existen estructuras societarias y grupos empresariales que tienen este tipo de Fondos como principales accionistas y que en algunas jurisdicciones estos fondos no cuentan con personalidad jurídica, excluyendo a estos grupos de participar en las mismas condiciones de los demás (aplicando la regla del 4.4).
Para esto, proponemos que se aclare en el numeral 1.3.41 que Matrices </t>
    </r>
    <r>
      <rPr>
        <i/>
        <sz val="12"/>
        <rFont val="Calibri Light"/>
        <family val="2"/>
        <scheme val="major"/>
      </rPr>
      <t xml:space="preserve">“Son las personas naturales o jurídicas (de naturaleza societaria o no societaria) </t>
    </r>
    <r>
      <rPr>
        <b/>
        <i/>
        <sz val="12"/>
        <rFont val="Calibri Light"/>
        <family val="2"/>
        <scheme val="major"/>
      </rPr>
      <t>y Fondos de Capital Privado</t>
    </r>
    <r>
      <rPr>
        <i/>
        <sz val="12"/>
        <rFont val="Calibri Light"/>
        <family val="2"/>
        <scheme val="major"/>
      </rPr>
      <t xml:space="preserve"> (…)”.</t>
    </r>
  </si>
  <si>
    <r>
      <t xml:space="preserve">Solicitamos que se aclare que el control al que se refieren los numerales 1.341 y 4.4.2(a) se puedan ejercer de forma </t>
    </r>
    <r>
      <rPr>
        <b/>
        <sz val="12"/>
        <rFont val="Calibri Light"/>
        <family val="2"/>
        <scheme val="major"/>
      </rPr>
      <t>individual o conjunta</t>
    </r>
    <r>
      <rPr>
        <sz val="12"/>
        <rFont val="Calibri Light"/>
        <family val="2"/>
        <scheme val="major"/>
      </rPr>
      <t xml:space="preserve">. De esta manera, si una sociedad cuenta con dos accionistas que, por ejemplo, tienen el 33% de participación cada uno, pero de forma conjunta ejercen el control sobre dicha sociedad (ya sea porque existe un acuerdo, o, en caso de Fondos de Capital Privado porque son dirigidos por el mismo gestor o fund manager) se pueda recurrir a éstos para la acreditación de Requisitos Habilitantes conforme al numeral 4.4 del Pliego de Condiciones.
Siendo así, proponemos: (i) que en el numeral 1.3.41 se aclare que es matriz quien ejerce </t>
    </r>
    <r>
      <rPr>
        <i/>
        <sz val="12"/>
        <rFont val="Calibri Light"/>
        <family val="2"/>
        <scheme val="major"/>
      </rPr>
      <t xml:space="preserve">“control </t>
    </r>
    <r>
      <rPr>
        <b/>
        <i/>
        <sz val="12"/>
        <rFont val="Calibri Light"/>
        <family val="2"/>
        <scheme val="major"/>
      </rPr>
      <t>individual o conjunto</t>
    </r>
    <r>
      <rPr>
        <i/>
        <sz val="12"/>
        <rFont val="Calibri Light"/>
        <family val="2"/>
        <scheme val="major"/>
      </rPr>
      <t xml:space="preserve"> sobre el Oferente o cualquiera de sus Integrantes, en los términos del numeral 4.4 de este Pliego”;</t>
    </r>
    <r>
      <rPr>
        <sz val="12"/>
        <rFont val="Calibri Light"/>
        <family val="2"/>
        <scheme val="major"/>
      </rPr>
      <t xml:space="preserve"> y (ii) que en el numeral 4.4.2(a) se aclare que “Se considerará que habrá situación de control únicamente cuando se verifique que </t>
    </r>
    <r>
      <rPr>
        <b/>
        <sz val="12"/>
        <rFont val="Calibri Light"/>
        <family val="2"/>
        <scheme val="major"/>
      </rPr>
      <t>quien</t>
    </r>
    <r>
      <rPr>
        <sz val="12"/>
        <rFont val="Calibri Light"/>
        <family val="2"/>
        <scheme val="major"/>
      </rPr>
      <t xml:space="preserve"> se considera controlante o Matriz con respecto a la sociedad controlada tiene, de forma </t>
    </r>
    <r>
      <rPr>
        <b/>
        <sz val="12"/>
        <rFont val="Calibri Light"/>
        <family val="2"/>
        <scheme val="major"/>
      </rPr>
      <t>individual o conjunta,</t>
    </r>
    <r>
      <rPr>
        <sz val="12"/>
        <rFont val="Calibri Light"/>
        <family val="2"/>
        <scheme val="major"/>
      </rPr>
      <t xml:space="preserve"> más del cincuenta por ciento (50%) de su capital social”.
Esta solicitud es acorde con el Código de Comercio colombiano, que establece que</t>
    </r>
    <r>
      <rPr>
        <i/>
        <sz val="12"/>
        <rFont val="Calibri Light"/>
        <family val="2"/>
        <scheme val="major"/>
      </rPr>
      <t xml:space="preserve"> “Una sociedad será subordinada o controlada cuando su poder de decisión se encuentre sometido a la voluntad de otra </t>
    </r>
    <r>
      <rPr>
        <b/>
        <i/>
        <sz val="12"/>
        <rFont val="Calibri Light"/>
        <family val="2"/>
        <scheme val="major"/>
      </rPr>
      <t>u otras personas</t>
    </r>
    <r>
      <rPr>
        <i/>
        <sz val="12"/>
        <rFont val="Calibri Light"/>
        <family val="2"/>
        <scheme val="major"/>
      </rPr>
      <t xml:space="preserve"> que serán su matriz o controlante” (Artículo 260, modificado por el artículo 26 de la Ley 222 de 1995) y que “Igualmente habrá subordinación, para todos los efectos legales, cuando el control conforme a los supuestos previstos en el presente artículo, sea ejercido por una o varias personas naturales o jurídicas de naturaleza no societaria (…)”</t>
    </r>
    <r>
      <rPr>
        <sz val="12"/>
        <rFont val="Calibri Light"/>
        <family val="2"/>
        <scheme val="major"/>
      </rPr>
      <t>(Artículo 260, Parágrafo 1, modificado por el artículo 26 de la Ley 222 de 1995).</t>
    </r>
  </si>
  <si>
    <r>
      <t xml:space="preserve">Solicitamos que se aclare en el Pliego de Condiciones que se puede acreditar experiencia de las sociedades controladas, directa o indirectamente por las Matrices del Oferente u Integrante, de la misma forma que se permite para sociedades que son controladas por el Oferente o Integrante (numeral (i) del párrafo del numeral 4.4.1 del Pliego). Esto, teniendo en cuenta que existen estructuras societarias y grupos empresariales que tienen varias sociedades holding y al final quien concentra toda la experiencia es una gran matriz que controla todo el grupo empresarial.
Para esto, proponemos que en el numeral 4.4.1 se establezca que </t>
    </r>
    <r>
      <rPr>
        <i/>
        <sz val="12"/>
        <rFont val="Calibri Light"/>
        <family val="2"/>
        <scheme val="major"/>
      </rPr>
      <t xml:space="preserve">“Se podrán acreditar los Requisitos Habilitantes relativos a Capacidad Financiera y/o Experiencia en Inversión con la experiencia de (i) sus sociedades controladas (directa o indirectamente), (ii) de sus Matrices, o (iii) de sociedades controladas </t>
    </r>
    <r>
      <rPr>
        <b/>
        <i/>
        <sz val="12"/>
        <rFont val="Calibri Light"/>
        <family val="2"/>
        <scheme val="major"/>
      </rPr>
      <t>(directa o indirectamente)</t>
    </r>
    <r>
      <rPr>
        <i/>
        <sz val="12"/>
        <rFont val="Calibri Light"/>
        <family val="2"/>
        <scheme val="major"/>
      </rPr>
      <t xml:space="preserve"> por sus Matrices”.</t>
    </r>
  </si>
  <si>
    <r>
      <t>Solicitamos que en los casos en que se vaya a acreditar la experiencia de sociedades controladas de una Matriz, se permita presentar la certificación a la que se refiere el numeral (3) del numeral 4.4.2(b)(ii) del Pliego de Condiciones suscrita conjuntamente por los representantes legales del Oferente (o los Integrantes de la Estructura Plural) y de la Matriz respectiva. Esto permitiría que en caso que se vaya a presentar experiencia de sociedades controladas indirectamente por la Matriz, se pueda presentar únicamente una certificación de la Matriz con las composiciones de su grupo de controladas, sin necesidad de acudir al representante legal de cada una de dichas sociedades controladas. Esto reduciría la necesidad de presentar documentación innecesaria.
Para esto, proponemos que en el numeral (4) del numeral 4.4.2(a)(ii) del Pliego de Condiciones se establezca que se podrá acreditar este requisito</t>
    </r>
    <r>
      <rPr>
        <i/>
        <sz val="12"/>
        <rFont val="Calibri Light"/>
        <family val="2"/>
        <scheme val="major"/>
      </rPr>
      <t xml:space="preserve"> “(4) mediante certificación expedida conjuntamente por los representantes legales del Oferente (o los Integrantes de la Estructura Plural) </t>
    </r>
    <r>
      <rPr>
        <b/>
        <i/>
        <sz val="12"/>
        <rFont val="Calibri Light"/>
        <family val="2"/>
        <scheme val="major"/>
      </rPr>
      <t>y de la Matriz de la sociedad que acredita el Requisito Habilitante, l</t>
    </r>
    <r>
      <rPr>
        <i/>
        <sz val="12"/>
        <rFont val="Calibri Light"/>
        <family val="2"/>
        <scheme val="major"/>
      </rPr>
      <t>egalizada a través de declaración hecha ante autoridad competente para recibir declaraciones juramentadas en la respectiva jurisdicción; (…)”.</t>
    </r>
    <r>
      <rPr>
        <sz val="12"/>
        <rFont val="Calibri Light"/>
        <family val="2"/>
        <scheme val="major"/>
      </rPr>
      <t xml:space="preserve">
De no permitirse lo anterior, solicitamos que se permita acreditar la situación de control con los estados financieros de quien es controlante, toda vez que dichos documentos se consideran idóneos y por lo general reflejan la situación de control.</t>
    </r>
  </si>
  <si>
    <r>
      <t xml:space="preserve">
El numeral 4.6.8(d) del Pliego de Condiciones establece que los Fondos de Capital Privado que respalden a Oferentes deberán acreditar, entre otros, el siguiente requisito: 
</t>
    </r>
    <r>
      <rPr>
        <i/>
        <sz val="12"/>
        <rFont val="Calibri Light"/>
        <family val="2"/>
        <scheme val="major"/>
      </rPr>
      <t xml:space="preserve">
(d) El Fondo de Capital Privado deberá (i) haberse constituido antes de la Fecha de Cierre de la Licitación Pública (es decir que para el caso colombiano se deberá haber radicado el reglamento en la Superintendencia Financiera de  Colombia y obtenido el número para reportar información a la  Superintendencia, además para los extranjeros se deberá haber constituido el vehículo) (ii) y tener en sus objetivos de inversión, la inversión en proyectos de infraestructura. Lo anterior será certificado por la sociedad administradora del Fondo o su fund manager si el fondo es extranjero.
</t>
    </r>
    <r>
      <rPr>
        <sz val="12"/>
        <rFont val="Calibri Light"/>
        <family val="2"/>
        <scheme val="major"/>
      </rPr>
      <t xml:space="preserve">
Al respecto, entendemos que para los Fondos de Capital Privado extranjeros no es aplicable el requisito de “haber radicado el reglamento en la Superintendencia Financiera de  Colombia y obtenido el número para reportar información a la Superintendencia”, pues éstos son trámites que sólo son exigibles a los Fondos de Capital Privado colombianos (en especial considerando que los Fondos de Capital Privado extranjeros no son vigilados por la Superintendencia Financiera de Colombia). De esta manera, entendemos que el único requisito de constitución de un Fondo de Capital Privado extranjero que se debe certificar es el de “haber constituido el vehículo”. Les agradecemos confirmar nuestro entendimiento.
En caso que nuestro entendimiento no sea correcto, solicitamos modificar el numeral 4.6.8(d) para aclarar que los requisitos de “haber radicado el reglamento en la Superintendencia Financiera de  Colombia y obtenido el número para reportar información a la Superintendencia”, no son exigibles a los Fondos de Capital Privado extranjeros. Para esto, proponemos la siguiente redacción:
</t>
    </r>
    <r>
      <rPr>
        <i/>
        <sz val="12"/>
        <rFont val="Calibri Light"/>
        <family val="2"/>
        <scheme val="major"/>
      </rPr>
      <t>(d) El Fondo de Capital Privado deberá (i) haberse constituido antes de la Fecha de Cierre de la Licitación Pública (es decir que para el caso colombiano se deberá haber radicado el reglamento en la Superintendencia Financiera de Colombia y obtenido el número para reportar información a la  Superintendencia, mientras que para los extranjeros se deberá haber constituido el vehículo) (ii) y tener en sus objetivos de inversión, la inversión en proyectos de infraestructura. Lo anterior será certificado por la sociedad administradora del Fondo o su fund manager si el fondo es extranjero.</t>
    </r>
  </si>
  <si>
    <r>
      <t xml:space="preserve">SECCION 2.1 OBJETO "El presente Contrato de concesión bajo un esquema de asociación público-privada de Iniciativa Pública en los términos de la Ley 1508 de 2012, tiene por objeto el otorgamiento de una concesión para que de conformidad con lo previsto en este Contrato, el Concesionario, por su cuenta y riesgo, lleve a cabo el Proyecto. El alcance físico del Proyecto se describe en la Parte Especial y en el Apéndice Técnico 1."
</t>
    </r>
    <r>
      <rPr>
        <b/>
        <sz val="12"/>
        <rFont val="Calibri Light"/>
        <family val="2"/>
        <scheme val="major"/>
      </rPr>
      <t>Observación</t>
    </r>
    <r>
      <rPr>
        <sz val="12"/>
        <rFont val="Calibri Light"/>
        <family val="2"/>
        <scheme val="major"/>
      </rPr>
      <t>: Al respecto se propone que en virtud de la Ley 1508 de 2012 la redacción del objeto del contrato suprima la palabra Concesión y para evitar problemas de interpretación teniendo en cuenta los términos de la misma en la Ley 80 de 1993.                                        Conforme lo anterior sugerimos que la redacción sea " Contrato de asociación público - privada de la iniciativa pública (o privada) en los términos de la Ley 1508 de 2012".</t>
    </r>
  </si>
  <si>
    <r>
      <t xml:space="preserve">"Ajustes a la minuta en materia de retribución, gestión y adquisición predial"
</t>
    </r>
    <r>
      <rPr>
        <b/>
        <sz val="12"/>
        <rFont val="Calibri Light"/>
        <family val="2"/>
        <scheme val="major"/>
      </rPr>
      <t>Observación</t>
    </r>
    <r>
      <rPr>
        <sz val="12"/>
        <rFont val="Calibri Light"/>
        <family val="2"/>
        <scheme val="major"/>
      </rPr>
      <t xml:space="preserve">: Es importante lograr incorporar y ajustar los acuerdos a que se llegaron con la CCI en asuntos relacionados con el procedimiento de verificación de entrega de unidad funcional, la gestión y adquisición predial y la retribución del concesionario. </t>
    </r>
  </si>
  <si>
    <r>
      <t xml:space="preserve">SECCION 7.4 (a) (i) Fuerza Mayor Predial                                                             SECCION 8.1 (e) Gestión Social y Ambiental                                          SECCION 8.2 (i) Fuerza Mayor por Redes
</t>
    </r>
    <r>
      <rPr>
        <b/>
        <sz val="12"/>
        <rFont val="Calibri Light"/>
        <family val="2"/>
        <scheme val="major"/>
      </rPr>
      <t>Observación</t>
    </r>
    <r>
      <rPr>
        <sz val="12"/>
        <rFont val="Calibri Light"/>
        <family val="2"/>
        <scheme val="major"/>
      </rPr>
      <t>: Frente a los apartes de fuerzas mayores contractuales merece la pena hacer la inclusión de casos especiales en esta materia y extender los tipos de eventos que pueden ser invocados como casos de fuerza mayor. i) Demoras administrativas excesivas ante Entidades encargadas de aspectos prediales por carencia de personal, falta de capacitación de funcionarios y/o contratistas relacionados con temas de infraestructura.             ii)Dilaciones en el Traslado de redes de servicios públicos e infraestructura de transporte de hidrocarburos. iii)Consultas previas en proyectos de infraestructura.</t>
    </r>
  </si>
  <si>
    <r>
      <t xml:space="preserve">"Alcance técnico de la interventoría"
</t>
    </r>
    <r>
      <rPr>
        <b/>
        <sz val="12"/>
        <rFont val="Calibri Light"/>
        <family val="2"/>
        <scheme val="major"/>
      </rPr>
      <t>Observación</t>
    </r>
    <r>
      <rPr>
        <sz val="12"/>
        <rFont val="Calibri Light"/>
        <family val="2"/>
        <scheme val="major"/>
      </rPr>
      <t>: En este caso, es menester ajustar los alcances en las actividades de seguimiento de las interventorías, comoquiera que son quienes efectúan el control y seguimiento a la gran mayoría de aspectos que se han configurado como dificultades en el avance de las obras.                                                                                                        Conforme lo anterior, en virtud del artículo 83 de la Ley 1475 DE 2011 se solicita limitar la supervisión y control únicamente en los aspectos técnicos de los proyectos, excluyendo los jurídicos y financieros.</t>
    </r>
  </si>
  <si>
    <r>
      <t xml:space="preserve">SECCION 3.4 (d) "Si a la Fecha de Terminación de la Etapa de Operación y Mantenimiento el Concesionario no ha obtenido el VPIP, la ANI no reconocerá al Concesionario el saldo no devengado del VPIP y, consecuentemente, la ANI no hará reconocimiento alguno, ni se entenderá que ofrecerá garantía alguna al Concesionario que permita eliminar o mitigar los efectos causados por la no obtención del VPIP, conforme a lo establecido en la Sección 13.2(a)(xviii) de esta Parte General."
</t>
    </r>
    <r>
      <rPr>
        <b/>
        <sz val="12"/>
        <rFont val="Calibri Light"/>
        <family val="2"/>
        <scheme val="major"/>
      </rPr>
      <t>Observación</t>
    </r>
    <r>
      <rPr>
        <sz val="12"/>
        <rFont val="Calibri Light"/>
        <family val="2"/>
        <scheme val="major"/>
      </rPr>
      <t>: Teniendo en cuenta lo anterior, la Entidad no ofrece garantía que mitigue los efectos causados por la no obtención del VPIP, razón por la cual es necesario que se adicione algún tipo de condición para que el concesionario en el evento en que no llegase a alcanzar el VPIP pueda obtener la retribución presentada en la oferta económica. 
Por tal motivo, solicitamos se incluyan los DR, utilizando la Subcuenta de Excedentes y/o Deposito Especial para los años, 8, 13, 18, y 29. Así mismo, o en su defecto, si no se obtiene el VPIP en los 29 años que se permita la ampliación automática del plazo.
Conforme lo anterior, tal requerimiento no solo se tiene para garantizarle al concesionario el monto por el ofertado sino que adicionalmente blindaría garantía adicional a los futuros prestamistas generando así una confianza del sector bancario para el proyecto.</t>
    </r>
  </si>
  <si>
    <r>
      <t xml:space="preserve">Gestión Social y Ambiental
</t>
    </r>
    <r>
      <rPr>
        <b/>
        <sz val="12"/>
        <rFont val="Calibri Light"/>
        <family val="2"/>
        <scheme val="major"/>
      </rPr>
      <t>Observación</t>
    </r>
    <r>
      <rPr>
        <sz val="12"/>
        <rFont val="Calibri Light"/>
        <family val="2"/>
        <scheme val="major"/>
      </rPr>
      <t>: Surge la inquietud en materia de gestión social y ambiental con respecto a los costos asociados a la gestión y compromisos en relación a si serán usados a través del sistema de bandas. Teniendo en cuenta lo anterior si hay ahorros en la gestión socioambiental respecto del fondeo de la subcuenta ¿podrían usarse en los costos asociados a los compromisos adquiridos con las comunidades por parte del concesionario? ¿Pueden utilizarse para otras consultas previas posteriores a la etapa de preconstrucción? En ese sentido, realizar la modificación pertinente</t>
    </r>
  </si>
  <si>
    <r>
      <t xml:space="preserve">Multas y Sanciones                      
</t>
    </r>
    <r>
      <rPr>
        <b/>
        <sz val="12"/>
        <rFont val="Calibri Light"/>
        <family val="2"/>
        <scheme val="major"/>
      </rPr>
      <t>Observación</t>
    </r>
    <r>
      <rPr>
        <sz val="12"/>
        <rFont val="Calibri Light"/>
        <family val="2"/>
        <scheme val="major"/>
      </rPr>
      <t>: Con relación a este Capítulo no vemos que exista un límite a la imposición de sanciones al concesionario por parte de la ANI. En ese sentido, solicitamos establecer un límite en el Contrato para la imposición de multas y de esta manera que no sea una potestad exorbitante para en contra del Concesionario</t>
    </r>
  </si>
  <si>
    <r>
      <t xml:space="preserve">SECCION 10.4 (b) "Este procedimiento se iniciará cuando la ANI o el Interventor verifiquen que existe un incumplimiento que puede llegar a ser generador de una cualquiera de las Multas o Sanciones, y ha transcurrido el Plazo de Cura sin que el Concesionario haya remediado el incumplimiento."
</t>
    </r>
    <r>
      <rPr>
        <b/>
        <sz val="12"/>
        <rFont val="Calibri Light"/>
        <family val="2"/>
        <scheme val="major"/>
      </rPr>
      <t>Observación</t>
    </r>
    <r>
      <rPr>
        <sz val="12"/>
        <rFont val="Calibri Light"/>
        <family val="2"/>
        <scheme val="major"/>
      </rPr>
      <t>: El procedimiento por medio del cual la ANI le informa al concesionario sobre el inicio del periodo de multas ni el procedimiento que tiene el Concesionario para  dar contestación no está establecido en el contrato por lo tanto nos surge la inquietud sobre ¿si este periodo inicia una vez vencido el plazo de caro?</t>
    </r>
  </si>
  <si>
    <r>
      <t xml:space="preserve">SECCION 17.2 (iii). “Por una inhabilidad sobreviniente del artículo 9 de la Ley 80 de 1993 y no haya lugar a la Toma de Posesión por parte de los Prestamistas."
</t>
    </r>
    <r>
      <rPr>
        <b/>
        <sz val="12"/>
        <rFont val="Calibri Light"/>
        <family val="2"/>
        <scheme val="major"/>
      </rPr>
      <t>Observación</t>
    </r>
    <r>
      <rPr>
        <sz val="12"/>
        <rFont val="Calibri Light"/>
        <family val="2"/>
        <scheme val="major"/>
      </rPr>
      <t>: Con respecto la inhabilidad sobreviniente y terminación anticipada, sugerimos definir un mecanismo de cesión el cual garantice la continuidad del proyecto y prestación del servicio.</t>
    </r>
  </si>
  <si>
    <r>
      <t xml:space="preserve">Apéndice Técnico 6  Numerales 4.1 - 4.4 - Aspectos de la Gestión Ambiental
</t>
    </r>
    <r>
      <rPr>
        <b/>
        <sz val="12"/>
        <rFont val="Calibri Light"/>
        <family val="2"/>
        <scheme val="major"/>
      </rPr>
      <t>Observación</t>
    </r>
    <r>
      <rPr>
        <sz val="12"/>
        <rFont val="Calibri Light"/>
        <family val="2"/>
        <scheme val="major"/>
      </rPr>
      <t>: Conforme al trámite de licencias y permisos ambientales los cuales deben realizarse durante la etapa de pre construcción, sugerimos sea revisado el termino establecido debido a que además de los trámites ya mencionados para el esquema de este Contrato está adicionando trámites para recibir en cesión total las licencias ambientales existentes, obtención de las modificaciones de las licencias y a los permisos ambientales y los pronunciamientos de cambio menor o de giro ordinario.                               Conforme lo anterior sugerimos adicionar un término aproximado de 8 meses adicionales a los de la etapa de pre construcción.</t>
    </r>
  </si>
  <si>
    <r>
      <t xml:space="preserve">Apéndice Técnico 6  Numerales 5.4 Aspectos de la Gestión Social
</t>
    </r>
    <r>
      <rPr>
        <b/>
        <sz val="12"/>
        <rFont val="Calibri Light"/>
        <family val="2"/>
        <scheme val="major"/>
      </rPr>
      <t>Observación</t>
    </r>
    <r>
      <rPr>
        <sz val="12"/>
        <rFont val="Calibri Light"/>
        <family val="2"/>
        <scheme val="major"/>
      </rPr>
      <t>: En relación al cierre ambiental, el Contrato establece el termino de dos (02) meses  siguientes a que se concluyan las intervenciones en cada unidad funcional. Conforme lo anterior sugerimos se amplíe dicho término a un tiempo aproximado de doce (12) meses con el fin de cerrar cualquier requerimiento ambiental.</t>
    </r>
  </si>
  <si>
    <r>
      <t xml:space="preserve">SECCION 8.1 (d) En cualquier momento durante la ejecución del Contrato, el Concesionario deberá llevar a cabo, bajo el liderazgo de la ANI, la(s) nueva(s) consulta(s) previa(s) con las comunidades étnicas y afrodescendientes que sean certificadas por Autoridad Estatal competente o reconocidas mediante fallo judicial en firme en el área de influencia del Proyecto con posterioridad a la apertura del Proceso de Selección.
Los costos que se generen como consecuencia de la Gestión Social y Ambiental para adelantar esta(s) nueva(s) consulta(s) previa(s) serán asumidos en su totalidad por el Concesionario. Los compromisos derivados de dichos acuerdos que sean protocolizados, serán asumido por las Partes en proporciones iguales (cincuenta por ciento 50%), simultáneamente, siempre y cuando no se originen con ocasión de lo previsto en la Sección 6.3 de esta Parte General. El reconocimiento de la porción a cargo de la ANI establecido en la presente Sección se efectuará aplicando lo previsto en la Sección 19.1 de esta Parte General. Lo anterior en línea con lo establecido en la Sección 13.3(c) de esta Parte General.
</t>
    </r>
    <r>
      <rPr>
        <b/>
        <sz val="12"/>
        <rFont val="Calibri Light"/>
        <family val="2"/>
        <scheme val="major"/>
      </rPr>
      <t>Observación</t>
    </r>
    <r>
      <rPr>
        <sz val="12"/>
        <rFont val="Calibri Light"/>
        <family val="2"/>
        <scheme val="major"/>
      </rPr>
      <t>: Teniendo en cuenta la redacción del numeral 8.1 (d) del Contrato Parte General encontramos indispensable que las obligaciones adicionales o que difieran a las previstas de la presentación de la oferta, esto es Consultas Previas adicionales, no solamente deban ser reconocidas económicamente por la ANI sino que adicionalmente, los tiempos asociados a ellas, así como los procedimientos y/o compromisos que en el marco de las mismas se desarrollen, sean reconocidos al Concesionario por no ser previsibles desde la misma estructuración.</t>
    </r>
  </si>
  <si>
    <r>
      <t xml:space="preserve">SECCION 13.2 Riesgos asignados al Concesionario - 13.3 Riesgos de la ANI  "Frente al Riesgo ambientales y Sociales                                                                                  </t>
    </r>
    <r>
      <rPr>
        <b/>
        <sz val="12"/>
        <rFont val="Calibri Light"/>
        <family val="2"/>
        <scheme val="major"/>
      </rPr>
      <t xml:space="preserve">Observación: </t>
    </r>
    <r>
      <rPr>
        <sz val="12"/>
        <rFont val="Calibri Light"/>
        <family val="2"/>
        <scheme val="major"/>
      </rPr>
      <t xml:space="preserve">Teniendo en cuenta que es un riesgo no atribuble al concesionario la realización de Consultas Previas, además de ser un contenido muy ámplio de cara a cualquier contrato de infraestructura, se sugiere que el costo de elaboración, trámite, y acuerdos a los que se lleguen durante los procesos de Consulta previa deberán ser asumidos por el Proyecto y/o la Entidad haciendo uso de los recursos de la Subcuenta de Compensaciones socioambientales.                                                                                              </t>
    </r>
  </si>
  <si>
    <r>
      <t xml:space="preserve">El numeral 4.1.5 de los pliegos de condiciones literal (iv) indica: </t>
    </r>
    <r>
      <rPr>
        <i/>
        <sz val="12"/>
        <rFont val="Calibri Light"/>
        <family val="2"/>
        <scheme val="major"/>
      </rPr>
      <t>"En el documento de conformación de la Estructura Plural se deberá designar uno o varios Líderes, en quien(es) concurren las siguientes condiciones: (i) tener una participación mínima en dicha Estructura Plural del veinticinco por ciento (25%); (ii) acreditar Experiencia en Inversión directamente, o a través de terceros [...]</t>
    </r>
    <r>
      <rPr>
        <sz val="12"/>
        <rFont val="Calibri Light"/>
        <family val="2"/>
        <scheme val="major"/>
      </rPr>
      <t xml:space="preserve">"
En relación al porcentaje mínimo de participación exigido para cada uno de los líderes en la estructura plural (25%), es importante mencionar que el objeto de la Concesión será el de propender por la financiación del proyecto, por lo que resulta necesario tener en cuenta los intereses de los fondos y/o socios financieros quienes a fin de garantizar un recobro temprano y efectivo de las sumas invertidas, así como el asegurar su posición dentro de la estructura plural, tenderán a ostentar una mayor participación accionaria entre el 70% y el 80%, limitando los porcentajes de participación para los otros líderes, que no tendrían la posibilidad de acreditar experiencia en inversión al no tener cada uno, una participación del 25%.
Teniendo en cuenta lo anterior, es claro que los requisitos en materia de experiencia en inversión deben adaptarse a la realidad inmediata del mercado, en donde se observa que quienes la acrediten tendrán una participación menor a la solicitada en los actuales pliegos de condiciones, razón por la cual se solicita a la Entidad:
1. Modificar el porcentaje de participación mínimo obligatorio para los Líderes al 12.5%.
2. Eliminar la previsión del literal (ii) anterior, permitiendo que la Experiencia en Inversión pueda ser presentada en Estructuras Plurales por quienes ostenten o NO la calidad de líderes.
</t>
    </r>
  </si>
  <si>
    <r>
      <t>Respecto del literal h del numeral 4.5. y el literal (h) subliterales (h).(iv).(2). (iv).3 de la Tabla de Referencias a la Parte General del Capítulo 2 del numeral 3.14 Fondeo Subcuentas del Patrimonio Autónomo – Subcuenta Depósito Especial del Recaudo y Subcuenta Contingencias, hacemos notar a la Entidad que a partir de las primeras corridas financieras, se desprenden dos consecuencias importantes motivadas por el fondeo de la Subcuenta "</t>
    </r>
    <r>
      <rPr>
        <i/>
        <sz val="12"/>
        <rFont val="Calibri Light"/>
        <family val="2"/>
        <scheme val="major"/>
      </rPr>
      <t>Depósito del Recaudo y Subcuenta Contingencias</t>
    </r>
    <r>
      <rPr>
        <sz val="12"/>
        <rFont val="Calibri Light"/>
        <family val="2"/>
        <scheme val="major"/>
      </rPr>
      <t>" que son: 
- Fuertes tensiones de tesorería durante la etapa preoperativa, especialmente durante la Fase de Preconstrucción, en donde el monto mínimo de los giros de Equity es insuficiente para completar las necesidades totales de financiación que se producen durante esta fase, ello sin tener certeza de cuál va a ser el impacto del COVID-19 en el tráfico real de este primer año de contrato (2021), pues un impacto profundo en el tráfico podría llevar a la necesidad de una aportación exorbitante de fondos propios antes del Cierre Financiero.
- Fuerte distorsión e incertidumbre sobre la rentabilidad del Proyecto.
Teniendo en cuenta lo antes expuesto respecto del literal h del numeral 4.5 se solicita a la Entidad eliminar la necesidad de fondear la Subcuenta Depósito Especial del Recaudo, en beneficio de un menor plazo del contrato de concesión y eliminar del literal (b) del numeral 2.4 el límite de 29 años dejando el plazo únicamente dependiendo del VPIP.</t>
    </r>
  </si>
  <si>
    <r>
      <t>De acuerdo con la Tabla 5 – Unidades funcionales del proyecto del Apéndice Técnico 1, se establece que el Tramo "</t>
    </r>
    <r>
      <rPr>
        <i/>
        <sz val="12"/>
        <rFont val="Calibri Light"/>
        <family val="2"/>
        <scheme val="major"/>
      </rPr>
      <t>Paso Nacional por Palmira</t>
    </r>
    <r>
      <rPr>
        <sz val="12"/>
        <rFont val="Calibri Light"/>
        <family val="2"/>
        <scheme val="major"/>
      </rPr>
      <t>", hace parte de los nueve tramos que tienen la Unidad Funcional 1 y tiene una intervención prevista de Rehabilitación y Mantenimiento Periódico, incluyendo el Mejoramiento de la intersección Parque del Azúcar y la Construcción de la intersección Versalles (glorieta y deprimido).
Al respecto y dado que las obras a acometer en este Tramo de la Unidad Funcional 1, corresponde a obras de construcción y que así mismo, se circunscribe en una intervención 100% urbana, la cual difiere completamente de las intervenciones que se realizarán en la gran mayoría de la misma Unidad Funcional y del proyecto mismo, solicitamos que este Tramo en particular, corresponda a una Unidad Funcional independiente (podría ser Unidad Funcional 6) a efecto que no vaya a interferir con las entregas de las obras de los demás tramos para esta Unidad Funcional por eventos que no son del resorte del concesionario.
Consideramos que este subtramo IX tiene un valor y una complejidad lo suficientemente grande para ser una única unidad funcional. 
No se puede perder de vista que los proyectos urbanos tienen un tratamiento desde el punto de vista de gestión predial, redes y ejecución completamente diferente a los proyectos semiurbanos o rurales, cuya complejidad podría afectar la entrega de la Unidad Funcional y por defecto la retribución del concesionario.</t>
    </r>
  </si>
  <si>
    <r>
      <t xml:space="preserve">De acuerdo con la Tabla 5 – Unidades funcionales del proyecto y demás apartes del Apéndice Técnico 1, se establece que dentro de la Unidad Funcional 2, se encuentra el Tramo denominado "Santander de Quilichao – Ye de Villa Rica – Intersección Candelaria – Intersección Acceso Sur Palmira – Intersección Cali-Palmira </t>
    </r>
    <r>
      <rPr>
        <b/>
        <u/>
        <sz val="12"/>
        <rFont val="Calibri Light"/>
        <family val="2"/>
        <scheme val="major"/>
      </rPr>
      <t>3</t>
    </r>
    <r>
      <rPr>
        <sz val="12"/>
        <rFont val="Calibri Light"/>
        <family val="2"/>
        <scheme val="major"/>
      </rPr>
      <t xml:space="preserve"> (Palmira-El Cerrito)"
Una vez revisados los planos del proyecto y el KMZ, se puede evidenciar que la Intersección Cali-Palmira que hace referencia debe ser la Intersección Cali-Palmira </t>
    </r>
    <r>
      <rPr>
        <b/>
        <u/>
        <sz val="12"/>
        <rFont val="Calibri Light"/>
        <family val="2"/>
        <scheme val="major"/>
      </rPr>
      <t>5</t>
    </r>
    <r>
      <rPr>
        <sz val="12"/>
        <rFont val="Calibri Light"/>
        <family val="2"/>
        <scheme val="major"/>
      </rPr>
      <t xml:space="preserve"> (Palmira-El Cerrito). 
En ese sentido, solicitamos realizar los ajustes o aclaración pertinente .</t>
    </r>
  </si>
  <si>
    <r>
      <t xml:space="preserve">De acuerdo con la Tabla 5 – Unidades funcionales del proyecto y demás apartes del Apéndice Técnico 1, se establece que dentro de la Unidad Funcional 2 se contempla la Variante El Bolo, cuya intervención prevista es: Puesta a Punto, del tramo existente. Construcción del tramo faltante. Puesta a Punto y Mantenimiento Periódico de las </t>
    </r>
    <r>
      <rPr>
        <b/>
        <u/>
        <sz val="12"/>
        <rFont val="Calibri Light"/>
        <family val="2"/>
        <scheme val="major"/>
      </rPr>
      <t>dos calzadas</t>
    </r>
    <r>
      <rPr>
        <sz val="12"/>
        <rFont val="Calibri Light"/>
        <family val="2"/>
        <scheme val="major"/>
      </rPr>
      <t>.
Al respecto, una vez revisados los planos del proyecto y el KMZ, se puede notar que la Variante del Bolo es una vía en calzada sencilla y una segunda calzada en construcción.
En ese sentido, solicitamos aclarar cuáles son los kilómetros de segunda calzada pendientes por construir a que hace referencia la Tabla 5, más cuando las condiciones actuales de Emergencia Sanitaria a nivel Nacional, hacen imposible hacer un recorrido de la obra de manera presencial.
Aclarar si la Variante El Bolo tienen una o dos (2) calzadas o si cuando se refueren a las dos (2) calzadas hacen referencia  la vía que viene desde Candelaria hacia Palmira</t>
    </r>
  </si>
  <si>
    <r>
      <t xml:space="preserve">De acuerdo con la Tabla 5 – Unidades funcionales del proyecto y demás apartes del Apéndice Técnico 1, se establece dentro de las Unidades Funcionales, la intervención de las siguientes ciclorrutas:
- Salida Norte Palmira - Intersección Providencia – Intersección El Cerrito - Buga (Incluye la rehabilitación de los tramos de Ciclorruta existente)
Cali - Palmira (Puesta a Punto y Mantenimiento Periódico)
Así mismo, el numeral 6.2. (iv) del Apéndice Técnico 1, establece:
</t>
    </r>
    <r>
      <rPr>
        <i/>
        <sz val="12"/>
        <rFont val="Calibri Light"/>
        <family val="2"/>
        <scheme val="major"/>
      </rPr>
      <t>Puesta a Punto: Consistente en los alcances definidos en el concepto de Rehabilitación, junto con la actualización de la señalización a la normatividad vigente y la instalación y/o actualización de los sistemas ITS a lo dispuesto en los pliegos del contrato y la normatividad vigente, siempre cumpliendo con lo dispuesto en el presente Apéndice Técnico 1 y demás Apéndices del Contrato.</t>
    </r>
    <r>
      <rPr>
        <sz val="12"/>
        <rFont val="Calibri Light"/>
        <family val="2"/>
        <scheme val="major"/>
      </rPr>
      <t xml:space="preserve">
En ese sentido, solicitamos aclarar el alcance de Puesta a Punto que le correspondería a las ciclorrutas en la medida que entendemos éstas no deberían tener alcance de instalación y/o actualización de los sistemas ITS, inclusive sean fijados unos tiempos determinados para llevar a cabo tales actividades.</t>
    </r>
  </si>
  <si>
    <r>
      <t xml:space="preserve">En el numeral 3.4 d) se indica: </t>
    </r>
    <r>
      <rPr>
        <i/>
        <sz val="12"/>
        <rFont val="Calibri Light"/>
        <family val="2"/>
        <scheme val="major"/>
      </rPr>
      <t>"(d) Si a la Fecha de Terminación de la Etapa de Operación y Mantenimiento el Concesionario no ha obtenido el VPIP, la ANI no reconocerá al Concesionario el saldo no devengado del VPIP y, consecuentemente, la ANI no hará reconocimiento alguno, ni se entenderá que ofrecerá garantía alguna al Concesionario que permita eliminar o mitigar los efectos causados por la no obtención del VPIP, conforme a lo establecido en la Sección 13.2(a)(xviii) de esta Parte General."</t>
    </r>
    <r>
      <rPr>
        <sz val="12"/>
        <rFont val="Calibri Light"/>
        <family val="2"/>
        <scheme val="major"/>
      </rPr>
      <t xml:space="preserve">
Se solicita revisar este criterio  e incluir el concepto de "Soporte de ingreso" excluido en la Parte Especial del contrato, teniendo en cuenta que hay variables exógenas o decisiones de gobierno que no pueden ser controladas por el Concesionario y que pueden afectar la obtención del VPIP en el plazo fijo determinado por la ANI para este proyecto. </t>
    </r>
  </si>
  <si>
    <r>
      <t xml:space="preserve">El estudio de tráfico señala </t>
    </r>
    <r>
      <rPr>
        <i/>
        <sz val="12"/>
        <rFont val="Calibri Light"/>
        <family val="2"/>
        <scheme val="major"/>
      </rPr>
      <t>"Los volúmenes de las gráficas y tablas que se ilustran a continuación corresponden al total de los flujos de los sentidos en los cuales se da cobro en cada una de las 11 estaciones de peaje consideradas en el proyecto y en cada uno de los años horizonte de estimación"</t>
    </r>
    <r>
      <rPr>
        <sz val="12"/>
        <rFont val="Calibri Light"/>
        <family val="2"/>
        <scheme val="major"/>
      </rPr>
      <t>.
De acuerdo con la parte especial del contrato solo hacen parte de los ingresos del proyecto lo correspondiente a 8 estaciones de peaje, estas son: Mediacanoa, Cerrito, Paso de la Torre, Rozo, Cencar, Estambul, CIAT y Villa Rica.
¿Considero el modelo financiero de la ANI las 11 estaciones relacionadas con el estudio o las 8 relacionadas en la parte especial del contrato?. ¿Podría existir error en el calculo de ingresos del proyecto?</t>
    </r>
  </si>
  <si>
    <r>
      <t xml:space="preserve">Es importante que en relación con el valor de la liquidación del cálculo del factor C, se consideren: (i) los intereses pagados durante la construcción como parte del ARh, puesto que si se excluyen, se desconoce el mayor valor del
costo y el financiamiento con deuda y equity; (ii) los costos asociados a la terminación anticipada de contratos de instrumentos derivados requeridos dentro de la estructura; y (iii) los costos de make whole asociados a pagos
anticipados considerados en las financiaciones de mercado de capitales y fondos de deuda.
En cuanto a la definición del ARh, solicitamos que se elimine la subjetividad de los siguientes apartados subrayados: “(A) que hayan sido ejecutadas para </t>
    </r>
    <r>
      <rPr>
        <u/>
        <sz val="12"/>
        <rFont val="Calibri Light"/>
        <family val="2"/>
        <scheme val="major"/>
      </rPr>
      <t>contribuir a satisfacer el interés público</t>
    </r>
    <r>
      <rPr>
        <sz val="12"/>
        <rFont val="Calibri Light"/>
        <family val="2"/>
        <scheme val="major"/>
      </rPr>
      <t xml:space="preserve">, (B) que estén estrictamente asociadas al objeto del Contrato, (C) que </t>
    </r>
    <r>
      <rPr>
        <u/>
        <sz val="12"/>
        <rFont val="Calibri Light"/>
        <family val="2"/>
        <scheme val="major"/>
      </rPr>
      <t>los costos correspondan a precios de mercado asociados a las condiciones particulares del Proyecto al momento de su causación de acuerdo con la modalidad contractual</t>
    </r>
    <r>
      <rPr>
        <sz val="12"/>
        <rFont val="Calibri Light"/>
        <family val="2"/>
        <scheme val="major"/>
      </rPr>
      <t xml:space="preserve"> y (D) que el bien y/o servicio </t>
    </r>
    <r>
      <rPr>
        <u/>
        <sz val="12"/>
        <rFont val="Calibri Light"/>
        <family val="2"/>
        <scheme val="major"/>
      </rPr>
      <t>haya sido debidamente entregado y/o prestado</t>
    </r>
    <r>
      <rPr>
        <sz val="12"/>
        <rFont val="Calibri Light"/>
        <family val="2"/>
        <scheme val="major"/>
      </rPr>
      <t xml:space="preserve"> (…)”. De igual forma, en relación con el cálculo por parte del Interventor de la variable ARh eliminar lo siguiente: (…) “ni superior al valor de mercado, de acuerdo con las condiciones particulares del Proyecto” (…). Dado que no existe un criterio único para determinar cuál es el precio de mercado. En relación con aquellas Unidades Funcionales que se revierten al terminar la construcción o unos meses después, sugerimos aclarar que, en relación con las inversiones realizadas, estas se encuentran incluidas para el cálculo del ARh, independientemente de que hayan sido revertidas a la ANI.
Finalmente, sobre el valor certificado por el Interventor de la variable, el contrato hace referencia a la certificación de “valores máximos”, lo cual continúa generando un manto de duda, puesto que no se trata del valor real de la variable. Esto debería subsanarse.
Sugerimos eliminar aspectos subjetivos relacionados con la determinación que permite establecer si las actividades han sido ejecutadas con el fin de contribuir a satisfacer el interés público. Dado que esto genera incertidumbre
del valor esperado de la liquidación, lo cual limitará los niveles de apalancamiento del proyecto. 
• Se requiere que el componente TE “tasa de descuento real expresada en términos efectivo mensual” incorpore un mecanismo mediante el cual se garantice que, como mínimo, compense el 100% de los intereses pagados que
se descuentan y, que además refleje la dinámica y el comportamiento real del mercado. Lo anterior, teniendo en cuenta que la TE al ser una tasa de interés fija (por lo tanto será la misma durante los 29 años que dure el proyecto) en situaciones complejas, como por ejemplo, la de la pandemia COVID-19, no reflejará la realidad del mercado, y por lo tanto, se pagará menos de lo que se debería, pues en cualquier momento los intereses que se deducen no serán compensados por esta.
• Sugerimos retomar la fórmula de terminación anticipada del contrato de 4G, conocida, estudiada y aceptada por sponsors, financiadores e inversionistas.</t>
    </r>
  </si>
  <si>
    <r>
      <t>Se solicita a la Entidad que permita el restablecimiento del valor asegurado en un lapso de 90 días cuando la suma que se ha visto disminuida es menor al 10% del total del límite asegurado y en 30 días cuando sea mayor a dicho porcentaje en relación a lo mencionado en el numeral 12.3 literal a del Contrato Parte General. Al respecto se sugiere la siguiente redacción: 
“</t>
    </r>
    <r>
      <rPr>
        <i/>
        <sz val="12"/>
        <rFont val="Calibri Light"/>
        <family val="2"/>
        <scheme val="major"/>
      </rPr>
      <t>Cuando el valor asegurado se reduzca hasta en el 10% la reposición debe hacerse dentro de los 30 días hábiles siguientes y cuando la reducción sea superior al 10% la reposición deberá efectuarse dentro de los 90 días hábiles siguientes</t>
    </r>
    <r>
      <rPr>
        <sz val="12"/>
        <rFont val="Calibri Light"/>
        <family val="2"/>
        <scheme val="major"/>
      </rPr>
      <t>”.</t>
    </r>
  </si>
  <si>
    <r>
      <t>Respecto de la restricción de acceso a mercados de reaseguro en garantías del contrato de concesión, la clausula 12.3 Reglas Generales Aplicables a las Garantías Literal en el documento del Contrato Parte General indica: "</t>
    </r>
    <r>
      <rPr>
        <i/>
        <sz val="12"/>
        <rFont val="Calibri Light"/>
        <family val="2"/>
        <scheme val="major"/>
      </rPr>
      <t xml:space="preserve">En el caso de incorporarse reaseguros los reaseguradores deberán encontrarse inscritos en el Registro de Reaseguradores y Corredores de Reaseguros del Exterior (REACOEX) que administra la Superintendencia Financiera de Colombia y, además, cumplir con las características que a continuación se expresan: </t>
    </r>
    <r>
      <rPr>
        <i/>
        <u/>
        <sz val="12"/>
        <rFont val="Calibri Light"/>
        <family val="2"/>
        <scheme val="major"/>
      </rPr>
      <t>(i) Si se trata de reaseguros automáticos, el reasegurador deberá contar con una calificación de riesgo en la escala de largo plazo admisible en el REACOEX. (ii) En el caso de reaseguros facultativos, el reasegurador deberá contar con al menos una de las siguientes calificaciones de riesgo mínima en la escala de largo plazo aplicable en el REACOEX: (1) Standard &amp; Poor's: A, (2) A. M. Best: a, (3) Fitch Ratings: A, (4) Moody's: Aa3"</t>
    </r>
  </si>
  <si>
    <r>
      <t xml:space="preserve">No obstante lo anterior, en REACOEX se admiten reaseguradores con calificación </t>
    </r>
    <r>
      <rPr>
        <b/>
        <i/>
        <u/>
        <sz val="12"/>
        <rFont val="Calibri Light"/>
        <family val="2"/>
        <scheme val="major"/>
      </rPr>
      <t>BBB-</t>
    </r>
    <r>
      <rPr>
        <sz val="12"/>
        <rFont val="Calibri Light"/>
        <family val="2"/>
        <scheme val="major"/>
      </rPr>
      <t xml:space="preserve"> de acuerdo con los criterios definidos por el Regulador:
"</t>
    </r>
    <r>
      <rPr>
        <i/>
        <sz val="12"/>
        <rFont val="Calibri Light"/>
        <family val="2"/>
        <scheme val="major"/>
      </rPr>
      <t>3.7. Agencias calificadoras de riesgo admisibles para la inscripción y calificaciones mínimas admisibles. A efectos de la inscripción en el REACOEX de entidades reaseguradoras del exterior, se considerarán admisibles las calificaciones internacionales de fortaleza financiera vigentes, que no tengan más de 12 meses de antigüedades realizadas por las siguientes agencias y calificaciones:
- Agencia calificadora/Calificación mínima admisible
- Standard &amp; Poor´s/BBB-.
- M. Best/B+
- Fitch/BBB-
- Moody´s/Baa3</t>
    </r>
    <r>
      <rPr>
        <sz val="12"/>
        <rFont val="Calibri Light"/>
        <family val="2"/>
        <scheme val="major"/>
      </rPr>
      <t xml:space="preserve">"
</t>
    </r>
  </si>
  <si>
    <r>
      <t>Referente a los valores asegurados mínimos aplicables para el amparo de Responsabilidad Civil para cada una de las Etapas y Fases, establecidos en la clausula 7.4 Valor y Vigencia del Amparo de responsabilidad civil literal (a) (b) y (c) inciso (i) (ii) y (iii) en el Contrato Parte Especial, se observa que la determinación de dichos valores no guarda consistencia con los parámetros definidos en el Decreto 1082 de 2015, Artículos 2.2.1.2.3.1.3. Indivisibilidad de la garantía, dado que no se evidencia en ningún aparte de los documentos contractuales el valor de las obligaciones del Concesionario para cada etapa del contrato, periodo contractual o unidad funcional.
Teniendo en cuenta lo anterior, se solicita a la Entidad calcular el valor asegurado para cada etapa del contrato, periodo contractual o unidad funcional, tomando el valor de las obligaciones del contratista para cada uno, de acuerdo con las reglas de suficiencia de las garantías, y definiendo como valor asegurado el mínimo permitido para este amparo en cada una de sus fases establecido en el Artículo 2.2.1.2.3.1.17. Suficiencia del seguro de responsabilidad civil extracontractual que indica: “</t>
    </r>
    <r>
      <rPr>
        <i/>
        <sz val="12"/>
        <rFont val="Calibri Light"/>
        <family val="2"/>
        <scheme val="major"/>
      </rPr>
      <t>El cinco por ciento (5%) del valor del contrato cuando este sea superior a diez mil (10.000) SMMLV, caso en el cual el valor asegurado debe ser máximo setenta y cinco mil (75.000) SMMLV. De acuerdo con lo anterior se solicita a la Entidad ajustar el valor asegurado de la Póliza de Responsabilidad Civil a un máximo de setenta y cinco mil (75.000) SMMLV.</t>
    </r>
  </si>
  <si>
    <r>
      <t>Amablemente solicitamos a la ANI incluir en la Sección 1.3 del proyecto de pliego de condiciones, la siguiente definición: “</t>
    </r>
    <r>
      <rPr>
        <i/>
        <sz val="12"/>
        <rFont val="Calibri Light"/>
        <family val="2"/>
        <scheme val="major"/>
      </rPr>
      <t>Asociación Anterior</t>
    </r>
    <r>
      <rPr>
        <sz val="12"/>
        <rFont val="Calibri Light"/>
        <family val="2"/>
        <scheme val="major"/>
      </rPr>
      <t>”: Se refiere a figuras asociativas, que no constituyan una persona jurídica distinta a sus integrantes, constituidas para la ejecución de contratos anteriores.
Esto último, con el propósito de evitar que se presenten confusiones en las distintas opciones que tienen los posibles Oferentes individuales o Integrantes de una Estructura Plural, para acreditar los Requisitos Habilitantes de: (i) Capacidad Jurídica, (ii) Capacidad Financiera y (iii) Experiencia en Inversión.</t>
    </r>
  </si>
  <si>
    <r>
      <t>La Sección 1.3.16 del proyecto de pliego de condiciones define el término “Concesión” de la siguiente manera:
“</t>
    </r>
    <r>
      <rPr>
        <i/>
        <sz val="12"/>
        <rFont val="Calibri Light"/>
        <family val="2"/>
        <scheme val="major"/>
      </rPr>
      <t>Concesión”. Para los efectos previstos en el numeral 1.356 (definición de Proyecto de Infraestructura) significa los contratos de participación privada o de participación público - privada, tales como concesiones, BOOT, BOOMT, BOT, BOMT, formas de asociación y en general cualquier modalidad contractual mediante la cual dos entes privados o un ente privado y una entidad pública de manera conjunta llevan a cabo un Proyecto de Infraestructura. Tales contratos de participación privada o participación público-privada deberán en todo caso, incluir: (i) la financiación, (ii) construcción, (iii) operación o mantenimiento del referido proyecto que se acredita</t>
    </r>
    <r>
      <rPr>
        <sz val="12"/>
        <rFont val="Calibri Light"/>
        <family val="2"/>
        <scheme val="major"/>
      </rPr>
      <t xml:space="preserve">.”.
Sobre el particular, y en vista de que el objeto del futuro contrato de concesión incluye, entre otras, la elaboración de estudios y diseños definitivos y la operación y el mantenimiento de la Nueva Malla Vial del Valle del Cauca, consideramos importante que la definición de “Concesión” abarque las mismas actividades que va a tener que desarrollar el futuro concesionario, de manera que la experiencia a ser acreditada con los Proyectos de Infraestructura sea consecuente con el alcance del nuevo contrato.
Por lo anterior, solicitamos amablemente a la ANI que sea incluido en los requisitos del proyecto del pliego que para poder considerar un determinado proyecto como una “Concesión”, tenga que acreditarse que el Proyecto de Infraestructura incluía en su objeto la elaboración de estudios y diseños Fase III, así como también, la operación y el mantenimiento de la infraestructura entregada en concesión.
</t>
    </r>
  </si>
  <si>
    <r>
      <t xml:space="preserve">La Sección 1.3.27 define la Estructura Plural en los siguientes términos: </t>
    </r>
    <r>
      <rPr>
        <i/>
        <sz val="12"/>
        <rFont val="Calibri Light"/>
        <family val="2"/>
        <scheme val="major"/>
      </rPr>
      <t xml:space="preserve">“Estructura Plural”: Es el Oferente integrado por un número </t>
    </r>
    <r>
      <rPr>
        <sz val="12"/>
        <rFont val="Calibri Light"/>
        <family val="2"/>
        <scheme val="major"/>
      </rPr>
      <t>plural</t>
    </r>
    <r>
      <rPr>
        <i/>
        <sz val="12"/>
        <rFont val="Calibri Light"/>
        <family val="2"/>
        <scheme val="major"/>
      </rPr>
      <t xml:space="preserve"> de personas naturales y/o jurídicas nacionales o extranjeras que presentan Oferta conjunta bajo lo dispuesto en este Pliego de Condiciones. Para efectos del presente documento no se admitirán Estructuras Plurales bajo la denominación y reglas de los consorcios o uniones temporales por aplicación del artículo 2.2.2.1.1.3. del Decreto 1082 de 2015.
Teniendo en cuenta que la anterior definición exige que los futuros proponentes que no se presentarán como Oferente Individual se presenten bajo Estructuras Plurales, entendemos que cuando el proyecto de pliego de condiciones se refiere a “figuras asociativas anteriores”, para la acreditación de los Requisitos Habilitantes, hace  referencia exclusiva a consorcios y uniones temporales, y no así, a vehículos de propósito especial. Por favor confirmar nuestro entendimiento y si es del caso insistimos en la necesidad de incluir una de definición de este concepto.</t>
    </r>
  </si>
  <si>
    <r>
      <t>La Sección 1.3.38 del proyecto de pliego de condiciones establece la definición de Ley Aplicable en los siguientes términos: “</t>
    </r>
    <r>
      <rPr>
        <i/>
        <sz val="12"/>
        <rFont val="Calibri Light"/>
        <family val="2"/>
        <scheme val="major"/>
      </rPr>
      <t xml:space="preserve">Ley Aplicable” o “Ley”. Es la aplicable en la República de Colombia, </t>
    </r>
    <r>
      <rPr>
        <b/>
        <i/>
        <u/>
        <sz val="12"/>
        <rFont val="Calibri Light"/>
        <family val="2"/>
        <scheme val="major"/>
      </rPr>
      <t xml:space="preserve">en cualquier momento”.
</t>
    </r>
    <r>
      <rPr>
        <sz val="12"/>
        <rFont val="Calibri Light"/>
        <family val="2"/>
        <scheme val="major"/>
      </rPr>
      <t>Al respecto, solicitamos amablemente a la ANI modificar esta definición de tal forma que la misma se adapte a lo previsto en la ley colombiana, en particular a lo dispuesto en la Ley 153 de 1887.</t>
    </r>
  </si>
  <si>
    <r>
      <t>La Sección 1.3.43 del proyecto de pliego de condiciones define el término “Mes de Referencia” en los siguientes términos: “</t>
    </r>
    <r>
      <rPr>
        <i/>
        <sz val="12"/>
        <rFont val="Calibri Light"/>
        <family val="2"/>
        <scheme val="major"/>
      </rPr>
      <t>Es el mes en el cual se expresan los valores constantes. Para efectos del presente Proceso de Selección, es el 31 de diciembre de 2018</t>
    </r>
    <r>
      <rPr>
        <sz val="12"/>
        <rFont val="Calibri Light"/>
        <family val="2"/>
        <scheme val="major"/>
      </rPr>
      <t>”.
Al respecto, surge el interrogante del por qué el Mes de Referencia es el 31 diciembre de 2018 y no el 31 de diciembre de 2019, que corresponde al último periodo fiscal y contable vigente.</t>
    </r>
  </si>
  <si>
    <r>
      <t>En línea con la observación que realizamos a la definición que trae consigo el proyecto de pliego de condiciones al término “</t>
    </r>
    <r>
      <rPr>
        <i/>
        <sz val="12"/>
        <rFont val="Calibri Light"/>
        <family val="2"/>
        <scheme val="major"/>
      </rPr>
      <t>Concesión</t>
    </r>
    <r>
      <rPr>
        <sz val="12"/>
        <rFont val="Calibri Light"/>
        <family val="2"/>
        <scheme val="major"/>
      </rPr>
      <t>”, solicitamos amablemente a la ANI que en la Sección 1.3.56 del mismo documento, se establezca que para tener como validos los “</t>
    </r>
    <r>
      <rPr>
        <i/>
        <sz val="12"/>
        <rFont val="Calibri Light"/>
        <family val="2"/>
        <scheme val="major"/>
      </rPr>
      <t>Proyectos de Infraestructura</t>
    </r>
    <r>
      <rPr>
        <sz val="12"/>
        <rFont val="Calibri Light"/>
        <family val="2"/>
        <scheme val="major"/>
      </rPr>
      <t>”, el objeto de estos proyectos haya incluido además de la construcción, la elaboración de estudios y diseños definitivos y la operación y el mantenimiento de las infraestructuras entregadas en concesión.
Esto último, al menos para lo que tiene que ver con proyectos de infraestructura carreteros, puertos, y/o aeropuertos, y con el fin de garantizar que quienes presenten propuesta en el marco del presente proceso licitatorio cuenten con experiencia suficiente en el desarrollo de estos proyectos y puedan garantizar en forma cabal su cumplimiento. Lo anterior, en desarrollo del principio de selección objetiva consagrado en la Ley 80 de 1993.</t>
    </r>
  </si>
  <si>
    <r>
      <t>En atención a lo señalado en la Ley 80 de 1993, artículo 24, literal d, en razón de lo cual, “</t>
    </r>
    <r>
      <rPr>
        <i/>
        <sz val="12"/>
        <rFont val="Calibri Light"/>
        <family val="2"/>
        <scheme val="major"/>
      </rPr>
      <t xml:space="preserve">d) No se incluirán condiciones y exigencias de imposible cumplimiento, </t>
    </r>
    <r>
      <rPr>
        <b/>
        <i/>
        <u/>
        <sz val="12"/>
        <rFont val="Calibri Light"/>
        <family val="2"/>
        <scheme val="major"/>
      </rPr>
      <t>ni exenciones de la responsabilidad derivada de los datos, informes y documentos que se suministren</t>
    </r>
    <r>
      <rPr>
        <sz val="12"/>
        <rFont val="Calibri Light"/>
        <family val="2"/>
        <scheme val="major"/>
      </rPr>
      <t>”, solicitamos respetuosamente a la Agencia eliminar la frase contenida en el proyecto de pliego de condiciones que señala que: “(…)</t>
    </r>
    <r>
      <rPr>
        <i/>
        <sz val="12"/>
        <rFont val="Calibri Light"/>
        <family val="2"/>
        <scheme val="major"/>
      </rPr>
      <t xml:space="preserve">los estudios y conceptos estarán disponibles a título meramente informativo, entendiéndose por tanto que: (a) no es información de la ANI para efectos de la presentación de las ofertas; (b) </t>
    </r>
    <r>
      <rPr>
        <b/>
        <i/>
        <u/>
        <sz val="12"/>
        <rFont val="Calibri Light"/>
        <family val="2"/>
        <scheme val="major"/>
      </rPr>
      <t xml:space="preserve">no generan obligación o responsabilidad alguna a cargo de la ANI </t>
    </r>
    <r>
      <rPr>
        <i/>
        <sz val="12"/>
        <rFont val="Calibri Light"/>
        <family val="2"/>
        <scheme val="major"/>
      </rPr>
      <t>y  (C) no hacen parte del Pliego de Condiciones ni del Contrato. En consecuencia, no servirán de base para reclamación alguna durante la ejecución del Contrato, ni para ningún reconocimiento económico adicional entre las partes, no previstos en el Contrato</t>
    </r>
    <r>
      <rPr>
        <sz val="12"/>
        <rFont val="Calibri Light"/>
        <family val="2"/>
        <scheme val="major"/>
      </rPr>
      <t>”.Lo anterior, teniendo en cuenta que lo dispuesto por la ANI en esta sección contraviene expresamente lo señalado en el Ley 80 de 1993, la cual es de orden público y de estricto cumplimiento en el marco del presente proceso de selección.</t>
    </r>
  </si>
  <si>
    <r>
      <t>La Sección 1.8.5. señala que “</t>
    </r>
    <r>
      <rPr>
        <i/>
        <sz val="12"/>
        <rFont val="Calibri Light"/>
        <family val="2"/>
        <scheme val="major"/>
      </rPr>
      <t xml:space="preserve">(…) La ANI, no garantiza que las proyecciones y estimaciones efectuadas por el Adjudicatario se cumplan durante la ejecución del Contrato, puesto que este último asume los  riesgos dispuestos en el Contrato de acuerdo con la distribución contenida en la minuta del mismo que obra como Anexo 1 de este Pliego de Condiciones </t>
    </r>
    <r>
      <rPr>
        <b/>
        <i/>
        <u/>
        <sz val="12"/>
        <rFont val="Calibri Light"/>
        <family val="2"/>
        <scheme val="major"/>
      </rPr>
      <t>y soporta sus efectos sin que las consecuencias derivadas del acaecimiento de tales riesgos constituya un eventual desequilibrio económico del Contrato, o den lugar a reclamación alguna</t>
    </r>
    <r>
      <rPr>
        <i/>
        <sz val="12"/>
        <rFont val="Calibri Light"/>
        <family val="2"/>
        <scheme val="major"/>
      </rPr>
      <t>. (…)</t>
    </r>
    <r>
      <rPr>
        <sz val="12"/>
        <rFont val="Calibri Light"/>
        <family val="2"/>
        <scheme val="major"/>
      </rPr>
      <t>”.
De lo anterior, se extrae que la Agencia sugiere mediante esta disposición que el Adjudicatario de la Licitación asuma de forma absoluta los efectos de la materialización de los riesgos asignados a éste en el Contrato que llegue a suscribirse. Lo anterior es contrario a la legislación aplicable y a lo sostenido en reiteradas ocasiones por la jurisprudencia del Consejo de Estado y los laudos de Tribunales Arbitrales que han dirimido controversias sobre este asunto, en el sentido que la asunción de los riesgos que acepta el contratista no podría ser absoluta e ilimitada.
De hecho, de llegar a sobrevenir eventos y circunstancias extraordinarias e irresistibles que conduzcan a que se supere el alea normal de los riesgos en los términos en que fueron pactados en el contrato, podría dar lugar a la configuración de un desequilibrio económico que obliga a la entidad concedente a reestablecer las condiciones técnicas, económicas y financieras existentes para la fecha en que se presentó la propuesta por parte del Oferente. Ello, en estricta observancia de, entre otros, lo establecido en el numeral 8° del artículo 4 de la Ley 80 de 1993 y en aplicación de elementales principios de la contratación estatal que propenden por garantizar el interés del particular de recibir una remuneración justa y equitativa como colaborador del Estado.En vista de lo expuesto, solicitamos respetuosamente a la ANI que elimine cualquier referencia que tenga como propósito o efecto que el adjudicatario de la Licitación, asuma de forma ilimitada y absoluta los riesgos que le fueron asignados en el Contrato de Concesión, así como también cualquier disposición que tenga por efecto restringir el acceso a la justicia por parte del Concesionario para la reclamación de posibles afectaciones que se originen en un desequilibrio de la ecuación económica del Contrato.</t>
    </r>
  </si>
  <si>
    <r>
      <t xml:space="preserve">De acuerdo con la Sección 2.3. del proyecto de pliego </t>
    </r>
    <r>
      <rPr>
        <i/>
        <sz val="12"/>
        <rFont val="Calibri Light"/>
        <family val="2"/>
        <scheme val="major"/>
      </rPr>
      <t xml:space="preserve">“[l]a Entidad publicará las Ofertas presentadas al Proceso de Selección, en </t>
    </r>
    <r>
      <rPr>
        <b/>
        <i/>
        <sz val="12"/>
        <rFont val="Calibri Light"/>
        <family val="2"/>
        <scheme val="major"/>
      </rPr>
      <t>cualquier momento</t>
    </r>
    <r>
      <rPr>
        <i/>
        <sz val="12"/>
        <rFont val="Calibri Light"/>
        <family val="2"/>
        <scheme val="major"/>
      </rPr>
      <t>, con posterioridad a la Fecha de Cierre indicada en el Cronograma</t>
    </r>
    <r>
      <rPr>
        <sz val="12"/>
        <rFont val="Calibri Light"/>
        <family val="2"/>
        <scheme val="major"/>
      </rPr>
      <t>” (Negrilla por fuera del texto).
Solicitamos amablemente que, en virtud de los principios de transparencia, igualdad y publicidad, que rigen los procesos de selección como el que nos ocupa, se modifique la disposición previamente citada para que en su lugar se señale que las Ofertas serán publicadas el mismo día de la Fecha de Cierre de la Licitación, máxime si se tiene en cuenta que los oferentes deben presentar su propuesta en medio magnético, lo cual facilita la posibilidad de que se puedan dar a conocer a los demás competidores de forma inmediata.</t>
    </r>
  </si>
  <si>
    <r>
      <t xml:space="preserve">La Sección 4.2.9 del proyecto de pliego de condiciones establece en relación con la Experiencia en Inversión que: </t>
    </r>
    <r>
      <rPr>
        <i/>
        <sz val="12"/>
        <rFont val="Calibri Light"/>
        <family val="2"/>
        <scheme val="major"/>
      </rPr>
      <t>“también se podrá acreditar la experiencia de vehículos de propósito especial constituidos por el Oferente o Líder para la financiación de una concesión de Proyectos de Infraestructura siempre que (a) el vehículo de propósito especial haya sido constituido incluyendo dentro de su objeto el propósito de obtener financiación; y (b) que los recursos de la financiación obtenida por el vehículo de propósito especial hayan sido destinados de manera única y exclusiva para la concesión de un Proyecto de Infraestructura que se acredita”.De la precitada Sección entendemos que si un Líder o un Oferente individual constituyó un SPV, independientemente de su participación accionaria en dicho vehículo, - con el propósito de, entre otras, obtener la financiación de una concesión de Proyectos de Infraestructura y siempre y cuando los recursos obtenidos hayan sido utilizados exclusivamente para financiar la concesión del Proyecto de Infraestructura para el cual se constituyó el referido SPV -, se tendrá como acreditado el ciento por ciento (100%) de  dicha Experiencia en Inversión obtenida por el Líder de una Estructura Plural, o del Oferente individual, en la presente Licitación, según sea el caso.Por favor confirmar si nuestro entendimiento es correcto.</t>
    </r>
  </si>
  <si>
    <r>
      <t>De acuerdo con la Sección 4.2.10 (c) (iv), el Oferente individual o el Líder de la Estructura plural que acredite el Requisito Habilitante de Experiencia en Inversión, deberá adjuntar con su oferta una certificación emitida por la entidad concedente del proyecto para cuya ejecución se obtuvo la financiación. Esta certificación, en el evento en que el contrato siga en ejecución, “</t>
    </r>
    <r>
      <rPr>
        <i/>
        <sz val="12"/>
        <rFont val="Calibri Light"/>
        <family val="2"/>
        <scheme val="major"/>
      </rPr>
      <t>no podrá tener una fecha de expedición mayor de tres (3) meses contados desde la publicación de la presente Licitación Pública en el SECOP</t>
    </r>
    <r>
      <rPr>
        <sz val="12"/>
        <rFont val="Calibri Light"/>
        <family val="2"/>
        <scheme val="major"/>
      </rPr>
      <t>”.
Solicitamos que el pliego de condiciones establezca -como en otros procesos de selección similares- que, en el evento en que se modifique la Fecha de Cierre de la Licitación en mención, se entienda como referencia para el plazo de ciertos documentos y certificados exigidos para la acreditación de Requisitos Habilitantes, la originalmente establecida en el pliego de condiciones.</t>
    </r>
  </si>
  <si>
    <r>
      <t>La Sección 1.3. define el Acta de Inicio de la Fase de Construcción y señala que es el documento que se suscribirá para dar inicio a la Fase de Construcción, “</t>
    </r>
    <r>
      <rPr>
        <i/>
        <sz val="12"/>
        <rFont val="Calibri Light"/>
        <family val="2"/>
        <scheme val="major"/>
      </rPr>
      <t>dentro de los cinco (5) Días Hábiles siguientes a la verificación de la totalidad de los requisitos establecidos para ello en este Contrato, en especial en las condiciones precedentes señaladas en la Sección 4.4 de esta Parte General</t>
    </r>
    <r>
      <rPr>
        <sz val="12"/>
        <rFont val="Calibri Light"/>
        <family val="2"/>
        <scheme val="major"/>
      </rPr>
      <t>”. 
Consideramos que, de la definición previamente transcrita, podría considerarse que existen requisitos adicionales a los establecidos en la Sección 4.4. de la Parte General para poder suscribir el Acta de Inicio de la Fase de Construcción, por lo cual solicitamos delimitar expresamente cuáles son aquellos requisitos adicionales, o aclarar que se trata solamente de aquellos referidos taxativamente en la Sección 4.4 de la Parte General.</t>
    </r>
  </si>
  <si>
    <r>
      <t>Solicitamos incluir la siguiente regulación: “</t>
    </r>
    <r>
      <rPr>
        <i/>
        <sz val="12"/>
        <rFont val="Calibri Light"/>
        <family val="2"/>
        <scheme val="major"/>
      </rPr>
      <t>En ningún caso el estado de entrega de la infraestructura alterará el alcance y contenido de las obligaciones asumidas por el Concesionario en el marco del Contrato, en relación con la infraestructura entregada; por lo tanto, el Concesionario no asume obligaciones distintas respecto a dicha infraestructura de aquellas indicadas expresamente en el Contrato y sus Apéndices Técnicos</t>
    </r>
    <r>
      <rPr>
        <sz val="12"/>
        <rFont val="Calibri Light"/>
        <family val="2"/>
        <scheme val="major"/>
      </rPr>
      <t>”.
Consideramos que lo anterior no es contrario al alcance de obligación del Concesionario de recibir la infraestructura en el estado en que se encuentre, toda vez que como bien sabe la Agencia, el recibo de la misma no puede llevar a la asunción del Concesionario de obligaciones adicionales, en exceso de lo pactado contractualmente. De igual forma, no es dable, de acuerdo con la Ley y la jurisprudencia, la asunción absoluta e ilimitada de los riesgos derivados del estado de la Infraestructura</t>
    </r>
  </si>
  <si>
    <r>
      <t>Solicitamos aclarar qué se entiende por “</t>
    </r>
    <r>
      <rPr>
        <i/>
        <sz val="12"/>
        <rFont val="Calibri Light"/>
        <family val="2"/>
        <scheme val="major"/>
      </rPr>
      <t>más del ciento cincuenta por ciento adicional</t>
    </r>
    <r>
      <rPr>
        <sz val="12"/>
        <rFont val="Calibri Light"/>
        <family val="2"/>
        <scheme val="major"/>
      </rPr>
      <t>”. Esto es, si se toma tal plazo total de la Ley Aplicable y se le adiciona un ciento cincuenta por ciento, o, si se toma el plazo total previsto en la Ley Aplicable para el agotamiento del trámite, y se adiciona un cincuenta por ciento. Si es lo segundo, solicitamos modificar, para efectos de que se entienda que se configura la fuerza mayor cuando transcurre el ciento por ciento de la Ley Aplicable, adicionado en un cincuenta por ciento.De igual forma, solicitamos establecer un término objetivo y cierto para los distintos trámites ante las Autoridades Estatales, pues, como bien sabe la Entidad, la Ley Aplicable no establece un término (menos aún un término máximo) para todos los trámites.Consideramos que en vista de las lecciones aprendidas y las diversas controversias que han dificultado la ejecución de varios proyectos, este es el momento oportuno para zanjar esta imprecisión, a efectos de propender por la correcta ejecución de los proyectos y, adicionalmente evitar futuros litigios y considerables indemnizaciones.</t>
    </r>
  </si>
  <si>
    <r>
      <t>Solicitamos eliminar el siguiente aparte de la definición de Información Financiera: “</t>
    </r>
    <r>
      <rPr>
        <i/>
        <sz val="12"/>
        <rFont val="Calibri Light"/>
        <family val="2"/>
        <scheme val="major"/>
      </rPr>
      <t>Sin perjuicio de lo anterior, la Información Financiera no servirá de criterio de interpretación de este Contrato en el marco del Tribunal de Arbitramento, del Amigable Componedor ni ningún otro mecanismo de solución de controversias, por lo cual esas instancias no podrán basarse en dicha información para adoptar cualquier decisión que les competa, conforme al Contrato</t>
    </r>
    <r>
      <rPr>
        <sz val="12"/>
        <rFont val="Calibri Light"/>
        <family val="2"/>
        <scheme val="major"/>
      </rPr>
      <t>”, así como todas las demás cláusulas, oraciones o expresiones que se hayan incluido en ese sentido en la minuta del contrato de concesión. 
Lo anterior, teniendo en cuenta que, como bien sabe la Entidad, la Información Financiera es empleada efectivamente por las Partes durante la ejecución del Contrato para la adopción de decisiones y determina su conducta a lo largo de la ejecución contractual.  De manera que este tipo de disposiciones, en el evento en que surja un litigio o controversia, desconocen los derechos fundamentales al debido proceso, a la defensa técnica y al acceso a la administración de justicia, pues en caso de permanecer incluidas en el contrato impedirían al futuro Concesionario exponer los hechos y circunstancias que determinaron su conducta a lo largo de la ejecución contractual, y el acceso a la justicia.</t>
    </r>
  </si>
  <si>
    <r>
      <t>En relación con la definición de Inventario de Activos de la Concesión, esta señala:“</t>
    </r>
    <r>
      <rPr>
        <i/>
        <sz val="12"/>
        <rFont val="Calibri Light"/>
        <family val="2"/>
        <scheme val="major"/>
      </rPr>
      <t>Corresponde al inventario de los activos</t>
    </r>
    <r>
      <rPr>
        <sz val="12"/>
        <rFont val="Calibri Light"/>
        <family val="2"/>
        <scheme val="major"/>
      </rPr>
      <t xml:space="preserve"> del </t>
    </r>
    <r>
      <rPr>
        <i/>
        <sz val="12"/>
        <rFont val="Calibri Light"/>
        <family val="2"/>
        <scheme val="major"/>
      </rPr>
      <t>Proyecto e incluye una descripción del estado de tales activos al momento de la Entrega de</t>
    </r>
    <r>
      <rPr>
        <sz val="12"/>
        <rFont val="Calibri Light"/>
        <family val="2"/>
        <scheme val="major"/>
      </rPr>
      <t xml:space="preserve"> la </t>
    </r>
    <r>
      <rPr>
        <i/>
        <sz val="12"/>
        <rFont val="Calibri Light"/>
        <family val="2"/>
        <scheme val="major"/>
      </rPr>
      <t xml:space="preserve">Infraestructura. </t>
    </r>
    <r>
      <rPr>
        <b/>
        <i/>
        <sz val="12"/>
        <rFont val="Calibri Light"/>
        <family val="2"/>
        <scheme val="major"/>
      </rPr>
      <t>En ningún caso el contenido de este Inventario o las descripciones que</t>
    </r>
    <r>
      <rPr>
        <sz val="12"/>
        <rFont val="Calibri Light"/>
        <family val="2"/>
        <scheme val="major"/>
      </rPr>
      <t xml:space="preserve"> </t>
    </r>
    <r>
      <rPr>
        <i/>
        <sz val="12"/>
        <rFont val="Calibri Light"/>
        <family val="2"/>
        <scheme val="major"/>
      </rPr>
      <t xml:space="preserve">en el </t>
    </r>
    <r>
      <rPr>
        <b/>
        <i/>
        <sz val="12"/>
        <rFont val="Calibri Light"/>
        <family val="2"/>
        <scheme val="major"/>
      </rPr>
      <t>mismo se hagan –ni sus actualizaciones– implicarán responsabilidad alguna de la ANI, ni implicarán algún tipo de limitación de la responsabilidad y riesgo a cargo del Concesionario de ejecutar las Intervenciones, así como mantener y operar el Proyecto, cumpliendo con todas las obligaciones de resultado que en este Contrato se establecen.</t>
    </r>
    <r>
      <rPr>
        <i/>
        <sz val="12"/>
        <rFont val="Calibri Light"/>
        <family val="2"/>
        <scheme val="major"/>
      </rPr>
      <t xml:space="preserve"> El Inventario de Activos de la Concesión deberá ser elaborado por el Concesionario y será objeto de actualización de conformidad con lo establecido en el presente </t>
    </r>
    <r>
      <rPr>
        <sz val="12"/>
        <rFont val="Calibri Light"/>
        <family val="2"/>
        <scheme val="major"/>
      </rPr>
      <t>Contrato”.Solicitamos aclarar que el Concesionario no asume obligaciones distintas respecto a dicha infraestructura de aquellas indicadas expresamente en el Contrato. Lo anterior no es contrario al alcance de obligación del Concesionario de recibir la infraestructura en el estado en que se encuentre, toda vez que como bien sabe la Agencia, el recibo de la misma no puede llevar a la asunción del Concesionario de obligaciones adicionales, en exceso de lo pactado contractualmente. De igual forma, no es dable, de acuerdo con la Ley y la jurisprudencia, la asunción absoluta e ilimitada de los riesgos derivados del estado de la Infraestructura.Igualmente, no se identifica en el contrato regulación similar (es decir, con el deber de elaborar un Inventario de Activos) para la Infraestructura relacionada en la Sección 3.6. (f).</t>
    </r>
  </si>
  <si>
    <r>
      <t xml:space="preserve"> </t>
    </r>
    <r>
      <rPr>
        <sz val="12"/>
        <rFont val="Calibri Light"/>
        <family val="2"/>
        <scheme val="major"/>
      </rPr>
      <t>RIESGO FINANCIERO El numeral 24 de la matriz de riesgos asigna en el Concesionario el riesgo que consiste en “efectos desfavorables de la no obtención del financiamiento del proyecto Privado”</t>
    </r>
  </si>
  <si>
    <r>
      <t xml:space="preserve">Este Proyecto se da en un momento de coyuntura económica recesiva generada por la pandemia mundial (COVID-19), con probabilidad de un deteriorio financiero a nivel mundial, lo cual dificulta el proceso de financiación. El tráfico esperado, las restricciones a la movilidad impuestas por los gobiernos Nacional y Departamental, etc., son aspectos que la ANI debe tener en cuenta  para analizar si se otorga el Soporte de Ingresos en este proyecto. Dada la trascendencia de poder contar con seguridad en la financiación del proyecto, se sugieren algunos mecanismos para ayudar a la bancabilidad del  mismo:
</t>
    </r>
    <r>
      <rPr>
        <b/>
        <sz val="12"/>
        <rFont val="Calibri Light"/>
        <family val="2"/>
        <scheme val="major"/>
      </rPr>
      <t xml:space="preserve">
1)</t>
    </r>
    <r>
      <rPr>
        <sz val="12"/>
        <rFont val="Calibri Light"/>
        <family val="2"/>
        <scheme val="major"/>
      </rPr>
      <t xml:space="preserve">	Establecer un tramo en USD</t>
    </r>
    <r>
      <rPr>
        <b/>
        <sz val="12"/>
        <rFont val="Calibri Light"/>
        <family val="2"/>
        <scheme val="major"/>
      </rPr>
      <t xml:space="preserve"> </t>
    </r>
    <r>
      <rPr>
        <sz val="12"/>
        <rFont val="Calibri Light"/>
        <family val="2"/>
        <scheme val="major"/>
      </rPr>
      <t xml:space="preserve">para apoyar la consecución de financiación en moneda diferente a COP con el objeto de:
</t>
    </r>
    <r>
      <rPr>
        <b/>
        <sz val="12"/>
        <rFont val="Calibri Light"/>
        <family val="2"/>
        <scheme val="major"/>
      </rPr>
      <t>a.</t>
    </r>
    <r>
      <rPr>
        <sz val="12"/>
        <rFont val="Calibri Light"/>
        <family val="2"/>
        <scheme val="major"/>
      </rPr>
      <t xml:space="preserve">	Dar acceso a financiadores internacionales ante la situación actual de financiamiento local reducido. La banca local ha tenido muchos eventos relevantes (4G) que ha reducido su apetito por la financiación de proyectos de infraestructura (APP)
</t>
    </r>
    <r>
      <rPr>
        <b/>
        <sz val="12"/>
        <rFont val="Calibri Light"/>
        <family val="2"/>
        <scheme val="major"/>
      </rPr>
      <t>b.</t>
    </r>
    <r>
      <rPr>
        <sz val="12"/>
        <rFont val="Calibri Light"/>
        <family val="2"/>
        <scheme val="major"/>
      </rPr>
      <t xml:space="preserve">	Apoyar la concepción de flujos de caja estables y predecibles que son base del Project Finance para mititgar la valoración del riesgo tráfico, algo que ante la tendencia de proyectos con Pagos por Disponibidad no es muy bien valorado por la entidades financiares. Adicionalmente,  hay que tener en consideración que el tráfico con el que se estructuró el Proyecto (Pre – COVID19) no será el mismo tras la crisis financiera Post- COVID19.
</t>
    </r>
    <r>
      <rPr>
        <b/>
        <sz val="12"/>
        <rFont val="Calibri Light"/>
        <family val="2"/>
        <scheme val="major"/>
      </rPr>
      <t>2)</t>
    </r>
    <r>
      <rPr>
        <sz val="12"/>
        <rFont val="Calibri Light"/>
        <family val="2"/>
        <scheme val="major"/>
      </rPr>
      <t xml:space="preserve">	Ingresos de peaje mínimos garantizados que permitan la certeza de los flujos de caja futuros del proyecto. Proponemos que la ANI introduzca algún mecanismo que ayude a reducir el riesgo de tráfico, motivado en:
</t>
    </r>
    <r>
      <rPr>
        <b/>
        <sz val="12"/>
        <rFont val="Calibri Light"/>
        <family val="2"/>
        <scheme val="major"/>
      </rPr>
      <t>a.</t>
    </r>
    <r>
      <rPr>
        <sz val="12"/>
        <rFont val="Calibri Light"/>
        <family val="2"/>
        <scheme val="major"/>
      </rPr>
      <t xml:space="preserve">	La coyuntura actual imposibilita el correcto desarrollo de estudios de tráfico que permitan conocer el impacto del COVID19 en la estructuración del proyecto. En el mejor de los casos que los equipos puedan acceder a las zonas de referencia, los conteos que se pudiesen llegar a hacer estarán sesgados y no serán estudios de tráfico al uso. 
</t>
    </r>
    <r>
      <rPr>
        <b/>
        <sz val="12"/>
        <rFont val="Calibri Light"/>
        <family val="2"/>
        <scheme val="major"/>
      </rPr>
      <t>b.</t>
    </r>
    <r>
      <rPr>
        <sz val="12"/>
        <rFont val="Calibri Light"/>
        <family val="2"/>
        <scheme val="major"/>
      </rPr>
      <t xml:space="preserve">	Se requiere flexibilidad para la obtención de Financiamiento en este escenario de potencial crisis económica a nivel mundial post COVID-19. 
El mecanimso de Ingresos Minimos Garantízados podría ir en 2 sentidos:</t>
    </r>
    <r>
      <rPr>
        <b/>
        <sz val="12"/>
        <rFont val="Calibri Light"/>
        <family val="2"/>
        <scheme val="major"/>
      </rPr>
      <t xml:space="preserve"> 
(i)</t>
    </r>
    <r>
      <rPr>
        <sz val="12"/>
        <rFont val="Calibri Light"/>
        <family val="2"/>
        <scheme val="major"/>
      </rPr>
      <t xml:space="preserve"> ingresos mínimos grantizados anualmente que compensen el tráfico que no se produzca respecto al plan de negocio que se presente en Licitación / Cierre Financiero y/o ( Mecanismo regulado en la Sección 3.4.b Parte General)
</t>
    </r>
    <r>
      <rPr>
        <b/>
        <sz val="12"/>
        <rFont val="Calibri Light"/>
        <family val="2"/>
        <scheme val="major"/>
      </rPr>
      <t xml:space="preserve">(ii) </t>
    </r>
    <r>
      <rPr>
        <sz val="12"/>
        <rFont val="Calibri Light"/>
        <family val="2"/>
        <scheme val="major"/>
      </rPr>
      <t>ingresos minimos garantizados que hagan que el plazo de concesión se llegue a terminanr cuando se alcance el valor del VPIP</t>
    </r>
  </si>
  <si>
    <r>
      <rPr>
        <b/>
        <sz val="12"/>
        <rFont val="Calibri Light"/>
        <family val="2"/>
        <scheme val="major"/>
      </rPr>
      <t xml:space="preserve">3)   </t>
    </r>
    <r>
      <rPr>
        <sz val="12"/>
        <rFont val="Calibri Light"/>
        <family val="2"/>
        <scheme val="major"/>
      </rPr>
      <t xml:space="preserve">Establecer un límite máximo a la Deducción por Indice de Cumplimiento Predial 
</t>
    </r>
    <r>
      <rPr>
        <b/>
        <sz val="12"/>
        <rFont val="Calibri Light"/>
        <family val="2"/>
        <scheme val="major"/>
      </rPr>
      <t>4)</t>
    </r>
    <r>
      <rPr>
        <sz val="12"/>
        <rFont val="Calibri Light"/>
        <family val="2"/>
        <scheme val="major"/>
      </rPr>
      <t xml:space="preserve">	Estructura de Garantías de Ingresos. El proyecto se estructuro con una Subcuenta de Deposito Especial en donde se depositan recursos en favor de otros proyectos. Sin embargo, se solicita especial consideración a que los ingresos que genera el proyecto y que sean transferidos a ese “Deposito Especial” sirvan PRIMERO como fuente de garantía del proyecto. En la situación actual esos ingresos pueden ser la fuente y garantía del actual proyecto. Proponemos lel uso como soporte de ingresos para los Ingresos Minimos Garantizados. En cualquier caso consideramos lógico que esos fondos ayuden al proyecto que los generan, más en la situación actual de potencial dificultad econcómica y que debemos facilitar un esquema de financiación adecuado. Consideramos que en el esquema actual del contrato, la salida de esos fondos nunca debería darse antes de que finalice la Etapa Preoperatriva.
</t>
    </r>
    <r>
      <rPr>
        <b/>
        <sz val="12"/>
        <rFont val="Calibri Light"/>
        <family val="2"/>
        <scheme val="major"/>
      </rPr>
      <t xml:space="preserve">5)  </t>
    </r>
    <r>
      <rPr>
        <sz val="12"/>
        <rFont val="Calibri Light"/>
        <family val="2"/>
        <scheme val="major"/>
      </rPr>
      <t xml:space="preserve">Derecho a un requilibrio económico financiero por fuerte desviación en costes financieros. En ese sentido proponemos establecer un porcentaje del diez porciento [10%] de desviación, a partir del cual el incremento del coste financiero sea reequilibrado. Este mecanimos fue utilizado exitosamente en contratos de concesión en la crisis financiera global que inició en 2008. En compensación para que sea un mecanismo justo para la ANI, puede también pensarse en que en el evento de una refinanciación ( lo lógico es que cuando el mercado baje coste financiero se refinanciasen los proyectos), la ganacia se comparta con la ANI.
 </t>
    </r>
    <r>
      <rPr>
        <b/>
        <sz val="12"/>
        <rFont val="Calibri Light"/>
        <family val="2"/>
        <scheme val="major"/>
      </rPr>
      <t xml:space="preserve">6) </t>
    </r>
    <r>
      <rPr>
        <sz val="12"/>
        <rFont val="Calibri Light"/>
        <family val="2"/>
        <scheme val="major"/>
      </rPr>
      <t xml:space="preserve">Evento Eximente / Causa de Terminanción por Fuerza Mayor por imposibilidad del Cierre financiero. En medio de la actual coyuntura económica un cierre de mercados podría imposibilitar la financiación del proyecto usando banca, fondos de deuda o en mercado de capitales. En consecuencia, sugerimos establecer una fuerza mayor expresa ligada a una causa de terminación por imposibilidad de consecuención del cierre financiero por hechos no imputables al Concesionario. 
</t>
    </r>
  </si>
  <si>
    <r>
      <rPr>
        <b/>
        <sz val="12"/>
        <rFont val="Calibri Light"/>
        <family val="2"/>
        <scheme val="major"/>
      </rPr>
      <t xml:space="preserve">7) </t>
    </r>
    <r>
      <rPr>
        <sz val="12"/>
        <rFont val="Calibri Light"/>
        <family val="2"/>
        <scheme val="major"/>
      </rPr>
      <t>Ajuste en la Formula de Liquidación del Contrato. El correcto dimensionamiento de las fórmulas que simulan el valor de terminación del contrato ante eventos de terminación anticipada supone uno de los puntos claves para que una Concesión y una financiación tipo Project Finance pueda llegar a salir. Si este concepto esta mal dimensionado, el cierre financiero tendra muchos problemas y posibilidades de no llegar a producirse, más ante un proyecto de riesgo tráfico y ante un potencial mercado financiero en desaceleración. En este sentido explicamos varias observaciones a la fórmula en las siguientes observaciones. Sección 3.4(b) Parte Genereal - Soporte de Ingresos</t>
    </r>
  </si>
  <si>
    <r>
      <rPr>
        <b/>
        <sz val="12"/>
        <rFont val="Calibri Light"/>
        <family val="2"/>
        <scheme val="major"/>
      </rPr>
      <t>Capitulo de Geotecnia:</t>
    </r>
    <r>
      <rPr>
        <sz val="12"/>
        <rFont val="Calibri Light"/>
        <family val="2"/>
        <scheme val="major"/>
      </rPr>
      <t xml:space="preserve"> Intersección Versalles Palmira ¿Por qué en el informe CI1111Tabla 3-12 se presentan 10 sondeos, en el plano CI12211 se presentan 12 sondeos y en el plano CI12212 se observan 9? Adicionalmente, el abscisado presentado en el informe CI111 no coincide con los planos.</t>
    </r>
  </si>
  <si>
    <r>
      <rPr>
        <b/>
        <sz val="12"/>
        <rFont val="Calibri Light"/>
        <family val="2"/>
        <scheme val="major"/>
      </rPr>
      <t>Capitulo de Geotecnia:</t>
    </r>
    <r>
      <rPr>
        <sz val="12"/>
        <rFont val="Calibri Light"/>
        <family val="2"/>
        <scheme val="major"/>
      </rPr>
      <t>¿Por qué las abscisas de los sitios del tramo 5 Yumbo (paso nivel) - Mediacanoa, variante Yumbo, variante Yotoco, presentados en la pág 88 del informe CI2111 no coinciden con sus respectivas fichas geológicas?</t>
    </r>
  </si>
  <si>
    <r>
      <rPr>
        <b/>
        <sz val="12"/>
        <rFont val="Calibri Light"/>
        <family val="2"/>
        <scheme val="major"/>
      </rPr>
      <t>Capitulo de Geotecnia:</t>
    </r>
    <r>
      <rPr>
        <sz val="12"/>
        <rFont val="Calibri Light"/>
        <family val="2"/>
        <scheme val="major"/>
      </rPr>
      <t xml:space="preserve"> ¿Existe algun listado de puentes peatonales con abscisas? Existen perforaciones y ensayos?</t>
    </r>
  </si>
  <si>
    <r>
      <rPr>
        <b/>
        <sz val="12"/>
        <rFont val="Calibri Light"/>
        <family val="2"/>
        <scheme val="major"/>
      </rPr>
      <t>Capitulo de Geotecnia:</t>
    </r>
    <r>
      <rPr>
        <sz val="12"/>
        <rFont val="Calibri Light"/>
        <family val="2"/>
        <scheme val="major"/>
      </rPr>
      <t xml:space="preserve"> ¿Existen los formatos de los ensayos de laboratorio para la Intersección Versalles?</t>
    </r>
  </si>
  <si>
    <r>
      <rPr>
        <b/>
        <sz val="12"/>
        <rFont val="Calibri Light"/>
        <family val="2"/>
        <scheme val="major"/>
      </rPr>
      <t>Capitulo de Geotecnia:</t>
    </r>
    <r>
      <rPr>
        <sz val="12"/>
        <rFont val="Calibri Light"/>
        <family val="2"/>
        <scheme val="major"/>
      </rPr>
      <t xml:space="preserve"> ¿Las perforaciones y ensayos realizados en el tramo Salida Palmira-La Candelaria corresponden a un puente peatonal nuevo? en caso contrario, a que estructura corresponde?</t>
    </r>
  </si>
  <si>
    <r>
      <rPr>
        <b/>
        <sz val="12"/>
        <rFont val="Calibri Light"/>
        <family val="2"/>
        <scheme val="major"/>
      </rPr>
      <t>Capitulo de Geotecnia:</t>
    </r>
    <r>
      <rPr>
        <sz val="12"/>
        <rFont val="Calibri Light"/>
        <family val="2"/>
        <scheme val="major"/>
      </rPr>
      <t xml:space="preserve"> ¿Cuales ensayos de laboratorio se tuvieron en cuenta para diseñar la zapata del archivo MV-C04-GG-MC-001-R0 perteneciente a la UF2 corredor 4? No se observan anexos de ensayos de laboratorio</t>
    </r>
  </si>
  <si>
    <r>
      <rPr>
        <b/>
        <sz val="12"/>
        <rFont val="Calibri Light"/>
        <family val="2"/>
        <scheme val="major"/>
      </rPr>
      <t>Capitulo de Geotecnia:</t>
    </r>
    <r>
      <rPr>
        <sz val="12"/>
        <rFont val="Calibri Light"/>
        <family val="2"/>
        <scheme val="major"/>
      </rPr>
      <t xml:space="preserve"> ¿Cuantos puentes nuevos son por ejecutar en la UF3? En el informe mencionan dos y en el volumen de puentes se observan seis</t>
    </r>
  </si>
  <si>
    <r>
      <rPr>
        <b/>
        <sz val="12"/>
        <rFont val="Calibri Light"/>
        <family val="2"/>
        <scheme val="major"/>
      </rPr>
      <t>Capitulo de Geotecnia:</t>
    </r>
    <r>
      <rPr>
        <sz val="12"/>
        <rFont val="Calibri Light"/>
        <family val="2"/>
        <scheme val="major"/>
      </rPr>
      <t xml:space="preserve"> ¿Cuantas perforaciones se hicieron para la UF3? Se observan 3 perforaciones en los planos pero se evidencian solo 2 registros de perforación</t>
    </r>
  </si>
  <si>
    <r>
      <rPr>
        <b/>
        <sz val="12"/>
        <rFont val="Calibri Light"/>
        <family val="2"/>
        <scheme val="major"/>
      </rPr>
      <t xml:space="preserve">Capitulo de Geotecnia: </t>
    </r>
    <r>
      <rPr>
        <sz val="12"/>
        <rFont val="Calibri Light"/>
        <family val="2"/>
        <scheme val="major"/>
      </rPr>
      <t>¿Cuantos taludes se van a diseñar en la UF3? Se cuenta con modelaciones?</t>
    </r>
  </si>
  <si>
    <r>
      <rPr>
        <b/>
        <sz val="12"/>
        <rFont val="Calibri Light"/>
        <family val="2"/>
        <scheme val="major"/>
      </rPr>
      <t xml:space="preserve">Capitulo de Geotecnia: </t>
    </r>
    <r>
      <rPr>
        <sz val="12"/>
        <rFont val="Calibri Light"/>
        <family val="2"/>
        <scheme val="major"/>
      </rPr>
      <t>¿Cuantos taludes se van a diseñar en la UF4? Se cuenta con modelaciones?</t>
    </r>
  </si>
  <si>
    <r>
      <rPr>
        <b/>
        <sz val="12"/>
        <rFont val="Calibri Light"/>
        <family val="2"/>
        <scheme val="major"/>
      </rPr>
      <t>Capitulo de Geotecnia:</t>
    </r>
    <r>
      <rPr>
        <sz val="12"/>
        <rFont val="Calibri Light"/>
        <family val="2"/>
        <scheme val="major"/>
      </rPr>
      <t xml:space="preserve"> ¿Por que se realizaron dos sondeos seguidos en el puente Guillermo Valencia, según formatos de perforación? ¿Cuántas perforaciones se realizaron en total para este puente?</t>
    </r>
  </si>
  <si>
    <r>
      <rPr>
        <b/>
        <sz val="12"/>
        <rFont val="Calibri Light"/>
        <family val="2"/>
        <scheme val="major"/>
      </rPr>
      <t>Capitulo de Geotecnia</t>
    </r>
    <r>
      <rPr>
        <sz val="12"/>
        <rFont val="Calibri Light"/>
        <family val="2"/>
        <scheme val="major"/>
      </rPr>
      <t>: ¿Por qué en el informe de la UF4 se observa un abscisado diferente al de los planos?</t>
    </r>
  </si>
  <si>
    <r>
      <rPr>
        <b/>
        <sz val="12"/>
        <rFont val="Calibri Light"/>
        <family val="2"/>
        <scheme val="major"/>
      </rPr>
      <t>Capitulo de Geotecnia:</t>
    </r>
    <r>
      <rPr>
        <sz val="12"/>
        <rFont val="Calibri Light"/>
        <family val="2"/>
        <scheme val="major"/>
      </rPr>
      <t xml:space="preserve"> ¿Cuáles son las coordenadas de las perforaciones realizadas en el deprimido de Sameco?</t>
    </r>
  </si>
  <si>
    <r>
      <rPr>
        <b/>
        <sz val="12"/>
        <rFont val="Calibri Light"/>
        <family val="2"/>
        <scheme val="major"/>
      </rPr>
      <t>Capitulo de Geotecnia:</t>
    </r>
    <r>
      <rPr>
        <sz val="12"/>
        <rFont val="Calibri Light"/>
        <family val="2"/>
        <scheme val="major"/>
      </rPr>
      <t xml:space="preserve"> ¿Existen perforaciones y ensayos de los puentes vehiculares existentes?</t>
    </r>
  </si>
  <si>
    <r>
      <rPr>
        <b/>
        <sz val="12"/>
        <rFont val="Calibri Light"/>
        <family val="2"/>
        <scheme val="major"/>
      </rPr>
      <t>Capitulo de Geotecnia:</t>
    </r>
    <r>
      <rPr>
        <sz val="12"/>
        <rFont val="Calibri Light"/>
        <family val="2"/>
        <scheme val="major"/>
      </rPr>
      <t xml:space="preserve"> ¿Con base en que norma obtuvieron los factores de seguridad del analisis de taludes para el deprimido de Sameco?</t>
    </r>
  </si>
  <si>
    <r>
      <t xml:space="preserve">Capitulo de Geotecnia: </t>
    </r>
    <r>
      <rPr>
        <sz val="12"/>
        <rFont val="Calibri Light"/>
        <family val="2"/>
        <scheme val="major"/>
      </rPr>
      <t>Favor aclarar el estado actual de los Zodmes y posibles rellenos los cuales son mecionados en los estudios geológicos corrrespondientes a cada una de las U.F. Indicar si hay algún tipo de precuerdo con los propietarios de los terrenos y si es así, indicar cuales son los compromisos pactados (precio/m3, entre otros)</t>
    </r>
  </si>
  <si>
    <r>
      <t>Capitulo de OPEX: ¿</t>
    </r>
    <r>
      <rPr>
        <sz val="12"/>
        <rFont val="Calibri Light"/>
        <family val="2"/>
        <scheme val="major"/>
      </rPr>
      <t>Cuales son las obligaciones en la etapa de preconstrucción, en cuanto al mantenimiento rutinario y periódico, para las vías de factor de calidad y de la tabla 25, del apendice técnico general?</t>
    </r>
  </si>
  <si>
    <r>
      <t>Capitulo de OPEX: ¿</t>
    </r>
    <r>
      <rPr>
        <sz val="12"/>
        <rFont val="Calibri Light"/>
        <family val="2"/>
        <scheme val="major"/>
      </rPr>
      <t>Cuales son las obligaciones en la etapa de preconstrucción, en cuanto al mantenimiento rutinario y periódico, para los puentes existentes del corredor?</t>
    </r>
  </si>
  <si>
    <r>
      <t xml:space="preserve">Capitulo de Puentes: </t>
    </r>
    <r>
      <rPr>
        <sz val="12"/>
        <rFont val="Calibri Light"/>
        <family val="2"/>
        <scheme val="major"/>
      </rPr>
      <t>En el caso de una repotenciación estructural de algún puente existente, ¿Quíen se hace cargo del costo adicional generado por esta actividad? ¿La ANI? ¿El concesionario?</t>
    </r>
  </si>
  <si>
    <r>
      <t>Capitulo de OPEX: ¿</t>
    </r>
    <r>
      <rPr>
        <sz val="12"/>
        <rFont val="Calibri Light"/>
        <family val="2"/>
        <scheme val="major"/>
      </rPr>
      <t>Cómo fue planteado el costo del agua industial para la etapa de preconstrucción y construcción? ¿Se tiene algun dato o fuente de referencia, puntos de captación, empresas proveedoras? ¿Existe algún tipo de negociación previa ($/m3)?</t>
    </r>
  </si>
  <si>
    <r>
      <t xml:space="preserve">Capitulo de Pavimentos: </t>
    </r>
    <r>
      <rPr>
        <sz val="12"/>
        <rFont val="Calibri Light"/>
        <family val="2"/>
        <scheme val="major"/>
      </rPr>
      <t>¿Existe el dato histórico de ascultaciones que se venía realizando periódicamente por el anterior concesionario?</t>
    </r>
  </si>
  <si>
    <r>
      <t xml:space="preserve">Capitulo de Pavimentos: </t>
    </r>
    <r>
      <rPr>
        <sz val="12"/>
        <rFont val="Calibri Light"/>
        <family val="2"/>
        <scheme val="major"/>
      </rPr>
      <t>¿Existe un analisis del deterioro en el tiempo de acuerdo a los datos históricos de ascultaciones del anterior concesionario?</t>
    </r>
    <r>
      <rPr>
        <b/>
        <sz val="12"/>
        <rFont val="Calibri Light"/>
        <family val="2"/>
        <scheme val="major"/>
      </rPr>
      <t xml:space="preserve"> </t>
    </r>
    <r>
      <rPr>
        <sz val="12"/>
        <rFont val="Calibri Light"/>
        <family val="2"/>
        <scheme val="major"/>
      </rPr>
      <t>De ser así, por favor suministrar dicha información</t>
    </r>
  </si>
  <si>
    <r>
      <t xml:space="preserve">Capitulo de Pavimentos: </t>
    </r>
    <r>
      <rPr>
        <sz val="12"/>
        <rFont val="Calibri Light"/>
        <family val="2"/>
        <scheme val="major"/>
      </rPr>
      <t>Para el tramo acequia - la torre, no se evidencia información referente al ensayo del IRI y deflexión ¿Existe esta información?</t>
    </r>
    <r>
      <rPr>
        <b/>
        <sz val="12"/>
        <rFont val="Calibri Light"/>
        <family val="2"/>
        <scheme val="major"/>
      </rPr>
      <t xml:space="preserve"> </t>
    </r>
    <r>
      <rPr>
        <sz val="12"/>
        <rFont val="Calibri Light"/>
        <family val="2"/>
        <scheme val="major"/>
      </rPr>
      <t>De ser así por favor suministrarla.</t>
    </r>
  </si>
  <si>
    <r>
      <t xml:space="preserve">Capitulo de Pavimentos: </t>
    </r>
    <r>
      <rPr>
        <sz val="12"/>
        <rFont val="Calibri Light"/>
        <family val="2"/>
        <scheme val="major"/>
      </rPr>
      <t>Para el paso nacional por palmira, no se evidencia información referente al ensayo del IRI, ahuellamiento y deflexión ¿Existe esta información? De ser así por favor suministrarla.</t>
    </r>
  </si>
  <si>
    <r>
      <t xml:space="preserve">Capitulo de Pavimentos: </t>
    </r>
    <r>
      <rPr>
        <sz val="12"/>
        <rFont val="Calibri Light"/>
        <family val="2"/>
        <scheme val="major"/>
      </rPr>
      <t>Para la Unidad Funcional 2, casos especificos, Variante el Bolo, Cali - Candelaria y Cali - Palmira, Acceso al estadio palmaseca, no se evidencia información referente al ensayo del IRI, ahuellamiento, apiques, auscultación, fricción y espesores ¿Existe esta información?</t>
    </r>
    <r>
      <rPr>
        <b/>
        <sz val="12"/>
        <rFont val="Calibri Light"/>
        <family val="2"/>
        <scheme val="major"/>
      </rPr>
      <t xml:space="preserve"> </t>
    </r>
    <r>
      <rPr>
        <sz val="12"/>
        <rFont val="Calibri Light"/>
        <family val="2"/>
        <scheme val="major"/>
      </rPr>
      <t>De ser así por favor suministrarla.</t>
    </r>
  </si>
  <si>
    <r>
      <t xml:space="preserve">Capitulo de Pavimentos: </t>
    </r>
    <r>
      <rPr>
        <sz val="12"/>
        <rFont val="Calibri Light"/>
        <family val="2"/>
        <scheme val="major"/>
      </rPr>
      <t>Para los tramos de factor de calidad, no se evidencia información referente a los ensayos de IRI, ahuellamiento, espesores, deflectometría, apiques y auscultación ¿Existe esta información? De ser así por favor suministrarla.</t>
    </r>
  </si>
  <si>
    <r>
      <t xml:space="preserve">Capitulo de Pavimentos: </t>
    </r>
    <r>
      <rPr>
        <sz val="12"/>
        <rFont val="Calibri Light"/>
        <family val="2"/>
        <scheme val="major"/>
      </rPr>
      <t>Para la Unidad Funcional 5, no se evidencia información referente a los ensayos de IRI, ahuellamiento y fricción ¿Existe esta información? De ser así por favor suministrarla.</t>
    </r>
  </si>
  <si>
    <r>
      <t xml:space="preserve">Capitulo de ambiental: </t>
    </r>
    <r>
      <rPr>
        <sz val="12"/>
        <rFont val="Calibri Light"/>
        <family val="2"/>
        <scheme val="major"/>
      </rPr>
      <t>¿Dónde se encuentra la información referente a las actas de reunión de las consultas previas realizadas?</t>
    </r>
  </si>
  <si>
    <r>
      <t xml:space="preserve">Capitulo Ambiental: </t>
    </r>
    <r>
      <rPr>
        <sz val="12"/>
        <rFont val="Calibri Light"/>
        <family val="2"/>
        <scheme val="major"/>
      </rPr>
      <t>El INSTITUTO COLOMBIANO DE ARQUEOLOGIA Y ANTROPOLOGÍA ICANH emitió una respuesta acerca de la carta enviada por el consorcio que hizo los estudios de Estructuración, sobre la existencia o no de patrimonio arqueológico en la zona de las obras del proyecto.  emitio con No de radicado 08531602 del 16 de abril de 2018, que existían varios sitios de interés, por lo que se debía adelantar un programa de arqueología preventiva.  Estos estudios no los encontramos dentro del banco de datos.  Nos podrían aclarar si no existen dichos estudios</t>
    </r>
  </si>
  <si>
    <r>
      <t xml:space="preserve">Capitulo Ambiental: </t>
    </r>
    <r>
      <rPr>
        <sz val="12"/>
        <rFont val="Calibri Light"/>
        <family val="2"/>
        <scheme val="major"/>
      </rPr>
      <t>No se encuentra en el banco de datos los inventarios de árboles y estudios relacionados para las obras de la nueva malla vial, solo se encuentra un inventario para la intersección Sameco.. para las demas obra no se encuentran dichos inventarios.</t>
    </r>
  </si>
  <si>
    <r>
      <t xml:space="preserve">Capitulo Ambiental: </t>
    </r>
    <r>
      <rPr>
        <sz val="12"/>
        <rFont val="Calibri Light"/>
        <family val="2"/>
        <scheme val="major"/>
      </rPr>
      <t>No se encuentra el capitulos en los PAGAS Y EIAS realizados por el estrucutrador los costos de los programas diseñados para los temas ambientales y sociales.</t>
    </r>
  </si>
  <si>
    <r>
      <t xml:space="preserve">Capitulo Ambiental: </t>
    </r>
    <r>
      <rPr>
        <sz val="12"/>
        <rFont val="Calibri Light"/>
        <family val="2"/>
        <scheme val="major"/>
      </rPr>
      <t>No hay documentos de los pasivos ambientales y pendientes ambientales en los corredores ambientales y que podrían estar a cargo del nuevo concesionario.</t>
    </r>
  </si>
  <si>
    <r>
      <t xml:space="preserve">Capitulo Ambiental: </t>
    </r>
    <r>
      <rPr>
        <sz val="12"/>
        <rFont val="Calibri Light"/>
        <family val="2"/>
        <scheme val="major"/>
      </rPr>
      <t>No se encuentran las resoluciones de las licencias ambientales, de los estudios realizados para las nuevas calzadas.</t>
    </r>
  </si>
  <si>
    <r>
      <t xml:space="preserve">Capitulo Ambiental: </t>
    </r>
    <r>
      <rPr>
        <sz val="12"/>
        <rFont val="Calibri Light"/>
        <family val="2"/>
        <scheme val="major"/>
      </rPr>
      <t>En el documento 2412101 que es una Nota aclaratoria, se dice que la ANLA no requiere DAA, y que van a proponer un estudio de acuerdo a lo correspondiente, podrían aclararnos cual es el requerimIento de la ANLA </t>
    </r>
  </si>
  <si>
    <r>
      <t xml:space="preserve">●       </t>
    </r>
    <r>
      <rPr>
        <b/>
        <sz val="12"/>
        <rFont val="Calibri Light"/>
        <family val="2"/>
        <scheme val="major"/>
      </rPr>
      <t>Retorno Estambul</t>
    </r>
  </si>
  <si>
    <r>
      <t xml:space="preserve">●       </t>
    </r>
    <r>
      <rPr>
        <b/>
        <sz val="12"/>
        <rFont val="Calibri Light"/>
        <family val="2"/>
        <scheme val="major"/>
      </rPr>
      <t xml:space="preserve">Retornos Guanabanal </t>
    </r>
    <r>
      <rPr>
        <sz val="12"/>
        <rFont val="Calibri Light"/>
        <family val="2"/>
        <scheme val="major"/>
      </rPr>
      <t xml:space="preserve">  </t>
    </r>
  </si>
  <si>
    <r>
      <t xml:space="preserve">El numeral 4.2.2. literal b) del Pliego de Condiciones, al referirse a la acreditación de la experiencia en inversión señala: 
</t>
    </r>
    <r>
      <rPr>
        <i/>
        <sz val="12"/>
        <rFont val="Calibri Light"/>
        <family val="2"/>
        <scheme val="major"/>
      </rPr>
      <t>“(b) Que quien acredite la Experiencia en Inversión haya sido parte del contrato de concesión de Proyectos de Infraestructura en el momento en que tuvo lugar la financiación (cierre financiero) del mismo. Este requisito se entenderá cumplido aún en el caso que la sociedad concesionaria que desarrolló el Proyecto de Infraestructura no haya obtenido directamente la financiación, sino que (i) lo haya hecho a través de un vehículo de propósito especial, en el cual la sociedad concesionaria que desarrolló el proyecto de infraestructura haya tenido una participación en el capital social del veinticinco por ciento (25%) en el respectivo vehículo de propósito especial en el momento en que tuvo lugar el cierre financiero del mismo se valdrá el cien por ciento (100%) de dicha experiencia en la presente Licitación Pública. (…)”</t>
    </r>
    <r>
      <rPr>
        <sz val="12"/>
        <rFont val="Calibri Light"/>
        <family val="2"/>
        <scheme val="major"/>
      </rPr>
      <t xml:space="preserve">
Considerando las estructuras de financiamiento de proyectos, es nuestro entendimiento que la experiencia es igualmente válida, si el vehículo constituido para el financiamiento del Proyecto no cuenta con la sociedad concesionaria que desarrollo el proyecto como accionista, pero los accionistas de la sociedad concesionaria si cuentan con el 25% o más de participación accionaria en dicha sociedad de propósito especial.  
Lo anterior además considerando lo indicado en el numeral 4.2.9 del Pliego que indica: 
</t>
    </r>
    <r>
      <rPr>
        <i/>
        <sz val="12"/>
        <rFont val="Calibri Light"/>
        <family val="2"/>
        <scheme val="major"/>
      </rPr>
      <t>“4.2.9 También se podrá acreditar la experiencia de vehículos de propósito especial constituidos por el Oferente o Líder para la financiación de una concesión de Proyectos de Infraestructura siempre que: (a) el vehículo de propósito especial haya sido constituido incluyendo dentro de su objeto el propósito de obtener financiación; y (b) que los recursos de la financiación obtenida por el vehículo de propósito especial hayan sido destinados de manera única y exclusiva para la concesión de un Proyecto de Infraestructura que se acredita.”</t>
    </r>
  </si>
  <si>
    <r>
      <t xml:space="preserve">Según se establece en el Pliego de Condiciones, iv literal c) numeral 4.2.10 para acreditar la experiencia en inversión debe adjuntarse una certificación del  funcionario competente del contratante en la que se incluya entre otros aspectos el siguiente: 
</t>
    </r>
    <r>
      <rPr>
        <i/>
        <sz val="12"/>
        <rFont val="Calibri Light"/>
        <family val="2"/>
        <scheme val="major"/>
      </rPr>
      <t>“(iv) Que el contrato no haya sido objeto de terminación por caducidad o incumplimiento del contratista ni haber hecho efectivas las garantías de cumplimiento otorgadas por el contratista respectivo. En este último evento, si el contrato está en ejecución la certificación no podrá tener una fecha de expedición mayor de tres (3) meses contados desde la publicación de la presente Licitación Pública en el SECOP.”</t>
    </r>
    <r>
      <rPr>
        <sz val="12"/>
        <rFont val="Calibri Light"/>
        <family val="2"/>
        <scheme val="major"/>
      </rPr>
      <t xml:space="preserve">
Considerando que resulta posible que quien acredite la experiencia ya cuente con certificaciones previas donde no se encuentre la totalidad de la información exigida por la ANI, se solicita se permita que la información que no repose en la certificación, como aquella prevista en el numeral (iv) pueda ser acreditada con la presentación de una declaración juramentada por parte del contratista que ejecutó el proyecto de manera satisfactoria. </t>
    </r>
  </si>
  <si>
    <r>
      <t>Conforme lo dispone el numeral 4.3.1 del Pliego de Condiciones:</t>
    </r>
    <r>
      <rPr>
        <i/>
        <sz val="12"/>
        <rFont val="Calibri Light"/>
        <family val="2"/>
        <scheme val="major"/>
      </rPr>
      <t xml:space="preserve"> “Los Oferentes deberán presentar los documentos requeridos para efectos de acreditar su Capacidad Financiera en los términos y condiciones exigidos a  continuación, sin perjuicio que en cualquier momento que la Entidad lo requiera los Oferentes deban aportar los Estados Financieros que soportan dicha información: El Anexo 10A deberá ser suscritos por: (i) el representante legal del proponerte individual o representante legal del integrante de una estructura plural que acredite Capacidad Financiera; (ii) el contador o vicepresidente financiero o por quien ostente la facultad para suscripción del anexo indicado de conformidad con el certificado de existencia y representación legal o los estatutos o su equivalente tratándose de proponentes extranjeros y (iii) por el Revisor Fiscal, para las sociedades que se encuentren obligadas por ley o el Auditor en los demás casos.”
</t>
    </r>
    <r>
      <rPr>
        <sz val="12"/>
        <rFont val="Calibri Light"/>
        <family val="2"/>
        <scheme val="major"/>
      </rPr>
      <t xml:space="preserve">
Al respecto se le solicita a la Entidad considerar la posibilidad de que los Revisores Fiscales no suscriban dicho Anexo, considerando que en no pocas ocasiones no cuentan con autorización para proceder con la suscripción de tales documentos. Así las cosas, se solicita que se exija dicha firma, si en efecto el Revisor Fiscal cuenta con autorización o disposición para suscribir el formulario, de lo contrario permitir que sea solamente suscrito por representantes, contadores, o vicepresidente financiero.</t>
    </r>
  </si>
  <si>
    <r>
      <t>De la manera más atenta, por medio de la presente sometemos a su consideración algunos comentarios y reflexiones respecto a la minuta del programa 5G, publicada por la entidad en el mes de abril de 2020, y que actualmente hace parte de los documentosen el proceso de contratación del proyecto Nueva Malla Vial del Valle del Cauca.
Los comentarios que planteamos a continuación tienen como objeto insistir en la solicitud de incluir en el contrato la certificación periódica de la variable ARh y formular algunas recomendaciones y buenas prácticas en cuanto a la asignación eficiente de los  riesgos en proyectos de infraestructura, de conformidad con los lineamientos de la política pública en materia de riesgos y los mandatos de la Ley 1508 de 2012.
1</t>
    </r>
    <r>
      <rPr>
        <b/>
        <sz val="12"/>
        <rFont val="Calibri Light"/>
        <family val="2"/>
        <scheme val="major"/>
      </rPr>
      <t xml:space="preserve">. Certificaciones periódicas de la variable ARh
</t>
    </r>
    <r>
      <rPr>
        <sz val="12"/>
        <rFont val="Calibri Light"/>
        <family val="2"/>
        <scheme val="major"/>
      </rPr>
      <t>Sobre este primer asunto, amablemente reiteramos la necesidad de incluir en el contrato la expedición de una certificación periódica de la variable ARh de la fórmula de liquidación anticipada. En una oportunidad previa, manifestamos que las entidades financieras y prestamistas han expresado la importancia de que el interventor o la ANI certifiquen periódicamente, durante la ejecución del proyecto, el valor resultante de la fórmula de terminación, en especial atención, la variable ARh.
Lo anterior fortalece la confianza de inversionistas y prestamistas, en la medida que, a través de este instrumento, se tendrá claro el monto de las actividades ejecutadas durante el desarrollo de los proyectos, disminuyendo la incertidumbre frente a posibles escenarios de terminación anticipada de los contratos.
En consideración a lo señalado previamente, la sugerencia concreta de la CCI es que se incluya en los contratos de interventoría o en el contrato de concesión la obligación de certificar periódicamente el avance del proyecto para efectos del cálculo de la aludida fórmula.</t>
    </r>
  </si>
  <si>
    <r>
      <t xml:space="preserve">2. Comentarios en relación con los riesgos previstos en los numerales (i) y
(iii) de la sección 13.2
Revisada la sección 13.2 de la parte general de la minuta estándar, publicada en el proceso de selección de la Malla Vial del Valle de Cauca y Cauca, hemos identificado los
siguientes alcances:
“(i) Los efectos favorables y/o desfavorables derivados de los costos y las </t>
    </r>
    <r>
      <rPr>
        <b/>
        <sz val="12"/>
        <rFont val="Calibri Light"/>
        <family val="2"/>
        <scheme val="major"/>
      </rPr>
      <t>demoras</t>
    </r>
    <r>
      <rPr>
        <sz val="12"/>
        <rFont val="Calibri Light"/>
        <family val="2"/>
        <scheme val="major"/>
      </rPr>
      <t xml:space="preserve"> en la gestión predial, toda vez que es obligación de resultado del Concesionario gestionar y adquirir en representación de la ANI, en los términos del CAPÍTULO VII de esta Parte General, los Predios necesarios para adelantar las Intervenciones, y cumplir al respecto con la Ley Aplicable” (negrilla nuestra).
“(iii) Los efectos favorables y/o desfavorables derivados de los costos y las </t>
    </r>
    <r>
      <rPr>
        <b/>
        <sz val="12"/>
        <rFont val="Calibri Light"/>
        <family val="2"/>
        <scheme val="major"/>
      </rPr>
      <t>demoras</t>
    </r>
    <r>
      <rPr>
        <sz val="12"/>
        <rFont val="Calibri Light"/>
        <family val="2"/>
        <scheme val="major"/>
      </rPr>
      <t xml:space="preserve"> en la gestión para la obtención de las Licencias Ambientales, Planes de Manejo Ambiental, conceptos y demás permisos de carácter ambiental…” (negrilla nuestra).
Queremos llamar la atención sobre las expresiones resaltadas, las cuales señalan con claridad que las demoras en la gestión predial y en el trámite de la obtención de las licencias ambientales es un riesgo a cargo del contratista. Esta asignación, en los términos en los que se encuentra redactada, resultaría ilimitada y desproporcionada por cuanto los mayores plazos que se presenten durante la gestión y adquisición de predios y trámites ambientales, que no resulten imputables a la diligencia del contratista, serían asumidos por el concesionario, quien no tiene control sobre ese tipo
de situaciones.
Al respecto, en varias oportunidades el gremio ha señalado las problemáticas más recurrentes durante la gestión predial y ambiental, destacándose entre ellas, las siguientes:
1. Dificultades para definir la titularidad de un predio.
2. Ausencia de un catastro predial consolidado, lo que genera alta informalidad en
la titularidad de los inmuebles.
3. Trámites prediales que se prologan excesivamente (IGAC, SAE, URT y Notarías).
4. Dificultades para la adquisición de predios que se encuentran en listas de control
de prevención de lavado de activos o financiación del terrorismo.
5. Carencia de personal para atender el volumen de solicitudes presentadas por los
proyectos.
Estas dificultades no resultan imputables a la diligencia del concesionario y, en la mayoría de las ocasiones, escapan a su control razonable, pues son situaciones totalmente atribuibles a terceros.
Al respecto, sin pretender desconocer las responsabilidades de quienes ejecutan un proyecto, es importante incluir reglas que morigeren este riesgo, pues aquellas
situaciones que no pueden ser imputables a la diligencia del contratista, deben ser retenidas por la entidad.
Sobre este asunto, es importante traer a colación un par de decisiones adoptadas en el marco de los mecanismos de solución de controversias de proyectos de infraestructura de transporte. En el primer caso, los amigables componedores manifestaron que la desidia de las entidades encargadas de la gestión predial no es un evento controlable por el concesionario:
“Así pues, este Panel procede a afirmar que desde ningún punto de vista podría considerarse previsible o dentro del control razonable del Concesionario, el hecho de que la entidad pública obligada a efectuar el trámite de actualización catastral (motivada en una petición particular), violaría ostensiblemente las normas jurídicas que rigen su función, para sobrepasar de manera irracional el plazo máximo con que contaba para desarrollar esa puntual función”1.
Igualmente, a partir de la evidencia acreditada, el panel de amigables señaló más adelante: “Con todo, en los precisos términos expuestos por este Panel en la presente decisión,
ha quedados demostrado que el Concesionario no obró con falta de diligencia en el desarrollo de las actuaciones de Gestión Predial a su caro, y que por el contrario intentó por lo medios razonables que tenía a su alcance (reiteraciones a las peticiones y radicación de la queja disciplinaria por la tardanza en emitir la resolución correspondiente), para prevenir y conjurar los efectos adversos que la
desidia de la entidad de catastro nacional provocó en la situación particular de cumplimiento del Concesionario”2.
En el segundo caso, en un tribunal de arbitramento sostenido entre un concesionario del programa 4G y la ANI, los árbitros decidieron que el término que tomó adelantar la gestión de la licencia ambiental correspondió a las vicisitudes del trámite:
“Como quedó señalado, la condición contemplada en el literal f. de la Sección 4.4. de la Parte General del Contrato, consistente en obtener las Licencias y Permisos- incluida la Licencia Ambiental- requeridos por la Autoridad Ambiental, acaeció el 24 de agosto de 2016, cuando quedó ejecutoriada la Resolución N° 785 del 29 de julio de 2016, expedida por la Autoridad Nacional de Licencias Ambientales, por medio de la cual se resolvió un recurso de reposición contra la Resolución 510 del 13 de mayo de 2016 de la misma entidad, con la cual se otorgó Licencia Ambiental para el Proyecto Conexión Pacífico 1.
Lo anterior es suficiente evidencia de que no existieron tiempos ociosos o negligencia o impericia del Concesionario en la gestión de la Licencia Ambiental, y que el término en el que se obtuvo dicha licencia, obedeció a las vicisitudes y particulares circunstancias que se hubieron de superar durante su trámite, no imputables al Concesionario ni por las cuales este deba responder. Así las cosas, la licencia necesaria para el cumplimiento de la condición contemplada en la sección 4.4(f) de la Parte general, se obtuvo dentro del plazo objetivamente necesario, de manera que no se excedió el termino (sic) estimado de duración de la Fase de Preconstrucción”3.
En ese orden de ideas, si el responsable de un proyecto ejecuta todas las acciones y diligencias razonables bajo su total control y las entidades o terceros presentan retrasos en su gestión, esa situación no podría ser imputable al contratista.
1 Amigable composición de la Concesión Alto Magdalena S.A.S contra la ANI, proferido el 10 de septiembre
de 2019.
2 Ibídem.
3 Laudo emitido el 3 de mayo de 2018, en la controversia promovida por la Concesionaria Vial del Pacífico S.A.S. contra la ANI</t>
    </r>
  </si>
  <si>
    <r>
      <t>En la definición 1.112 del la Minuta al Contrato de Concesión se encuentra la definición de “Sanción” en los siguientes términos:</t>
    </r>
    <r>
      <rPr>
        <i/>
        <sz val="12"/>
        <rFont val="Calibri Light"/>
        <family val="2"/>
        <scheme val="major"/>
      </rPr>
      <t xml:space="preserve"> “Son las penas pecuniarias por incumplimientos definitivos e insubsanables del Contrato, cuya finalidad es la de sancionar al Concesionario por tales incumplimientos, las cuales podrán ser impuestas al Concesionario por la ANI, de conformidad con este contrato, en especial el CAPÍTULO X de esta Parte General, y en respeto de lo previsto en la Ley Aplicable.”
</t>
    </r>
    <r>
      <rPr>
        <sz val="12"/>
        <rFont val="Calibri Light"/>
        <family val="2"/>
        <scheme val="major"/>
      </rPr>
      <t xml:space="preserve">
Al respecto surge la inquietud sobre el soporte normativo para incorporar dicha modalidad de sanción en el documento contractual, cuando la Ley 1150  de 2007 al referirse al debido proceso señala:
</t>
    </r>
    <r>
      <rPr>
        <i/>
        <sz val="12"/>
        <rFont val="Calibri Light"/>
        <family val="2"/>
        <scheme val="major"/>
      </rPr>
      <t>“Artículo 17. Del derecho al debido proceso. El debido proceso será un principio rector en materia sancionatoria de las actuaciones contractuales. En desarrollo de lo anterior y del deber de control y vigilancia sobre los contratos que corresponde a las entidades sometidas al Estatuto General de Contratación de la Administración Pública, tendrán la facultad de imponer las multas que hayan sido pactadas con el objeto de conminar al contratista a cumplir con sus obligaciones. Esta decisión deberá estar precedida de audiencia del afectado que deberá tener un procedimiento mínimo que garantice el derecho al debido proceso del contratista y procede sólo mientras se halle pendiente la ejecución de las obligaciones a cargo del contratista. Así mismo podrán declarar el incumplimiento con el propósito de hacer efectiva la cláusula penal pecuniaria incluida en el contrato.”</t>
    </r>
    <r>
      <rPr>
        <sz val="12"/>
        <rFont val="Calibri Light"/>
        <family val="2"/>
        <scheme val="major"/>
      </rPr>
      <t xml:space="preserve">
Teniendo en cuenta lo anterior, si bien se reconoce la legitimidad del pacto de multas, no resulta claro el sustento legal para que dichas sanciones, que se incorporan a esta minuta, resulten procedentes si su naturaleza es sancionatoria y no conminatoria. Además por cuanto son unas medidas diferentes a la Penal Pecuniaria, contenida en el numeral 10.6 en los siguientes términos: 
</t>
    </r>
    <r>
      <rPr>
        <i/>
        <sz val="12"/>
        <rFont val="Calibri Light"/>
        <family val="2"/>
        <scheme val="major"/>
      </rPr>
      <t>“10.6 Cláusula Penal (a) En caso de declaratoria de Terminación Anticipada del Contrato previstas en la Sección 17.2(a) de esta Parte General, se causará una pena pecuniaria a cargo del Concesionario por los montos que se establecen en la Parte Especial, los cuales deberán ser actualizados a la fecha de dicha declaratoria de acuerdo con lo previsto en la Sección 3.9(b) de esta Parte General.”</t>
    </r>
  </si>
  <si>
    <r>
      <t xml:space="preserve">Según se dispone en la Minuta del Contrato, con cargo a los recursos de la Cuenta Proyecto, deben asumirse, entre otros, los siguientes gastos:
</t>
    </r>
    <r>
      <rPr>
        <i/>
        <sz val="12"/>
        <rFont val="Calibri Light"/>
        <family val="2"/>
        <scheme val="major"/>
      </rPr>
      <t xml:space="preserve">
“Atender los gastos del Patrimonio Autónomo, sin importar si pertenecen a la Cuenta ANI o Cuenta Proyecto, tales como los impuestos, gravámenes y/o gastos de transacción que se realicen sobre todas las subcuentas del Patrimonio Autónomo, que se causen con ocasión de la suscripción y ejecución del Contrato de Fiducia Mercantil y la Comisión Fiduciaria. Los costos por concepto del Gravamen a los Movimientos Financieros (GMF) que sean generados en la Cuenta Proyecto y Cuenta ANI deberán ser asumidos en su totalidad por el Concesionario. En consecuencia, a los valores que se deben fondear a cada subcuenta, de conformidad con la Parte Especial, el Concesionario deberá realizar además los fondeos adicionales para cubrir el Gravamen a los Movimientos Financieros (GMF).”</t>
    </r>
    <r>
      <rPr>
        <sz val="12"/>
        <rFont val="Calibri Light"/>
        <family val="2"/>
        <scheme val="major"/>
      </rPr>
      <t xml:space="preserve">
Sobre el particular, se le solicita a la ANI replantear la disposición referida, para que los gastos y gravámenes sobre la Cuenta ANI, sean asumidos por la ANI con cargo a los rendimientos de las subcuentas ANI o con cargo al presupuesto de la Entidad.</t>
    </r>
  </si>
  <si>
    <r>
      <t xml:space="preserve">En la Sección 14 de la Minuta del Contrato de Concesión, se regulan los efectos en caso de que la ANI o el Amigable Componedor, reconozca la existencia de un Evento Eximente de Responsabilidad. Sobre reconocimientos, la regulación establece:
</t>
    </r>
    <r>
      <rPr>
        <i/>
        <sz val="12"/>
        <rFont val="Calibri Light"/>
        <family val="2"/>
        <scheme val="major"/>
      </rPr>
      <t>“Cuando quiera que durante la ejecución del Contrato surjan Eventos Eximentes de Responsabilidad que obliguen al Concesionario a paralizar la ejecución de las obras o labores derivadas de la ejecución de este Contrato, la ANI podrá reconocer al Concesionario los costos ociosos de la mayor permanencia en obra que se llegaren a causar por estos hechos, mediante el reconocimiento de una suma diaria que definirán las Partes de mutuo acuerdo. Cuando quiera que durante la ejecución del Contrato surjan Eventos Eximentes de Responsabilidad que obliguen al Concesionario a paralizar la ejecución de las obras o labores derivadas de la ejecución de este Contrato, la ANI podrá reconocer al Concesionario los costos ociosos de la mayor permanencia en obra que se llegaren a causar por estos hechos, mediante el reconocimiento de una suma diaria que definirán las Partes de mutuo acuerdo.”</t>
    </r>
    <r>
      <rPr>
        <sz val="12"/>
        <rFont val="Calibri Light"/>
        <family val="2"/>
        <scheme val="major"/>
      </rPr>
      <t xml:space="preserve">
Sobre el particular, surge el interrogante, de cuál podrá ser el reconocimiento al que tenga derecho el Concesionario, si ocurre un Evento Eximente de Responsabilidad, antes del inicio de la Fase de Construcción.</t>
    </r>
  </si>
  <si>
    <r>
      <t xml:space="preserve">En el Apéndice Técnico 1 al referirse a las actividades de Mantenimiento se indica:
</t>
    </r>
    <r>
      <rPr>
        <i/>
        <sz val="12"/>
        <rFont val="Calibri Light"/>
        <family val="2"/>
        <scheme val="major"/>
      </rPr>
      <t>“Adicionalmente, cuando el Contrato se refiera a actividades de Mantenimiento y Operación se deberá entender que este se refiere a la realización de las actividades necesarias para permitir el tráfico en el Proyecto en las condiciones señaladas en las Especificaciones Técnicas, así como la provisión de los servicios asociados a estas. Lo anterior, de conformidad con lo establecido en el Contrato y Apéndice Técnico 2.”</t>
    </r>
    <r>
      <rPr>
        <sz val="12"/>
        <rFont val="Calibri Light"/>
        <family val="2"/>
        <scheme val="major"/>
      </rPr>
      <t xml:space="preserve">
Es nuestro entendimiento que según lo dispuesto con anterioridad, no se entenderá dentro de las actividades de mantenimiento la realización de obras de rehabilitación o construcción para cumplir con las especificaciones Técnicas del Proyecto. Agradecemos a la Entidad confirmar nuestro entendimiento. </t>
    </r>
  </si>
  <si>
    <r>
      <t xml:space="preserve">Respetuosmante solicitamos a la entidad eliminar el aparte resaltado a continuación del literal c) de la carta de Presentación de la Oferta: "Que hemos estudiado, conocemos, entendemos y aceptamos el contenido del Pliego de Condiciones, sus Anexos y demás documentos que lo conforman, incluyendo todas sus Adendas, </t>
    </r>
    <r>
      <rPr>
        <b/>
        <i/>
        <u val="double"/>
        <sz val="12"/>
        <rFont val="Calibri Light"/>
        <family val="2"/>
        <scheme val="major"/>
      </rPr>
      <t>así como las demás condiciones e informaciones necesarias para la presentación de esta Oferta,</t>
    </r>
    <r>
      <rPr>
        <sz val="12"/>
        <rFont val="Calibri Light"/>
        <family val="2"/>
        <scheme val="major"/>
      </rPr>
      <t xml:space="preserve"> y aceptamos totalmente todos los requerimientos, obligaciones y términos establecidos en los mismos". Lo anterior, por cuanto dicha afirmación es indeterminada y pareciera contradictoria con las declaraciones contenidas en el Contrato de Concesión en relación con los términos de la aceptación del Contrato por parte del Concesionario, lo cual se cinrcunscribe al Contrato, Parte General y Parte Especial, sus Apéndices y Anexos y demás documentos que hacen parte del mismo, de acuerdo con lo indicado en la Sección 2.6.(a).(v).</t>
    </r>
  </si>
  <si>
    <r>
      <t>De conformidad con la Sección 1.55 de la Parte General, "...</t>
    </r>
    <r>
      <rPr>
        <i/>
        <sz val="12"/>
        <rFont val="Calibri Light"/>
        <family val="2"/>
        <scheme val="major"/>
      </rPr>
      <t>No se entenderá como Elusión el uso de las vías que se listen en la Parte Especial</t>
    </r>
    <r>
      <rPr>
        <sz val="12"/>
        <rFont val="Calibri Light"/>
        <family val="2"/>
        <scheme val="major"/>
      </rPr>
      <t>". En tal sentido, en la Parte Especial se indica que "</t>
    </r>
    <r>
      <rPr>
        <i/>
        <sz val="12"/>
        <rFont val="Calibri Light"/>
        <family val="2"/>
        <scheme val="major"/>
      </rPr>
      <t xml:space="preserve">Para este Proyecto, en la fase de estructuración se contemplaron, las vías incluidas en los siguientes corredores (Buga - Loboguerrero - B/ventura), Concesión Covimar (Mulaló - Loboguerrero), Concesión Conexión Pacífico 3, Concesión Nuevo Cauca (Popayán – Santander de Quilichao) y Autopista Pasto – Rumichaca las cuales se entienden excluidas del concepto de Elusión También se excluyen del concepto de Elusión los proyectos que se encuentran incorporados en </t>
    </r>
    <r>
      <rPr>
        <b/>
        <i/>
        <u/>
        <sz val="12"/>
        <rFont val="Calibri Light"/>
        <family val="2"/>
        <scheme val="major"/>
      </rPr>
      <t>el/los Plan/es de Ordenamiento Territorial o Departamental pertinentes, así como los que se encuentran registrados en el RUAPP y su prefactibilidad ha sido aprobada o se hayan contratado la estructuración pública por parte de entidades estales al momento de la recepción de Ofertas dentro del Proceso de Selección del Proyecto</t>
    </r>
    <r>
      <rPr>
        <i/>
        <sz val="12"/>
        <rFont val="Calibri Light"/>
        <family val="2"/>
        <scheme val="major"/>
      </rPr>
      <t>"</t>
    </r>
    <r>
      <rPr>
        <sz val="12"/>
        <rFont val="Calibri Light"/>
        <family val="2"/>
        <scheme val="major"/>
      </rPr>
      <t xml:space="preserve">. 
Teniendo en cuenta lo anterior, llamamos la atención a la ANI sobre la carga excesiva que se les está imponiendo a los Oferentes con la mención del aparte resaltado enteriormente, pues implicaría que estos terminaran asumiendo un riesgo ilimitado y respeto del cual, no es posible contar con informacion cierta para realizar estimaciones precisas. Por una parte, es imposible que el Interesado pueda asumir el riesgo de la confiabilidad y oportunidad de la información cargada al RUAPP, situación que no controla y mal haría en asumir. Así mismo, la información contenida en dicho portal no proporcionaría el suficiente detalle d para conocer el alcance de un determinado proyecto. El caso de las estructuraciones es aún mas complejo, ya que tener acceso a la informacion es aún mas difícil,no siendo posible conocer las particularidades de un proyecto que inlcuso no conoce quien estructura y que precisamente su labor es darle forma. Finalmente referir los planes de ordenamiento, resulta un riesgo igualmente ilimitado, al no estar garantizado que el proyecto se ejecutara y menos aún, se cuenta con información detallada del mismo que le permita al Concesionario realizar los calculos que debe efectuar. En tal sentido es claro que el riesgo que pretende asignarse el particular no lo controla y no está en capacidade de mitigarlo, por lo que debería ser uno de aquellos que la ANI se reserve.  </t>
    </r>
  </si>
  <si>
    <r>
      <rPr>
        <u/>
        <sz val="12"/>
        <rFont val="Calibri Light"/>
        <family val="2"/>
        <scheme val="major"/>
      </rPr>
      <t xml:space="preserve">GARANTÍA DE SERIEDAD:  </t>
    </r>
    <r>
      <rPr>
        <sz val="12"/>
        <rFont val="Calibri Light"/>
        <family val="2"/>
        <scheme val="major"/>
      </rPr>
      <t xml:space="preserve">
Respecto a la restricción de acceso a mercados de reaseguro en garantías del contrato de concesión, En el documento CONTRATO DE CONCESIÓN BAJO EL ESQUEMA DE APP No [•] DE [•] PARTE GENERAL su CAPÍTULO XII GARANTÍAS Y MECANISMOS DE COBERTURA DE RIESGOS clausula 12.3 Reglas Generales Aplicables a las Garantías Literal (i) indica: “En el caso de incorporarse reaseguros los reaseguradores deberán encontrarse inscritos en el Registro de Reaseguradores y Corredores de Reaseguros del Exterior (REACOEX) que administra la Superintendencia Financiera de Colombia y, además, cumplir con las características que a continuación se expresan: y que ampliamente se encuentran detalladas en los incisos (i) y (ii) sub-numerales (1) a (4)”; sin embargo en REACOEX se admiten reaseguradores con calificación BBB- de acuerdo con los criterios definidos por el Regulador: 
3.7. Agencias calificadoras de riesgo admisibles para la inscripción y calificaciones mínimas admisibles
 A efectos de la inscripción en el REACOEX de entidades reaseguradoras del exterior, se considerarán admisibles las calificaciones internacionales de fortaleza financiera vigentes, que no tengan más de (12) meses de antigüedades realizadas por las siguientes agencias y calificaciones:                                                
                                                                                                                                                                                                                                                                                                                                                                                                     Con base en lo anterior y teniendo en cuenta las importantes necesidades de capacidad demandadas en éste proyecto, se hace necesario no limitar la participación de Reaseguradores dado que el mercado local en sus contratos automáticos de reaseguro no cuenta con la capacidad suficiente para respaldar éste tipo de proyectos, en especial para la Etapa Contractual del proceso una vez celebrado el Contrato de Concesión, eliminando las limitaciones de acceso al mercado de Reaseguro Facultativo, claro está manteniendo lo definido por la Superintendencia Financiera de Colombia respecto del Registro de REACOEX.
Se solicitar autorizar por parte de la ANI se exijan las calificaciones mínimas establecidas en el cuadro anterior también en el caso de los reaseguros facultativos. 
</t>
    </r>
  </si>
  <si>
    <r>
      <t xml:space="preserve">Sugerimos distribuir los giros 1, 2 y 3 entre los otros giros teniendo en cuenta que la suma de estos representa el 97,5% de los Giros de Equity mínimos.
Entendemos que el hecho de que el 97,5% del volumen total de Giros de Equity se hayan de disponer en los primeros 360 días desde la Fecha de Inicio penaliza innecesariamente el proyecto al no aportar un beneficio tangible a la Administración Pública, pudiendo desincentivar la concurrencia a la licitación y reducir la competitividad de las ofertas que finalmente se presenten. 
A continuación, procedemos a comparar la distribución de Giros de Equity aplicable en el borrador del Contrato de Concesión de la presente licitación APP-001-2020 con la aplicable en el contrato APP-002-2017, proyecto 4G: 
</t>
    </r>
    <r>
      <rPr>
        <u/>
        <sz val="12"/>
        <rFont val="Calibri Light"/>
        <family val="2"/>
        <scheme val="major"/>
      </rPr>
      <t xml:space="preserve">
</t>
    </r>
    <r>
      <rPr>
        <sz val="12"/>
        <rFont val="Calibri Light"/>
        <family val="2"/>
        <scheme val="major"/>
      </rPr>
      <t xml:space="preserve">                                  APP-001-2020 (5G):                                                                                                                                           APP-002-2017 (4G):                                                                                                                                                                                                                                                                                                                                                                                                                                                                                                                                                                                                                                                                                                                                                                                                                                                                                                                                                                                                                                                                                                                                                                                                                                                                                                                                                                                                                                                                                                                                                                                                                                                                                                                                                                                                                                                                                                                                                                                                                                                                                                                                                                                                                                                                                                                                                                                                                                                                                                                                                                                                                                                                                                                                                                                                                                                                                                                                                                                                                                                                                                                                                                                                                                                                                                                                                                                                                                                                                                                                                                                                                                                                                                                                                                                                                                                                                                                                                                                                                                                                                                                                                                                                                                                                           </t>
    </r>
  </si>
  <si>
    <r>
      <t xml:space="preserve">Se solicita la eliminación de error tipográfico (ver frase tachada) presente en la Cláusula 1.194 de la Parte Especial del Contrato de Concesión: 
“Para este Proyecto se entenderá por VPIP: es el valor presente del Recaudo Proyecto calculado a la Fecha de Inicio del Contrato expresado en Pesos del Mes de Referencia.
El VPIP equivale a Dos Billones Setecientos Ochenta Y Cuatro Mil Seiscientos Cinco Millones Setecientos Noventa Y Seis Mil Cuatrocientos Cuarenta Y Nueve Pesos ($2.784.605.796.449) en valor presente de la Fecha de Inicio y expresado en Pesos del Mes de Referencia </t>
    </r>
    <r>
      <rPr>
        <strike/>
        <sz val="12"/>
        <rFont val="Calibri Light"/>
        <family val="2"/>
        <scheme val="major"/>
      </rPr>
      <t>en valor presente de la Fecha de Inicio y expresado en Pesos del Mes de Referencia.”</t>
    </r>
  </si>
  <si>
    <r>
      <t xml:space="preserve">Con relación a la Cláusula 15.3. (a) de la Parte General del Contrato de Concesión, se solicita que se mantenga la redacción de los contratos 4G, suprimiéndose la frase tachada a continuación: 
“Toda controversia que surja entre las Partes con ocasión del presente Contrato, cuando se configure alguno de los presupuestos señalados en el artículo 62 de la ley 1563 de 2012, </t>
    </r>
    <r>
      <rPr>
        <strike/>
        <sz val="12"/>
        <rFont val="Calibri Light"/>
        <family val="2"/>
        <scheme val="major"/>
      </rPr>
      <t>a excepción de las controversias que corresponden a la competencia exclusiva del Amigable Componedor</t>
    </r>
    <r>
      <rPr>
        <sz val="12"/>
        <rFont val="Calibri Light"/>
        <family val="2"/>
        <scheme val="major"/>
      </rPr>
      <t xml:space="preserve">, de conformidad con lo establecido en las Secciones 15.1 y 15.2(g), podrá ser resuelta por un Tribunal de Arbitramento internacional, de conformidad con lo previsto para el arbitraje internacional en la ley 1563 de 2012, en armonía con las normas de procedimiento aplicables a la controversia y el artículo 14 de la Ley 1682 de 2013, o con las normas que los modifiquen, complementen o sustituyan y las reglas que a continuación se establecen.”
</t>
    </r>
  </si>
  <si>
    <r>
      <t>En el apéndice técnico 1 , numeral 4.1. , tabla 5, nota 3 se establece lo siguiente: “</t>
    </r>
    <r>
      <rPr>
        <i/>
        <sz val="12"/>
        <rFont val="Calibri Light"/>
        <family val="2"/>
        <scheme val="major"/>
      </rPr>
      <t>Todas las bahías de paraderos de transporte público existente en los costados de la vía hacen parte de esta y, por tanto, se tendrán las mismas obligaciones de intervención sobre ellas que sobre la vía</t>
    </r>
    <r>
      <rPr>
        <sz val="12"/>
        <rFont val="Calibri Light"/>
        <family val="2"/>
        <scheme val="major"/>
      </rPr>
      <t>”
¿En el caso de las Unidades funcionales cuyo alcance es rehabilitación o Puesta a punto, y que las bahías de paraderos requieran ser mejoradas o construidas de nuevo o que en términos generales, se requiera una intervención diferente,  la ANI asumiriá esos costos adicionales, favor confirmar.</t>
    </r>
  </si>
  <si>
    <r>
      <t>En la tabla 7 del Apéndice Técnico 1 se establece “I</t>
    </r>
    <r>
      <rPr>
        <i/>
        <sz val="12"/>
        <rFont val="Calibri Light"/>
        <family val="2"/>
        <scheme val="major"/>
      </rPr>
      <t>ntersecciones que, como mínimo, debe intervenir el Concesionario UF1</t>
    </r>
    <r>
      <rPr>
        <sz val="12"/>
        <rFont val="Calibri Light"/>
        <family val="2"/>
        <scheme val="major"/>
      </rPr>
      <t>”.
Consideramos que la expresión “</t>
    </r>
    <r>
      <rPr>
        <i/>
        <sz val="12"/>
        <rFont val="Calibri Light"/>
        <family val="2"/>
        <scheme val="major"/>
      </rPr>
      <t>como mínimo</t>
    </r>
    <r>
      <rPr>
        <sz val="12"/>
        <rFont val="Calibri Light"/>
        <family val="2"/>
        <scheme val="major"/>
      </rPr>
      <t>” constituye un gran vacío e incertidumbre y es factible que las comunidades del área de influencia del proyecto o los entes territoriales exijan al concesionario la intervención de otras intersecciones; por lo tanto solicitamos especificar el número intersecciones y retirar la expresión “como mínimo”.
De no ser posible, por favor especificar cuáles serían los escenarios o criterios técnicos, sociales. Ambientales, prediales. Económicos etc., para exigir al concesionario intervenir otras intersecciones adicionales a las establecidas en la tabla 7 y si la ANI asume esos costos adicionales y con cargo a cuál subcuenta.</t>
    </r>
  </si>
  <si>
    <r>
      <t>En la Tabla 14 del apéndice técnico 1 se indica “</t>
    </r>
    <r>
      <rPr>
        <i/>
        <sz val="12"/>
        <rFont val="Calibri Light"/>
        <family val="2"/>
        <scheme val="major"/>
      </rPr>
      <t>Obras Especiales que como mínimo debe ejecutar el Concesionario UF2</t>
    </r>
    <r>
      <rPr>
        <sz val="12"/>
        <rFont val="Calibri Light"/>
        <family val="2"/>
        <scheme val="major"/>
      </rPr>
      <t>”
El concepto de “Obras especiales” no está definido en la Parte General del Contrato. Por lo tanto, se solicita definirlas y de igual manera precisar cuáles serían los criterios técnicos, sociales, ambientales, prediales económicos etc., para exigir la ejecución de otras obras especiales y confirmar si la ANI asume esos costos.</t>
    </r>
  </si>
  <si>
    <r>
      <t>En el capítulo VI del Apéndice técnico VI, numeral 6.3. "Alcance de las obligaciones en la Etapa Preoperativa" , literal a) romanito ii) se establece: “</t>
    </r>
    <r>
      <rPr>
        <i/>
        <sz val="12"/>
        <rFont val="Calibri Light"/>
        <family val="2"/>
        <scheme val="major"/>
      </rPr>
      <t>Construcción, rehabilitación, repotenciación o mantenimiento de las obras de estabilización, revegetalización y mantenimiento de taludes y muros de
contención que comprenda, en general, toda la infraestructura necesaria para garantizar la estabilidad de la obra. Debe garantizarse la estabilidad geotécnica y geológica de todos los taludes y cortes durante la construcción, operación ymantenimiento. Dentro de todas las Intervenciones se incluyen para todo el Proyecto, todas las soluciones en ingeniería que se deban implementar para el tratamiento y estabilización geotécnica y geológica de taludes</t>
    </r>
    <r>
      <rPr>
        <sz val="12"/>
        <rFont val="Calibri Light"/>
        <family val="2"/>
        <scheme val="major"/>
      </rPr>
      <t>”
En el cuarto de datos del proceso, no se encuentra mayor información sobre zonas inestables del proyecto o fallas geológicas que puedan convertirse en sitios críticos que no sea posible identificar en la visita y que requieran de intervenciones diferentes o mayores a actividades de operación y mantenimiento. Por lo tanto, solicitamos se aclare, en caso tal de que esta situación se presente en los sitio no estudiados y presentados en el cuarto de datos, entendemos que la ANI asume esos costos, confirmar si nuestro entendimiento es correcto. 
Por otra parte, al no tener claridad sobre las zonas inestables – sitios críticos que requieran una mayor intervención , advertimos a la ANI que el plazo para la construcción de las Unidades Funcionales puede afectarse de manera sustancial.</t>
    </r>
  </si>
  <si>
    <r>
      <rPr>
        <b/>
        <sz val="12"/>
        <rFont val="Calibri Light"/>
        <family val="2"/>
        <scheme val="major"/>
      </rPr>
      <t xml:space="preserve">MODIFICACION PLIEGO DE CONDICIONES </t>
    </r>
    <r>
      <rPr>
        <sz val="12"/>
        <rFont val="Calibri Light"/>
        <family val="2"/>
        <scheme val="major"/>
      </rPr>
      <t xml:space="preserve">- PÁGINA 44 CARACTERÍSTICAS DE LAS GARANTÍAS EN PRORROGA DE LA SERIEDAD DE LA OFERTA ITEM V DEL PLIEGO DE CONDICIONES EN CARACTERISTICAS GENERALES DE LA GARANTIA NUMERAL 3: 
</t>
    </r>
    <r>
      <rPr>
        <b/>
        <sz val="12"/>
        <rFont val="Calibri Light"/>
        <family val="2"/>
        <scheme val="major"/>
      </rPr>
      <t>SUSTENTO</t>
    </r>
    <r>
      <rPr>
        <sz val="12"/>
        <rFont val="Calibri Light"/>
        <family val="2"/>
        <scheme val="major"/>
      </rPr>
      <t xml:space="preserve">: SE SOLICITA VALIDAR EL TERMINO EMPLEADO Y SUS EFECTOS   TENIENDO EN CUENTA QUE LA DECLARATORIA DE CADUCIDAD NO SE DERIVA O GENERA EN LA ETAPA PRECONTRACTUAL, NI DA LUGAR A QUE LA SERIEDAD DE LA OFERTA SE HAGA EFECTIVA.  PARA LO ANTERIOR AGRADECEMOS TENER EN CUENTA LO ESTABLECIDO EN EL ART 18 DE LA LEY 80 DE 1993 EN DONDE SE INDICAN LOS HECHOS CONSTITUTIVOS DE INCUMPLIMIENTO DE LAS OBLIGACIONES A CARGO DEL CONTRATISTA LOS CUALES DEBEN (I) AFECTAR DE MANERA GRAVE, DIRECTA Y QUE SE CONLLEVE A LA PARALIZACIÓN DEL CONTRATO, LOS CUALES DAN LUGAR A LA DECLARATORA DE CADUCIDAD Y  COMO SE EVIDENCIA SE GENERAN EN LA ETAPA CONTRACTUAL.  ADICIONAL A LO ANTERIOR SOLICITAMOS TENER EN CUENTA QUE LA CADUCIDAD NO HACE PARTE DE LAS COBERTURAS CONTEMPLADAS POR EL DECRETO PARA LA GARANTÍA DE SERIEDAD DE LA OFERTA EN VIRTUD DEL ARTÍCULO 2.2.1.2.3.1.6. DEL DECRETO 1082 DE 2015 </t>
    </r>
  </si>
  <si>
    <r>
      <rPr>
        <b/>
        <sz val="12"/>
        <rFont val="Calibri Light"/>
        <family val="2"/>
        <scheme val="major"/>
      </rPr>
      <t>MODIFICACION PLIEGO DE CONDICIONES</t>
    </r>
    <r>
      <rPr>
        <sz val="12"/>
        <rFont val="Calibri Light"/>
        <family val="2"/>
        <scheme val="major"/>
      </rPr>
      <t xml:space="preserve">  PÁGINA 44  ITEM IX  DEL PLIEGO DE CONDICIONES  COBERTURAS DE LA GARANTÍA DE SERIEDAD DE LA OFERTA EL CUAL ESTABLECE QUE PARA HACER EFECTIVA LA GARANTIA BASTARA CON  LA PRESENTACION DE LA ANI DEL ACTO ADMINISTRATIVO EN EL CUAL SE DECLARE  EL SINIESTRO . 
SUSTENTO:  LA ANTERIOR DISPOSICION DA LUGAR A UNA INTERPRETACION DE A PRIMER REQUERIMIENTO CONTRARIANDO EL DEBIDO PROCESO ESTABLECIDO EN EL ARTICULO 17 DE LA LEY 1150 DE 2007 Y EL DERECHO A LA DEFENSA RESPECTO AL PROCEDIMIENTO EN LA IMPISICION DE MULTAS, SANCIONES Y DECLARATORIAS DE INCUMPLIMIENTO CONTEMPLADAS EN EL ARTICULO  86 DE LA LEY  1474  DE 2011. </t>
    </r>
  </si>
  <si>
    <r>
      <t xml:space="preserve">MODIFICACION PLIEGO DE CONDICIONES: PÁGINA 44  ITEM X  DEL PLIEGO DE CONDICIONES  CARÁCTER INDEMNIZATORIO DE LA GARANTÍA DE SERIEDAD DE LA OFERTA 
</t>
    </r>
    <r>
      <rPr>
        <b/>
        <sz val="12"/>
        <rFont val="Calibri Light"/>
        <family val="2"/>
        <scheme val="major"/>
      </rPr>
      <t>SUSTENTO</t>
    </r>
    <r>
      <rPr>
        <sz val="12"/>
        <rFont val="Calibri Light"/>
        <family val="2"/>
        <scheme val="major"/>
      </rPr>
      <t xml:space="preserve">: LA ANTERIOR DISPOSICION CONTRARIA LO ESTABLECIDO EN LOS ARTÍCULOS 2.2.1.2.3.1.6. Y 2.2.1.2.3.1.9. DEL  DECRETO 1082 DE 2015, EN DONDE EL CARÁCTER DE LA SERIEDAD DE LA OFERTA EN MATERIA DE CONTRATACION PUBLICA  ES SANCIONATORIO,  LO QUE SIGNIFICA QUE PARA QUE SE HAGA EXIGIBLE ESTA GARANTIA LA ENTIDAD CONTRATANTE DEBERA RECIBIR EL TOTAL DEL VALOR ASEGURADO SIN LA OBLIGACION DE DEMOSTRAR LOS PERJUICIOS CAUSADOS. 
</t>
    </r>
  </si>
  <si>
    <r>
      <rPr>
        <b/>
        <sz val="12"/>
        <rFont val="Calibri Light"/>
        <family val="2"/>
        <scheme val="major"/>
      </rPr>
      <t>MODIFICACION CONTRATO PARTE GENERAL:</t>
    </r>
    <r>
      <rPr>
        <sz val="12"/>
        <rFont val="Calibri Light"/>
        <family val="2"/>
        <scheme val="major"/>
      </rPr>
      <t xml:space="preserve">  4.	CONTRATO PARTE GENERAL CLAUSULA 2.5 ETAPAS DE LA EJECUCION CONTRACTUAL NUMERAL 4 PAGINA 53. 
</t>
    </r>
    <r>
      <rPr>
        <b/>
        <sz val="12"/>
        <rFont val="Calibri Light"/>
        <family val="2"/>
        <scheme val="major"/>
      </rPr>
      <t>SUSTENTO</t>
    </r>
    <r>
      <rPr>
        <sz val="12"/>
        <rFont val="Calibri Light"/>
        <family val="2"/>
        <scheme val="major"/>
      </rPr>
      <t xml:space="preserve">: SE EXTENDEN LAS OBLIGACIONES DE LA ETAPA DE OPERACIÓN Y MANTENIMIENTO RESPECTO AL MANTENIMIENTO DE LAS UNIDADES FUNCIONALES CON ACTA DE RECIBO A SATISFACCION EN LA ETAPA PREOPERATIVA, SOLICITANDO EN DICHA CLAUSULA QUE LAS GARANTIAS SUSCRITAS EN ESTA ETAPA CUBRAN LAS OBLIGACIONES DE OPERACIÓN Y MANTENIMIENTO. LO ANTERIOR DIFIERE CON EL PRINCIPIO DE INDIVISIBILIDAD DE LAS GARANTIAS ESTABLECIDO EN EL ARTICULO 2.2.1.2.3.1.3 DEL DECRETO 1082 DE 2015 APLICABLE AL PRESENTE PROCESO DE APP </t>
    </r>
  </si>
  <si>
    <r>
      <t xml:space="preserve">CUMPLIMIENTO DE  LAS GARANTIAS DE   LOS REQUISITOS DESCRITOS EN EL   </t>
    </r>
    <r>
      <rPr>
        <i/>
        <sz val="12"/>
        <rFont val="Calibri Light"/>
        <family val="2"/>
        <scheme val="major"/>
      </rPr>
      <t xml:space="preserve">APENDICE 3 FINANCIERO </t>
    </r>
  </si>
  <si>
    <r>
      <t xml:space="preserve">MODIFICACION CONTRATO PARTE GENERAL : </t>
    </r>
    <r>
      <rPr>
        <sz val="12"/>
        <rFont val="Calibri Light"/>
        <family val="2"/>
        <scheme val="major"/>
      </rPr>
      <t xml:space="preserve">CAPÍTULO XII GARANTÍAS Y MECANISMOS DE COBERTURA DE RIESGOS  NUMERAL 12.2 ITEM C EN DONDE SE ESTABLECE QUE LAS GARANTIAS DEBERAN CUMPLIR CON LOS REQUISITOS DESCRITOS EN EL   APENDICE 3 FINANCIERO PAGINA 189
</t>
    </r>
    <r>
      <rPr>
        <b/>
        <sz val="12"/>
        <rFont val="Calibri Light"/>
        <family val="2"/>
        <scheme val="major"/>
      </rPr>
      <t>SUSTENTO</t>
    </r>
    <r>
      <rPr>
        <sz val="12"/>
        <rFont val="Calibri Light"/>
        <family val="2"/>
        <scheme val="major"/>
      </rPr>
      <t>: SE SOLICITA A LA ENTIDAD ACLARAR EL CONTENIDO DE ESTE APENDICE 3 FIANCIERO Y CONFIRMAR DENOMINACION DEL DOCUMENTO PARA RESPECTIVA CONSULTA , TENIENDO EN CUENTA QUE EN  LOS DOCUMENTOS PUBLICADOS ESTE APENDICE 3 HACE REFERENCIA AL ACUERDO EN GARANTIA Y SU CONTENIDO CONTIENE CONDICIONES DE A PRIMER REQUERIMIENTO</t>
    </r>
  </si>
  <si>
    <r>
      <rPr>
        <b/>
        <sz val="12"/>
        <rFont val="Calibri Light"/>
        <family val="2"/>
        <scheme val="major"/>
      </rPr>
      <t>MODIFICACION CONTRATO PARTE GENERAL</t>
    </r>
    <r>
      <rPr>
        <sz val="12"/>
        <rFont val="Calibri Light"/>
        <family val="2"/>
        <scheme val="major"/>
      </rPr>
      <t xml:space="preserve"> : APROBACION DE LAS GARANTIAS CLAUSULA 12.4 NUMERAL ITEM C Y D PAGINA 193 . 
</t>
    </r>
    <r>
      <rPr>
        <b/>
        <sz val="12"/>
        <rFont val="Calibri Light"/>
        <family val="2"/>
        <scheme val="major"/>
      </rPr>
      <t>SUSTENTO</t>
    </r>
    <r>
      <rPr>
        <sz val="12"/>
        <rFont val="Calibri Light"/>
        <family val="2"/>
        <scheme val="major"/>
      </rPr>
      <t xml:space="preserve"> : SE SOLICITA A LA ENTIDAD ACLARAR LOS EVENTOS EN LOS CUALES HABRA LUGAR A LA DECLARATORIA DE CADUCIDAD DEL CONTRATO, YA QUE SE DEBE  CUMPLIR CON LO ESTABLECIDO EN EL ARTICULO 18 DE LA LEY 80 DE 1993 YA DETALLADO ; EN ESTE CASO SE INDICA QUE LA NO ACEPTACION O APROBACION DE LA GARANTIA UNICA DE CUMPLIMIENTO DA LUGAR A DICHA DECLARATORIA  Y SUS RESPECTIVOS EFECTOS , ADEMAS DE IMPONER LA MULTA Y HACER EFECTIVA LA SERIEDAD DE LA OFERTA, DISPOSICION QUE NO ES CORRECTA EN VIRTUD DEL ARTICULO YA MENCIONADO Y SUS NORMAS COMPLEMENTARIAS BAJO EL ENTENDIDO DE QUE DICHA DECLARATORIA DE CADUCIDAD CORRESPONDE A UNA CLAUSULA EXCEPCIONAL EN FAVOR DE LA ENTIDAD CONTRATANTE QUE TIENE INMERSA EN SU APLICACIÓN DETERMINADOS REQUISITOS LEGALES Y EL INCUMPLIMIENTO CONTRACTUAL ESPECIAL YA QUE SE DEBEN ACREDITAR EVENTOS PARTICULARES DE AFECTACION GRAVE, DIRECTA Y QUE CONLLEVE A LA PARALIZACION DEL CONTRATO. </t>
    </r>
  </si>
  <si>
    <r>
      <rPr>
        <b/>
        <sz val="12"/>
        <rFont val="Calibri Light"/>
        <family val="2"/>
        <scheme val="major"/>
      </rPr>
      <t xml:space="preserve">MODIFICACION CONTRATO PARTE GENERAL  - CONTRATO PARTE ESPECIAL : </t>
    </r>
    <r>
      <rPr>
        <sz val="12"/>
        <rFont val="Calibri Light"/>
        <family val="2"/>
        <scheme val="major"/>
      </rPr>
      <t xml:space="preserve">GARANTÍA ÚNICA DE CUMPLIMIENTO CLAUSULA 12.6 ITEM C LITERAL II  VIGENCIA DE ESTABILIDAD DE MANTENIMIENTO ETAPA DE REVERSION PAGINA 195 CONTRATO PARTE GENERAL   Y CLAUSULA 7.3 ITEM  B VIGENCIA DE AMPARO DE ESTABILIDAD DE LAS OBRAS ETAPA DE REVERSION -  CONTRATO PARTE ESPECIAL: 
</t>
    </r>
    <r>
      <rPr>
        <b/>
        <sz val="12"/>
        <rFont val="Calibri Light"/>
        <family val="2"/>
        <scheme val="major"/>
      </rPr>
      <t>SUSTENTO:</t>
    </r>
    <r>
      <rPr>
        <sz val="12"/>
        <rFont val="Calibri Light"/>
        <family val="2"/>
        <scheme val="major"/>
      </rPr>
      <t xml:space="preserve"> SE SOLICITA A LA ENTIDAD ACLARAR Y CONFIRMAR LA VIGENCIA QUE SE REQUIERE PARA ESTA ETAPA TENIENDO EN CUENTA QUE EN EL CONTRATO PARTE GENERAL SE INDICA QUE SU VIGENCIA SERÁ DE 5 AÑOS Y EN PARTE ESPECIAL 2 AÑOS. ADICIONAL SE SOLICITA A LA ENTIDAD TENER EN CUENTA QUE LA NATURALEZA DE LAS OBRAS A REALIZAR EN ESTA ETAPA DA LUGAR A QUE SE SOLICITE UNA ESTABILIDAD DE 2 AÑOS Y NO DE 5. </t>
    </r>
  </si>
  <si>
    <r>
      <rPr>
        <b/>
        <sz val="12"/>
        <rFont val="Calibri Light"/>
        <family val="2"/>
        <scheme val="major"/>
      </rPr>
      <t xml:space="preserve">MODIFICACION CONTRATO PARTE ESPECIAL:  </t>
    </r>
    <r>
      <rPr>
        <sz val="12"/>
        <rFont val="Calibri Light"/>
        <family val="2"/>
        <scheme val="major"/>
      </rPr>
      <t xml:space="preserve">CLAUSULA 3.6 ENTREGA DE INFRAESTRUCTURA PENDIENTE  PAGINA 19 CONTRATO PARTE ESPECIAL
</t>
    </r>
    <r>
      <rPr>
        <b/>
        <sz val="12"/>
        <rFont val="Calibri Light"/>
        <family val="2"/>
        <scheme val="major"/>
      </rPr>
      <t xml:space="preserve">SUSTENTO </t>
    </r>
    <r>
      <rPr>
        <sz val="12"/>
        <rFont val="Calibri Light"/>
        <family val="2"/>
        <scheme val="major"/>
      </rPr>
      <t xml:space="preserve">: SE SOLICITA A LA ENTIDAD ACLARAR Y/O CONFIRMAR EL LIMITE DE RESPONSABILIDAD RESPECTO A ESTAS OBRAS DE INFRAESTRUCTURA PENDIENTES , LA ASUNCION DE LOS RIESGOS DEL CONTRATISTA Y EL EFECTO O COBERTURA REQUERIDO  RESPECTO A LAS MISMAS  EN LAS GARANTIAS SOLICITADAS, DE MANERA PARTICULAR EN LO REFERENTE A LA UNIDAD FUNCIONAL 0. </t>
    </r>
  </si>
  <si>
    <r>
      <t xml:space="preserve">MODIFICACION CONTRATO PARTE ESPECIAL:NPLAZO DE LA ETAPA DE REVERSIÓN CLAUSULA 3.10 PAGINA 21 CONTRATO PARTE ESPECIAL: 
</t>
    </r>
    <r>
      <rPr>
        <b/>
        <sz val="12"/>
        <rFont val="Calibri Light"/>
        <family val="2"/>
        <scheme val="major"/>
      </rPr>
      <t>SUSTENTO</t>
    </r>
    <r>
      <rPr>
        <sz val="12"/>
        <rFont val="Calibri Light"/>
        <family val="2"/>
        <scheme val="major"/>
      </rPr>
      <t xml:space="preserve">: SE IDENTIFICA QUE LA DURACIÓN DE LA ETAPA DE REVERSIÓN ESPECIAL NO SE ESTABLECE, POR LO QUE SE SOLICITA A LA ENTIDAD CONFIRMAR EL PLAZO REQUERIDO  EN DICHA ETAPA  YA QUE  EL MISMO ES NECESARIO PARA EFECTO DE  DETERMINACIÓN DEL RIESGO, COBERTURA Y LÍMITE DE OBLIGACIONES QUE SE CONTEMPLARAN EN LA GARANTÍA ÚNICA DE CUMPLIMIENTO PARA ESTE ETAPA. DICHA INFORMACION SE SOLICITA EN VIRTUD DE LO ESTABLECIDO EN EL ARTÍCULO 2.2.1.2.3.1.3 REFERENTE A LA INDIVISIBILIDAD DE LAS GARANTÍAS EL CUAL CONTIENE PRINCIPALMENTE LA OBLIGACIÓN DE LA ENTIDAD ESTATAL EN LA DETERMINACIÓN DE LAS CONDICIONES APLICABLES A CADA ETAPA REFERENTES AL PLAZO, CÁLCULO DEL VALOR ASEGURADO EL CUAL DEBE RESPONDER A LA SUFICIENCIA DE LAS GARANTÍAS Y ADQUISICIÓN DE LA NUEVA GARANTÍA PARA EL PERIODO CONTRACTUAL SUBSIGUIENTE. </t>
    </r>
  </si>
  <si>
    <r>
      <rPr>
        <b/>
        <sz val="12"/>
        <rFont val="Calibri Light"/>
        <family val="2"/>
        <scheme val="major"/>
      </rPr>
      <t>MODIFICACION CONTRATO PARTE ESPECIAL</t>
    </r>
    <r>
      <rPr>
        <sz val="12"/>
        <rFont val="Calibri Light"/>
        <family val="2"/>
        <scheme val="major"/>
      </rPr>
      <t xml:space="preserve">: REVERSION ESPECIAL CONTEMPLADA EN LA CLÁUSULA 3.10 Y CAPITULO VII GARANTÍAS NUMERAL 7.1 VALOR Y VIGENCIA DEL AMPARO DE CUMPLIMIENTO LITERAL III , 7.2 VALOR Y VIGENCIA DEL AMPARO DE PAGO DE SALARIOS Y PRESTACIONES SOCIALES  LITERAL III Y  7.3 VALOR Y VIGENCIA PARA LOS AMPAROS DE CALIDAD ÍTEM  (B) ETAPA DE REVERSIÓN  LITERAL II  PAGINA 21 Y 49 CONTRATO PARTE ESPECIAL. 
</t>
    </r>
    <r>
      <rPr>
        <b/>
        <sz val="12"/>
        <rFont val="Calibri Light"/>
        <family val="2"/>
        <scheme val="major"/>
      </rPr>
      <t>SUSTENTO:</t>
    </r>
    <r>
      <rPr>
        <sz val="12"/>
        <rFont val="Calibri Light"/>
        <family val="2"/>
        <scheme val="major"/>
      </rPr>
      <t xml:space="preserve"> TENIENDO EN CUENTA LA DENOMINACIÓN QUE REALIZA LA ENTIDAD ESTATAL RESPECTO A LA DEFINICIÓN DE “REVERSIÓN ESPECIAL” (CLAUSULA 3.10) LA CUAL CONTEMPLA UNICAMENTE INTERVENCION EN LAS UNIDADES FUNCIONALES 1, 2, 3 Y 5 Y LAS GARANTIAS SOLICITADAS PARA ESTA ETAPA CAPITULO VII (CLAUSULAS 7.1, 7.2 Y 7.3) ,   AGRADECEMOS ACLARAR LO SIGUIENTE: 
• EFECTOS O COBERTURA QUE SE PRETENDE ABARCAR EN LA GARANTIA UNICA PARA ESTA ETAPA Y SI SOBRE ELLA UNICAMENTE SE TENDRAN EN CUENTA INTERVENCIONES U OBRAS A EJECUTAR EN LAS UNIDADES FUNCIONALES 1,2,3 Y 5 EN CONCORDANCIA CON LA CLAUSULA 3.10. 
• EN VIRTUD DE LO ANTERIOR, CONFIRMAR LA SOLICITUD DE AMPARO DE CALIDAD Y ESTABILIDAD DE LAS OBRAS PARA ESTA GARANTIA UNICA (CLAUSULA 7.3 ITEM LTERAL II EN DONDE SE REQUIERE ESTABILIDAD PARA TODAS LAS UNIDADES FUNCIONALES A PESAR DE QUE EN REVERSION ESPECIAL NO SE CONTEMPLA INTERVENCION EN LA 4 Y LA 0, POR LO QUE SE SOLICITA A LA ENTIDAD ACLARAR DICHO REQUERIMIENTO
• SE SOLICITA ACLARAR SI LA COBERTURA REFERENTE AL CUMPLIMIENTO DE LAS OBLIGACIONES QUE SE DERIVAN DEL CONTRATO DE CONCESION PARA LA UNIDAD FUNCION UF0 UNICAMENTE ESTAN ENMARCADAS EN LA ETAPA DE REVERSION. </t>
    </r>
  </si>
  <si>
    <r>
      <t xml:space="preserve">MODIFICACION CONTRATO PARTE ESPECIAL: </t>
    </r>
    <r>
      <rPr>
        <sz val="12"/>
        <rFont val="Calibri Light"/>
        <family val="2"/>
        <scheme val="major"/>
      </rPr>
      <t xml:space="preserve">VIGENCIA DE AMPARO DE ESTABILIDAD DE LAS OBRAS ETAPA PREOPERATIVA - CLAUSULA 7.3 ITEM a   PAG 48 
</t>
    </r>
    <r>
      <rPr>
        <b/>
        <sz val="12"/>
        <rFont val="Calibri Light"/>
        <family val="2"/>
        <scheme val="major"/>
      </rPr>
      <t>SUSTENTO:</t>
    </r>
    <r>
      <rPr>
        <sz val="12"/>
        <rFont val="Calibri Light"/>
        <family val="2"/>
        <scheme val="major"/>
      </rPr>
      <t xml:space="preserve"> SE SOLICITA A LA ENTIDAD ACLARAR  LA FECHA DE INICIO DE VIGENCIA DE ESTE AMPARO, TENIENDO EN CUENTA QUE SOLO RELACIONAN QUE SERA DE 5 AÑOS, SIN EMBARGO, NO SE CONFIRMA A PARTIR DE QUE FECHA INCIA,ESTE INICIO DEBE SER DESDE LA SUSCRIPCION DE ACTA DE FINALIZACION A SATISFACCION DE CADA UNIDAD FUNCIONAL ,  LO ANTERIOR DE ACUERDO A LO DESCRITO EN EL ARTÍCULO 2.2.1.2.3.1.3 REFERENTE A LA INDIVISIBILIDAD DE LAS GARANTÍAS EN LO QUE RESPECTA A LA OBLIGACION DE LA ENTIDAD ESTATAL EN LA DETERMINACIÓN DE LAS CONDICIONES APLICABLES A CADA ETAPA Y SUS COBERTURAS, ARTICULO  2.2.1.2.3.1.7. GARANTÍA DE CUMPLIMIENTO NUMERAL 5 EN DONDE SE ESTABLECE QUE ESTA COBERTURA HACE REFERENCIA A LOS DAÑOS SUFRIDOS POR LA OBRA ENTREGADA A SATISFACCION Y POR ULTIMO ARTICULO 2.2.1.2.3.1.14.  REFERENTE A LA SUFICIENCIA DE LA GARANTIA DE ESTABILIDAD Y CALIDAD DE LA OBRA EN LA CUAL SE CONFIRMA QUE SU VIGENCIA SERA A PARTIR DE LA FECHA EN LA QUE LA ENTIDAD ESTATAL RECIBE LA OBRA. </t>
    </r>
  </si>
  <si>
    <r>
      <t xml:space="preserve">MODIFICACION CONTRATO PARTE ESPECIAL: </t>
    </r>
    <r>
      <rPr>
        <sz val="12"/>
        <rFont val="Calibri Light"/>
        <family val="2"/>
        <scheme val="major"/>
      </rPr>
      <t xml:space="preserve">VIGENCIA DE AMPARO DE CALIDAD DE LOS BIENES SUMINISTRADOS EN ETAPA PREOPERATIVA  CLAUSULA 7.3 ITEM i PAGINA 50 CONTRATO PARTE ESPECIAL 
</t>
    </r>
    <r>
      <rPr>
        <b/>
        <sz val="12"/>
        <rFont val="Calibri Light"/>
        <family val="2"/>
        <scheme val="major"/>
      </rPr>
      <t xml:space="preserve">SUSTENTO: </t>
    </r>
    <r>
      <rPr>
        <sz val="12"/>
        <rFont val="Calibri Light"/>
        <family val="2"/>
        <scheme val="major"/>
      </rPr>
      <t xml:space="preserve">SE SOLICITA A LA ENTIDAD ACLARAR LA VIGENCIA DE ESTE AMPARO YA QUE NO ES CLARO SU INICIO Y EL TIEMPO QUE SE SOLICITA DESCONTAR EN ELLA, PUES SE REQUIERE ANTES DE LA TERMINACION DE LA ETAPA PREOPERATIVA Y LUEGO SOLICITA DESCONTAR  A LOS 5 AÑOS ESTE PLAZO, POR LO QUE NO ES CARA DICHA COBERTURA, ADICIONAL A ELLO SE SOLICITA UN AMPARO ESPECIFICO PARA CADA UNIDAD FUNCIONAL POR LO QUE AGRADECEMOS ACLARACION. LO ANTERIOR DE ACUERDO A LO DESCRITO EN EL ARTÍCULO 2.2.1.2.3.1.3 REFERENTE A LA INDIVISIBILIDAD DE LAS GARANTÍAS EN LO QUE RESPECTA A LA OBLIGACION DE LA ENTIDAD ESTATAL EN LA DETERMINACIÓN DE LAS CONDICIONES APLICABLES A CADA ETAPA Y SUS COBERTURAS, ARTICULO  2.2.1.2.3.1.7. GARANTÍA DE CUMPLIMIENTO NUMERAL 7  EN DONDE SE ESTABLECE QUE SE CUBRE LA CALIDAD Y CORRECTO FUNCIONAMIENTO DE LOS BIENES QUE RECIBE LA ENTIDAD EN CUMPLIMIENTO DE UN CONTRATO Y POR ULTIMO ARTICULO 2.2.1.2.3.1.16.  REFERENTE A LA SUFICIENCIA DE LA GARANTIA CALIDAD Y CORRECTO FUNCIONAMIENTO DE LOS BIENES EL CUAL LO DETERMINARA LA ENTIDAD ESTATAL DE ACUERDO CON EL OBJETO CONTRATADO. 
</t>
    </r>
  </si>
  <si>
    <r>
      <t xml:space="preserve">MODIFICACION CONTRATO PARTE ESPECIAL Y CONTRATO PARTE GENERAL: </t>
    </r>
    <r>
      <rPr>
        <sz val="12"/>
        <rFont val="Calibri Light"/>
        <family val="2"/>
        <scheme val="major"/>
      </rPr>
      <t xml:space="preserve">GARANTÍA DE RESPONSABILIDAD EXTRACONTRACTUAL  LITERAL B PAGINA 196 CONTRATO PARTE GENERAL Y CLAUSULA 7.4 ITEM A LITERAL I PAGINA 50 CONTRATO PARTE ESPECIAL : 
</t>
    </r>
    <r>
      <rPr>
        <b/>
        <sz val="12"/>
        <rFont val="Calibri Light"/>
        <family val="2"/>
        <scheme val="major"/>
      </rPr>
      <t>SUSTENTO:</t>
    </r>
    <r>
      <rPr>
        <sz val="12"/>
        <rFont val="Calibri Light"/>
        <family val="2"/>
        <scheme val="major"/>
      </rPr>
      <t xml:space="preserve"> SE SOLICITA A LA ENTIDAD ACLARAR LA VIGENCIA REQUERIDA PARA DICHA POLIZA , TENIENDO EN CUENTA QUE EN CADA CLAUSULA SE ESTABLECE UNA VIGENCIA DIFERENTE POR LO QUE AGRADECEMOS  CONFIRMAR CUAL OPERA EN VIRTUD DEL ARTICULO 
  VIGENCIA DE AMPARO DE POLIZA DE RESPONSABILIDAD CIVIL EXTRACONTRACTUAL  SE DEBE ACLARAR CUAL ES LA VIGENCIA QUE SE REQUIERE TENIENDO EN CUENTA QUE EN LA PARTE GENERAL SE REQUIERE POR ANUALIDADES PERO EN PARTE ESPECIAL APARECE QUE SERA POR LA DURACION DE CADA ETAPA, SE DEBE SOLICITAR ACLARACION EN VIRTUD DEL ARTÍCULO 2.2.1.2.3.1.3 REFERENTE A LA INDIVISIBILIDAD DE LAS GARANTÍAS EN LO QUE RESPECTA A LA OBLIGACION DE LA ENTIDAD ESTATAL EN LA DETERMINACIÓN DE LAS CONDICIONES APLICABLES A CADA ETAPA Y EL ARTÍCULO 2.2.1.2.3.1.17. SUFICIENCIA DEL SEGURO DE RESPONSABILIDAD CIVIL EXTRACONTRACTUAL.
</t>
    </r>
  </si>
  <si>
    <r>
      <t xml:space="preserve">Tomando en cuenta los eventos ocasionados por la pandemia del COVID-19 y las acciones y restricciones tomdas por el Gobierno Central y los Gobiernos Locales, no es posible dar cumplimiento con el requisito establecido en el Pliego de Condiciones con referencia a la necesidad de que los oferentes lleven a cabo la visita al lugar de donde se desarrollará el Proyecto, debida diligencia e información sobre el proyecto. Actualmente, tanto el Gobierno Central y como los Gobierno Locales han mantenido retricciones que impiden que se lleve a cabo una verdadera debida diligencia del Proyecto. Por lo anterior, respetuosamente solicitamos a la ANI que extienda el plazo para presentar la Oferta por un </t>
    </r>
    <r>
      <rPr>
        <u/>
        <sz val="12"/>
        <rFont val="Calibri Light"/>
        <family val="2"/>
        <scheme val="major"/>
      </rPr>
      <t>término mínimo de 3 meses</t>
    </r>
    <r>
      <rPr>
        <sz val="12"/>
        <rFont val="Calibri Light"/>
        <family val="2"/>
        <scheme val="major"/>
      </rPr>
      <t xml:space="preserve"> y de esa manera, posibilitar el cumplimiento de los requisitos exigidos en el Pliego de Condiciones.</t>
    </r>
  </si>
  <si>
    <r>
      <t>Agradecemos dar un alcance a la </t>
    </r>
    <r>
      <rPr>
        <b/>
        <sz val="12"/>
        <rFont val="Calibri Light"/>
        <family val="2"/>
        <scheme val="major"/>
      </rPr>
      <t>Comisión de Éxito</t>
    </r>
    <r>
      <rPr>
        <sz val="12"/>
        <rFont val="Calibri Light"/>
        <family val="2"/>
        <scheme val="major"/>
      </rPr>
      <t> que se plantea en la minuta del contrato, si el cumplimento de la misma al tratarse de una obligación de pago se entiende inmerso dentro de las garantías contractuales adquiridas por el concesionario; de ser así agradecemos a esta entidad solicitar una póliza que garantice de manera exclusiva dicha obligación, sin que la garantía única de cumplimiento se pueda llegar a ver afectada</t>
    </r>
  </si>
  <si>
    <r>
      <t>En el Capítulo II, numeral 2.22, establece que, la “</t>
    </r>
    <r>
      <rPr>
        <i/>
        <sz val="12"/>
        <rFont val="Calibri Light"/>
        <family val="2"/>
        <scheme val="major"/>
      </rPr>
      <t>Sábana Predial</t>
    </r>
    <r>
      <rPr>
        <sz val="12"/>
        <rFont val="Calibri Light"/>
        <family val="2"/>
        <scheme val="major"/>
      </rPr>
      <t>”, es la herramienta de control y seguimiento de la Gestión Predial y que la misma, deberá entregarse mensualmente o cuando la ANI lo requiera, en formato Excel o en el que la ANI defina, en medio magnético. 
Teniendo en cuenta lo anterior, se solicita aclarar cuál es el formato de Sabana Predial que se va implementar en el presente proyecto, toda vez que el último que se encuentra publicado en la página web de la ANI, identificado con código GCSP-F-052 tiene fecha del 13-01-2014.</t>
    </r>
  </si>
  <si>
    <r>
      <t>En atención a lo indicado en el numeral 4.1 "División por Unidades Funcionales"  del Apéndice Técnico 1 , para la UF3, Av.Bicentenario en la cual señala que dentro del alcance "</t>
    </r>
    <r>
      <rPr>
        <i/>
        <sz val="12"/>
        <rFont val="Calibri Light"/>
        <family val="2"/>
        <scheme val="major"/>
      </rPr>
      <t>incluye compra de predios con proyección para las dos calzada</t>
    </r>
    <r>
      <rPr>
        <sz val="12"/>
        <rFont val="Calibri Light"/>
        <family val="2"/>
        <scheme val="major"/>
      </rPr>
      <t>s",al respecto se solicita a la Entidad establecer la franja de terreno para la compra de predios proyectada, mediante la publicación de  planos y coordenadas de la franja (poligono)  predial considerada por la ANI para la adquisicion de los predios requeridos para las dos calzadas de la unidad funcional 3. 
Dado que el estructurador no realizó el diseño geométrico de la segunda calzada (de acuerdo a la información disponible en el cuarto de datos), no hay manera de proyectar una franja especifica para la compra de predios y en la cuál se pueda aplicar el sistema de bandas para asignación de riesgos descrito en la sección 7.2 del  Contrato Parte General; por tal razón es indispensable que la Entidad defina la citada franja de terreno para la compra de predios de la UF3 incluyendo la publicación de las coordenadas de esté poligono en el Apéndice Técnico 1.</t>
    </r>
  </si>
  <si>
    <r>
      <t>Dado que el alcance de la UF3 es  "</t>
    </r>
    <r>
      <rPr>
        <i/>
        <sz val="12"/>
        <rFont val="Calibri Light"/>
        <family val="2"/>
        <scheme val="major"/>
      </rPr>
      <t>construcción de calzada sencilla</t>
    </r>
    <r>
      <rPr>
        <sz val="12"/>
        <rFont val="Calibri Light"/>
        <family val="2"/>
        <scheme val="major"/>
      </rPr>
      <t>" y adicional incluye "</t>
    </r>
    <r>
      <rPr>
        <i/>
        <sz val="12"/>
        <rFont val="Calibri Light"/>
        <family val="2"/>
        <scheme val="major"/>
      </rPr>
      <t>compra de predios para proyección para las dos calzadas</t>
    </r>
    <r>
      <rPr>
        <sz val="12"/>
        <rFont val="Calibri Light"/>
        <family val="2"/>
        <scheme val="major"/>
      </rPr>
      <t>" entendemos que la Gestión Socioambiental y Redes de esa Unidad Funcional es sólo para "</t>
    </r>
    <r>
      <rPr>
        <i/>
        <u/>
        <sz val="12"/>
        <rFont val="Calibri Light"/>
        <family val="2"/>
        <scheme val="major"/>
      </rPr>
      <t>construcción de calzada sencilla</t>
    </r>
    <r>
      <rPr>
        <sz val="12"/>
        <rFont val="Calibri Light"/>
        <family val="2"/>
        <scheme val="major"/>
      </rPr>
      <t>" y que lo única actividad que se realizara para la proyección de dos calzadas es la compra de predios. Favor confirmar que nuestro entendimiento es correcto.</t>
    </r>
  </si>
  <si>
    <r>
      <t xml:space="preserve">Teniendo en cuenta (i) la redacción del numeral 6.3 (b) del contrato parte general; (ii) la respuesta dada por la ANI a la pregunta 1145 publicada el 8 de Julio de 2020 donde se señala que </t>
    </r>
    <r>
      <rPr>
        <i/>
        <sz val="12"/>
        <rFont val="Calibri Light"/>
        <family val="2"/>
        <scheme val="major"/>
      </rPr>
      <t>"La condición planteada en el numeral 6.3 hace referencia a la franja declarada de utilidad pública obtenida en la estructuración del proyecto, y la variación que pueda presentarse en los Estudios de Trazado y Diseño Geométrico y los Estudios de Detalle que realice el concesionario respecto a la misma"</t>
    </r>
    <r>
      <rPr>
        <sz val="12"/>
        <rFont val="Calibri Light"/>
        <family val="2"/>
        <scheme val="major"/>
      </rPr>
      <t xml:space="preserve">; (iii) y las variaciones del trazado geométrico que la ANI ha presentado en la actualización del cuarto de datos para la UF3 del día 24 de agosto de 2020, se solicita a la Entidad revisar y ajustar la redacción del numeral 6.3 de la parte general, ya que como está actualmente, las optimizaciones que se quieran realizar a los diseños se limitan indirectamente desde el mismo contrato, ya que al salirse de la franja de terreno obtenida en la estructuración del proyecto, el Concesionario estaría asumiendo todo el riesgo de gestiones prediales, socioambientales y redes, desestimulando así de realizar alguna mejora al diseño del proyecto. </t>
    </r>
  </si>
  <si>
    <r>
      <t>Se solicita publicar la información listada a continuación correspondiente a los</t>
    </r>
    <r>
      <rPr>
        <b/>
        <sz val="12"/>
        <rFont val="Calibri Light"/>
        <family val="2"/>
        <scheme val="major"/>
      </rPr>
      <t xml:space="preserve"> </t>
    </r>
    <r>
      <rPr>
        <b/>
        <u/>
        <sz val="12"/>
        <rFont val="Calibri Light"/>
        <family val="2"/>
        <scheme val="major"/>
      </rPr>
      <t>trenes cañeros</t>
    </r>
    <r>
      <rPr>
        <sz val="12"/>
        <rFont val="Calibri Light"/>
        <family val="2"/>
        <scheme val="major"/>
      </rPr>
      <t xml:space="preserve"> que circulan por las vias públicas que son objeto del presente proceso de contratación: 
- Información sobre los diferentes tipos de Configuración vehicular y dimensiones para estos trenes cañeros, en lo que tiene que ver con longitud, ancho, alto y peso bruto vehicular. 
- Mediciones del peso por tipo vehículo o eje cargado.
- Volúmenes diarios de trafico y/o información relacionada con el recaudo de peaje según configuración de tren cañero desde el año 2000 a agosto de 2020.
 - Estudios de tránsito y/o proyecciones de tráfico de trenes cañeros que transiten por cada uno de los corredores viales de uso público del proceso en menciónv desde el año 2000 a agosto de 2020 y años futuros .
- Ubicación estimada de los puntos de origen y destino para los recorridos y/o rutas azucareras de dichos vehículos por los corredores viales de uso público de la malla vial del valle.
- Confirmar si todos los vehículos tipo tren cañero en sus diferentes configuraciones están asociados a Asocaña y empresas transportistas de caña en estos corredores que utilicen este o si hay otras organizaciones que tengan a su haber la utilización de estos vehículos en las vías de la malla vial del valle.
- Cualquier otro aspecto que ustedes estimen que sobre el particular nos pueda ser de utilidad para la evaluacion del trafico y/o daño que puedan ejecrcer estos vehiculos en las vias y corredores.</t>
    </r>
  </si>
  <si>
    <t>Debido a que, para las tres licencias existentes entre los pendientes está el cierre ambiental por parte de la autoridad ambiental, se solicita indicar el estado de esos cierres, indicando qué se ha ejecutado en cada caso, si existen pasivos ambientales y en qué consisten, basado en un documento emitido por la autoridad competente.Además, debido a que las licencias fueron ejecutadas por un tercero (el concesionario anterior), favor indicar qué ocurre si como consecuencia de sus acciones, o eventuales incumplimientos, no es posible obtener el cierre de esas licencias ante la autoridad ambiental.</t>
  </si>
  <si>
    <t xml:space="preserve">La entidad informa al interesado que:
• La descripción de las Obras a realizar se encuentra en el Cuarto de Datos. De acuerdo con lo señalado en el Pliego, dicha información sólo es de referencia, teniendo en cuenta que corresponderá al Concesionario adelantar los estudios y diseños necesarios para la ejecución
• Se aclara al interesado que en el presente Proceso de Selección no existe una etapa de precalificación, por tanto, los requisitos habilitantes y de calificación deberán acreditarse con la presentación de la Oferta en los términos de los Capítulos IV y V del pliego de condiciones. También se aclara al interesado que la fecha límite para la presentación se encuentra prevista en el  numeral 2.3. del pliego de condiciones.
</t>
  </si>
  <si>
    <r>
      <t xml:space="preserve">Quisiera saber si me podrían orientar en la licitación que se lazó el pasado 7 de Abril con respecto a la primera parte de las autopistas </t>
    </r>
    <r>
      <rPr>
        <b/>
        <sz val="12"/>
        <rFont val="Calibri Light"/>
        <family val="2"/>
        <scheme val="major"/>
      </rPr>
      <t>5G</t>
    </r>
    <r>
      <rPr>
        <sz val="12"/>
        <rFont val="Calibri Light"/>
        <family val="2"/>
        <scheme val="major"/>
      </rPr>
      <t xml:space="preserve"> y qué contempla.Hay algún puente o vías elevadas en dicha licitación. Cuál es su descripción? Dónde puedo encontrar los documentos de precalificación y cuál es la fecha límite para las propuestas? </t>
    </r>
  </si>
  <si>
    <t>Se informa al interesado que una vez analizada la solicitud se realizan ajustes en Los plazos relacionados con la Fuerza Mayor Predial se ajustaron, estos se podrán evidenciar en la minuta publicada con pliego de condiciones defintivos.</t>
  </si>
  <si>
    <t xml:space="preserve">Se informa  al interesado que los plazos asociados a fuerza mayor predial fueron ajustados en la minuta que se publico con pliego de condiciones definitivo </t>
  </si>
  <si>
    <t xml:space="preserve">Se informa al interesado que la regulación de fuerza mayor fue ajsutada, dicho ajuste se evidencia en la minuta a publicar en el pliego de condiciones definitivo </t>
  </si>
  <si>
    <t>Se da respuesta a las observaciones allegadas al proyecto de pliego de condiciones del proceso de selección. Las modificaciones realizadas al pliego de condiciones y demás anexos y apéndices serán las contenidas en los documentos indicados, las cuales prevalecen sobre las respuestas a las observaciones.</t>
  </si>
  <si>
    <t>En Bogotá D.C., a los cuatro días del mes de septiembre  de 2020, la Agencia Nacional de Infraestructura, por medio del presente documento se permite dar respuesta a la observación allegada hasta la fecha, al  VJ-VE-APP-IPB-001-2020 del proceso de selección de la referencia, en los siguientes términos:</t>
  </si>
  <si>
    <t>LICITACIÓN PÚBLICA No. VJ-VE-APP-IPB-001-2020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</si>
</sst>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31" x14ac:knownFonts="1">
    <font>
      <sz val="10"/>
      <name val="Arial"/>
    </font>
    <font>
      <sz val="11"/>
      <color theme="1"/>
      <name val="Calibri"/>
      <family val="2"/>
      <scheme val="minor"/>
    </font>
    <font>
      <sz val="12"/>
      <color theme="1"/>
      <name val="Calibri"/>
      <family val="2"/>
      <scheme val="minor"/>
    </font>
    <font>
      <sz val="11"/>
      <color rgb="FF000000"/>
      <name val="Arial Narrow"/>
      <family val="2"/>
    </font>
    <font>
      <sz val="11"/>
      <name val="Arial Narrow"/>
      <family val="2"/>
    </font>
    <font>
      <u/>
      <sz val="12"/>
      <color theme="10"/>
      <name val="Calibri"/>
      <family val="2"/>
      <scheme val="minor"/>
    </font>
    <font>
      <b/>
      <sz val="10"/>
      <color rgb="FF000000"/>
      <name val="Tahoma"/>
      <family val="2"/>
    </font>
    <font>
      <sz val="10"/>
      <color rgb="FF000000"/>
      <name val="Tahoma"/>
      <family val="2"/>
    </font>
    <font>
      <b/>
      <sz val="11"/>
      <name val="Arial Narrow"/>
      <family val="2"/>
    </font>
    <font>
      <sz val="8"/>
      <name val="Calibri"/>
      <family val="2"/>
    </font>
    <font>
      <sz val="11"/>
      <color indexed="8"/>
      <name val="Calibri"/>
      <family val="2"/>
    </font>
    <font>
      <sz val="10"/>
      <name val="Arial"/>
      <family val="2"/>
    </font>
    <font>
      <sz val="10"/>
      <color rgb="FF000000"/>
      <name val="Arial"/>
      <family val="2"/>
    </font>
    <font>
      <b/>
      <sz val="10"/>
      <name val="Arial"/>
      <family val="2"/>
    </font>
    <font>
      <sz val="12"/>
      <name val="Calibri Light"/>
      <family val="2"/>
      <scheme val="major"/>
    </font>
    <font>
      <b/>
      <sz val="12"/>
      <name val="Calibri Light"/>
      <family val="2"/>
      <scheme val="major"/>
    </font>
    <font>
      <i/>
      <sz val="12"/>
      <name val="Calibri Light"/>
      <family val="2"/>
      <scheme val="major"/>
    </font>
    <font>
      <u/>
      <sz val="12"/>
      <name val="Calibri Light"/>
      <family val="2"/>
      <scheme val="major"/>
    </font>
    <font>
      <i/>
      <strike/>
      <sz val="12"/>
      <name val="Calibri Light"/>
      <family val="2"/>
      <scheme val="major"/>
    </font>
    <font>
      <strike/>
      <u/>
      <sz val="12"/>
      <name val="Calibri Light"/>
      <family val="2"/>
      <scheme val="major"/>
    </font>
    <font>
      <b/>
      <i/>
      <u/>
      <sz val="12"/>
      <name val="Calibri Light"/>
      <family val="2"/>
      <scheme val="major"/>
    </font>
    <font>
      <b/>
      <i/>
      <sz val="12"/>
      <name val="Calibri Light"/>
      <family val="2"/>
      <scheme val="major"/>
    </font>
    <font>
      <b/>
      <u/>
      <sz val="12"/>
      <name val="Calibri Light"/>
      <family val="2"/>
      <scheme val="major"/>
    </font>
    <font>
      <i/>
      <u/>
      <sz val="12"/>
      <name val="Calibri Light"/>
      <family val="2"/>
      <scheme val="major"/>
    </font>
    <font>
      <strike/>
      <sz val="12"/>
      <name val="Calibri Light"/>
      <family val="2"/>
      <scheme val="major"/>
    </font>
    <font>
      <u/>
      <vertAlign val="subscript"/>
      <sz val="12"/>
      <name val="Calibri Light"/>
      <family val="2"/>
      <scheme val="major"/>
    </font>
    <font>
      <vertAlign val="subscript"/>
      <sz val="12"/>
      <name val="Calibri Light"/>
      <family val="2"/>
      <scheme val="major"/>
    </font>
    <font>
      <i/>
      <vertAlign val="superscript"/>
      <sz val="12"/>
      <name val="Calibri Light"/>
      <family val="2"/>
      <scheme val="major"/>
    </font>
    <font>
      <b/>
      <i/>
      <vertAlign val="superscript"/>
      <sz val="12"/>
      <name val="Calibri Light"/>
      <family val="2"/>
      <scheme val="major"/>
    </font>
    <font>
      <vertAlign val="superscript"/>
      <sz val="12"/>
      <name val="Calibri Light"/>
      <family val="2"/>
      <scheme val="major"/>
    </font>
    <font>
      <b/>
      <i/>
      <u val="double"/>
      <sz val="12"/>
      <name val="Calibri Light"/>
      <family val="2"/>
      <scheme val="major"/>
    </font>
  </fonts>
  <fills count="15">
    <fill>
      <patternFill patternType="none"/>
    </fill>
    <fill>
      <patternFill patternType="gray125"/>
    </fill>
    <fill>
      <patternFill patternType="solid">
        <fgColor rgb="FFFFFFFF"/>
        <bgColor indexed="64"/>
      </patternFill>
    </fill>
    <fill>
      <patternFill patternType="solid">
        <fgColor rgb="FF538135"/>
        <bgColor indexed="64"/>
      </patternFill>
    </fill>
    <fill>
      <patternFill patternType="solid">
        <fgColor rgb="FF9933FF"/>
        <bgColor indexed="64"/>
      </patternFill>
    </fill>
    <fill>
      <patternFill patternType="solid">
        <fgColor rgb="FF7030A0"/>
        <bgColor indexed="64"/>
      </patternFill>
    </fill>
    <fill>
      <patternFill patternType="solid">
        <fgColor rgb="FF00B0F0"/>
        <bgColor indexed="64"/>
      </patternFill>
    </fill>
    <fill>
      <patternFill patternType="solid">
        <fgColor rgb="FFFFFF00"/>
        <bgColor indexed="64"/>
      </patternFill>
    </fill>
    <fill>
      <patternFill patternType="solid">
        <fgColor rgb="FFED7D31"/>
        <bgColor indexed="64"/>
      </patternFill>
    </fill>
    <fill>
      <patternFill patternType="solid">
        <fgColor rgb="FF66FF33"/>
        <bgColor indexed="64"/>
      </patternFill>
    </fill>
    <fill>
      <patternFill patternType="solid">
        <fgColor rgb="FFC45911"/>
        <bgColor indexed="64"/>
      </patternFill>
    </fill>
    <fill>
      <patternFill patternType="solid">
        <fgColor rgb="FFFF9966"/>
        <bgColor indexed="64"/>
      </patternFill>
    </fill>
    <fill>
      <patternFill patternType="solid">
        <fgColor rgb="FFD9D9D9"/>
        <bgColor indexed="64"/>
      </patternFill>
    </fill>
    <fill>
      <patternFill patternType="solid">
        <fgColor rgb="FFBFBFBF"/>
        <bgColor indexed="64"/>
      </patternFill>
    </fill>
    <fill>
      <patternFill patternType="solid">
        <fgColor rgb="FFFF0000"/>
        <bgColor indexed="64"/>
      </patternFill>
    </fill>
  </fills>
  <borders count="5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bottom/>
      <diagonal/>
    </border>
    <border>
      <left style="thin">
        <color theme="1"/>
      </left>
      <right style="dashed">
        <color auto="1"/>
      </right>
      <top style="thin">
        <color theme="1"/>
      </top>
      <bottom/>
      <diagonal/>
    </border>
    <border>
      <left style="dashed">
        <color auto="1"/>
      </left>
      <right style="dashed">
        <color auto="1"/>
      </right>
      <top style="thin">
        <color theme="1"/>
      </top>
      <bottom/>
      <diagonal/>
    </border>
    <border>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1"/>
      </left>
      <right style="dashed">
        <color auto="1"/>
      </right>
      <top style="thin">
        <color theme="1"/>
      </top>
      <bottom style="thin">
        <color theme="1"/>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medium">
        <color rgb="FF000000"/>
      </top>
      <bottom style="thin">
        <color rgb="FF000000"/>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style="thin">
        <color theme="1"/>
      </top>
      <bottom/>
      <diagonal/>
    </border>
    <border>
      <left style="thin">
        <color indexed="64"/>
      </left>
      <right style="thin">
        <color indexed="64"/>
      </right>
      <top style="thin">
        <color indexed="64"/>
      </top>
      <bottom style="thin">
        <color theme="1"/>
      </bottom>
      <diagonal/>
    </border>
    <border>
      <left style="dashed">
        <color auto="1"/>
      </left>
      <right style="dashed">
        <color auto="1"/>
      </right>
      <top style="thin">
        <color theme="1"/>
      </top>
      <bottom style="thin">
        <color theme="1"/>
      </bottom>
      <diagonal/>
    </border>
  </borders>
  <cellStyleXfs count="9">
    <xf numFmtId="0" fontId="0" fillId="0" borderId="0"/>
    <xf numFmtId="0" fontId="2" fillId="0" borderId="0"/>
    <xf numFmtId="0" fontId="5" fillId="0" borderId="0" applyNumberFormat="0" applyFill="0" applyBorder="0" applyAlignment="0" applyProtection="0"/>
    <xf numFmtId="0" fontId="10" fillId="0" borderId="0"/>
    <xf numFmtId="0" fontId="11" fillId="0" borderId="0"/>
    <xf numFmtId="0" fontId="1" fillId="0" borderId="0"/>
    <xf numFmtId="0" fontId="1" fillId="0" borderId="0"/>
    <xf numFmtId="0" fontId="11" fillId="0" borderId="0" applyFont="0" applyFill="0" applyBorder="0" applyAlignment="0" applyProtection="0"/>
    <xf numFmtId="0" fontId="12" fillId="0" borderId="0"/>
  </cellStyleXfs>
  <cellXfs count="418">
    <xf numFmtId="0" fontId="0" fillId="0" borderId="0" xfId="0"/>
    <xf numFmtId="0" fontId="8"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5" borderId="7"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3" borderId="7" xfId="0" applyFont="1" applyFill="1" applyBorder="1" applyAlignment="1">
      <alignment vertical="center" wrapText="1"/>
    </xf>
    <xf numFmtId="0" fontId="4" fillId="8" borderId="15"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10" borderId="7"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11"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12" borderId="7"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4" fillId="13" borderId="7"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8" borderId="5" xfId="0" applyFont="1" applyFill="1" applyBorder="1" applyAlignment="1">
      <alignment vertical="center" wrapText="1"/>
    </xf>
    <xf numFmtId="0" fontId="4" fillId="2" borderId="7" xfId="0" applyFont="1" applyFill="1" applyBorder="1" applyAlignment="1">
      <alignment vertical="center" wrapText="1"/>
    </xf>
    <xf numFmtId="0" fontId="4" fillId="2" borderId="5" xfId="0" applyFont="1" applyFill="1" applyBorder="1" applyAlignment="1">
      <alignment vertical="center" wrapText="1"/>
    </xf>
    <xf numFmtId="0" fontId="0" fillId="0" borderId="6" xfId="0" applyBorder="1" applyAlignment="1">
      <alignment horizontal="center" vertical="center"/>
    </xf>
    <xf numFmtId="0" fontId="0" fillId="0" borderId="45" xfId="0" applyBorder="1" applyAlignment="1">
      <alignment horizontal="center" vertical="center"/>
    </xf>
    <xf numFmtId="0" fontId="13" fillId="0" borderId="41" xfId="0" applyFont="1" applyBorder="1" applyAlignment="1">
      <alignment horizontal="center" vertical="center"/>
    </xf>
    <xf numFmtId="0" fontId="13" fillId="0" borderId="42" xfId="0" applyFont="1" applyBorder="1" applyAlignment="1">
      <alignment horizontal="center" vertical="center"/>
    </xf>
    <xf numFmtId="0" fontId="13" fillId="0" borderId="43" xfId="0" applyFont="1" applyBorder="1" applyAlignment="1">
      <alignment horizontal="center" vertical="center"/>
    </xf>
    <xf numFmtId="0" fontId="13" fillId="0" borderId="44" xfId="0" applyFont="1" applyBorder="1" applyAlignment="1">
      <alignment horizontal="center" vertical="center"/>
    </xf>
    <xf numFmtId="0" fontId="13" fillId="0" borderId="46" xfId="0" applyFont="1" applyFill="1" applyBorder="1" applyAlignment="1">
      <alignment horizontal="center" vertical="center"/>
    </xf>
    <xf numFmtId="0" fontId="13" fillId="14" borderId="47" xfId="0" applyFont="1" applyFill="1" applyBorder="1" applyAlignment="1">
      <alignment horizontal="center" vertical="center"/>
    </xf>
    <xf numFmtId="0" fontId="13" fillId="14" borderId="48" xfId="0" applyFont="1" applyFill="1" applyBorder="1" applyAlignment="1">
      <alignment horizontal="center" vertical="center"/>
    </xf>
    <xf numFmtId="0" fontId="14" fillId="0" borderId="0" xfId="1" applyFont="1" applyFill="1"/>
    <xf numFmtId="0" fontId="14" fillId="0" borderId="0" xfId="1" applyFont="1" applyFill="1" applyAlignment="1">
      <alignment wrapText="1"/>
    </xf>
    <xf numFmtId="0" fontId="14" fillId="0" borderId="16" xfId="1" applyFont="1" applyFill="1" applyBorder="1" applyAlignment="1">
      <alignment vertical="center" wrapText="1"/>
    </xf>
    <xf numFmtId="0" fontId="14" fillId="0" borderId="0" xfId="1" applyFont="1" applyFill="1" applyAlignment="1">
      <alignment vertical="center" wrapText="1"/>
    </xf>
    <xf numFmtId="0" fontId="14" fillId="0" borderId="11" xfId="1" applyFont="1" applyFill="1" applyBorder="1" applyAlignment="1">
      <alignment vertical="center" wrapText="1"/>
    </xf>
    <xf numFmtId="0" fontId="14" fillId="0" borderId="11" xfId="1" applyFont="1" applyFill="1" applyBorder="1" applyAlignment="1">
      <alignment vertical="center" wrapText="1"/>
    </xf>
    <xf numFmtId="0" fontId="14" fillId="0" borderId="8" xfId="1" applyFont="1" applyFill="1" applyBorder="1" applyAlignment="1">
      <alignment vertical="center" wrapText="1"/>
    </xf>
    <xf numFmtId="0" fontId="14" fillId="0" borderId="9" xfId="1" applyFont="1" applyFill="1" applyBorder="1" applyAlignment="1">
      <alignment vertical="top" wrapText="1"/>
    </xf>
    <xf numFmtId="0" fontId="14" fillId="0" borderId="10" xfId="1" applyFont="1" applyFill="1" applyBorder="1" applyAlignment="1">
      <alignment vertical="top" wrapText="1"/>
    </xf>
    <xf numFmtId="0" fontId="14" fillId="0" borderId="8" xfId="1" applyFont="1" applyFill="1" applyBorder="1" applyAlignment="1">
      <alignment vertical="top" wrapText="1"/>
    </xf>
    <xf numFmtId="0" fontId="14" fillId="0" borderId="5" xfId="1" applyFont="1" applyFill="1" applyBorder="1" applyAlignment="1">
      <alignment horizontal="justify" vertical="center" wrapText="1"/>
    </xf>
    <xf numFmtId="0" fontId="14" fillId="0" borderId="8" xfId="1" applyFont="1" applyFill="1" applyBorder="1" applyAlignment="1">
      <alignment wrapText="1"/>
    </xf>
    <xf numFmtId="0" fontId="14" fillId="0" borderId="8" xfId="1" applyFont="1" applyFill="1" applyBorder="1" applyAlignment="1">
      <alignment horizontal="justify" vertical="center" wrapText="1"/>
    </xf>
    <xf numFmtId="0" fontId="14" fillId="0" borderId="16" xfId="1" applyFont="1" applyFill="1" applyBorder="1" applyAlignment="1">
      <alignment horizontal="justify" vertical="center" wrapText="1"/>
    </xf>
    <xf numFmtId="0" fontId="14" fillId="0" borderId="0" xfId="1" applyFont="1" applyFill="1" applyAlignment="1">
      <alignment horizontal="justify" vertical="center" wrapText="1"/>
    </xf>
    <xf numFmtId="0" fontId="14" fillId="0" borderId="11" xfId="1" applyFont="1" applyFill="1" applyBorder="1" applyAlignment="1">
      <alignment horizontal="justify" vertical="center" wrapText="1"/>
    </xf>
    <xf numFmtId="0" fontId="14" fillId="0" borderId="11" xfId="1" applyFont="1" applyFill="1" applyBorder="1" applyAlignment="1">
      <alignment horizontal="center" vertical="center" wrapText="1"/>
    </xf>
    <xf numFmtId="0" fontId="14" fillId="0" borderId="16" xfId="1" applyFont="1" applyFill="1" applyBorder="1" applyAlignment="1">
      <alignment vertical="top" wrapText="1"/>
    </xf>
    <xf numFmtId="0" fontId="14" fillId="0" borderId="0" xfId="1" applyFont="1" applyFill="1" applyAlignment="1">
      <alignment vertical="top" wrapText="1"/>
    </xf>
    <xf numFmtId="0" fontId="14" fillId="0" borderId="11" xfId="1" applyFont="1" applyFill="1" applyBorder="1" applyAlignment="1">
      <alignment vertical="top" wrapText="1"/>
    </xf>
    <xf numFmtId="0" fontId="14" fillId="0" borderId="6" xfId="1" applyFont="1" applyFill="1" applyBorder="1" applyAlignment="1">
      <alignment horizontal="justify" vertical="center" wrapText="1"/>
    </xf>
    <xf numFmtId="0" fontId="15" fillId="0" borderId="8" xfId="1" applyFont="1" applyFill="1" applyBorder="1" applyAlignment="1">
      <alignment horizontal="justify" vertical="center" wrapText="1"/>
    </xf>
    <xf numFmtId="0" fontId="14" fillId="0" borderId="8" xfId="1" applyFont="1" applyFill="1" applyBorder="1" applyAlignment="1">
      <alignment vertical="top" wrapText="1"/>
    </xf>
    <xf numFmtId="0" fontId="14" fillId="0" borderId="12" xfId="1" applyFont="1" applyFill="1" applyBorder="1" applyAlignment="1">
      <alignment horizontal="justify" vertical="center" wrapText="1"/>
    </xf>
    <xf numFmtId="0" fontId="14" fillId="0" borderId="13" xfId="1" applyFont="1" applyFill="1" applyBorder="1" applyAlignment="1">
      <alignment horizontal="justify" vertical="center" wrapText="1"/>
    </xf>
    <xf numFmtId="0" fontId="14" fillId="0" borderId="14" xfId="1" applyFont="1" applyFill="1" applyBorder="1" applyAlignment="1">
      <alignment horizontal="justify" vertical="center" wrapText="1"/>
    </xf>
    <xf numFmtId="0" fontId="14" fillId="0" borderId="16" xfId="1" applyFont="1" applyFill="1" applyBorder="1" applyAlignment="1">
      <alignment wrapText="1"/>
    </xf>
    <xf numFmtId="0" fontId="14" fillId="0" borderId="0" xfId="1" applyFont="1" applyFill="1" applyAlignment="1">
      <alignment wrapText="1"/>
    </xf>
    <xf numFmtId="0" fontId="14" fillId="0" borderId="11" xfId="1" applyFont="1" applyFill="1" applyBorder="1" applyAlignment="1">
      <alignment wrapText="1"/>
    </xf>
    <xf numFmtId="0" fontId="14" fillId="0" borderId="11" xfId="1" applyFont="1" applyFill="1" applyBorder="1" applyAlignment="1">
      <alignment vertical="top" wrapText="1"/>
    </xf>
    <xf numFmtId="0" fontId="14" fillId="0" borderId="6" xfId="1" applyFont="1" applyFill="1" applyBorder="1" applyAlignment="1">
      <alignment horizontal="center" vertical="center" wrapText="1"/>
    </xf>
    <xf numFmtId="0" fontId="15" fillId="0" borderId="2" xfId="1" applyFont="1" applyFill="1" applyBorder="1" applyAlignment="1">
      <alignment horizontal="center" vertical="center" wrapText="1"/>
    </xf>
    <xf numFmtId="0" fontId="15" fillId="0" borderId="3" xfId="1" applyFont="1" applyFill="1" applyBorder="1" applyAlignment="1">
      <alignment horizontal="center" vertical="center" wrapText="1"/>
    </xf>
    <xf numFmtId="0" fontId="15" fillId="0" borderId="4" xfId="1" applyFont="1" applyFill="1" applyBorder="1" applyAlignment="1">
      <alignment horizontal="center" vertical="center" wrapText="1"/>
    </xf>
    <xf numFmtId="0" fontId="15" fillId="0" borderId="2" xfId="1" applyFont="1" applyFill="1" applyBorder="1" applyAlignment="1">
      <alignment horizontal="center" vertical="center" wrapText="1"/>
    </xf>
    <xf numFmtId="0" fontId="15" fillId="0" borderId="1" xfId="1" applyFont="1" applyFill="1" applyBorder="1" applyAlignment="1">
      <alignment horizontal="center" vertical="center" wrapText="1"/>
    </xf>
    <xf numFmtId="0" fontId="15" fillId="0" borderId="5"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15" fillId="0" borderId="8" xfId="1" applyFont="1" applyFill="1" applyBorder="1" applyAlignment="1">
      <alignment horizontal="center" vertical="center" wrapText="1"/>
    </xf>
    <xf numFmtId="0" fontId="15" fillId="0" borderId="9" xfId="1" applyFont="1" applyFill="1" applyBorder="1" applyAlignment="1">
      <alignment horizontal="center" vertical="center" wrapText="1"/>
    </xf>
    <xf numFmtId="0" fontId="15" fillId="0" borderId="10" xfId="1" applyFont="1" applyFill="1" applyBorder="1" applyAlignment="1">
      <alignment horizontal="center" vertical="center" wrapText="1"/>
    </xf>
    <xf numFmtId="0" fontId="15" fillId="0" borderId="8" xfId="1" applyFont="1" applyFill="1" applyBorder="1" applyAlignment="1">
      <alignment horizontal="center" vertical="center" wrapText="1"/>
    </xf>
    <xf numFmtId="0" fontId="15" fillId="0" borderId="7" xfId="1" applyFont="1" applyFill="1" applyBorder="1" applyAlignment="1">
      <alignment horizontal="center" vertical="center" wrapText="1"/>
    </xf>
    <xf numFmtId="0" fontId="14" fillId="0" borderId="5" xfId="1" applyFont="1" applyFill="1" applyBorder="1" applyAlignment="1">
      <alignment horizontal="center" vertical="center" wrapText="1"/>
    </xf>
    <xf numFmtId="0" fontId="14" fillId="0" borderId="15" xfId="1" applyFont="1" applyFill="1" applyBorder="1" applyAlignment="1">
      <alignment horizontal="center" vertical="center" wrapText="1"/>
    </xf>
    <xf numFmtId="0" fontId="14" fillId="0" borderId="15" xfId="1" applyFont="1" applyFill="1" applyBorder="1" applyAlignment="1">
      <alignment horizontal="justify" vertical="center" wrapText="1"/>
    </xf>
    <xf numFmtId="14" fontId="14" fillId="0" borderId="8" xfId="1" applyNumberFormat="1" applyFont="1" applyFill="1" applyBorder="1" applyAlignment="1">
      <alignment vertical="center" wrapText="1"/>
    </xf>
    <xf numFmtId="0" fontId="14" fillId="0" borderId="9" xfId="1" applyFont="1" applyFill="1" applyBorder="1" applyAlignment="1">
      <alignment horizontal="justify" vertical="center" wrapText="1"/>
    </xf>
    <xf numFmtId="0" fontId="14" fillId="0" borderId="10" xfId="1" applyFont="1" applyFill="1" applyBorder="1" applyAlignment="1">
      <alignment horizontal="justify" vertical="center" wrapText="1"/>
    </xf>
    <xf numFmtId="0" fontId="14" fillId="0" borderId="8" xfId="1" applyFont="1" applyFill="1" applyBorder="1" applyAlignment="1">
      <alignment horizontal="justify" vertical="center" wrapText="1"/>
    </xf>
    <xf numFmtId="0" fontId="14" fillId="0" borderId="7" xfId="1" applyFont="1" applyFill="1" applyBorder="1" applyAlignment="1">
      <alignment horizontal="justify" vertical="center" wrapText="1"/>
    </xf>
    <xf numFmtId="0" fontId="15" fillId="0" borderId="16" xfId="1" applyFont="1" applyFill="1" applyBorder="1" applyAlignment="1">
      <alignment horizontal="justify" vertical="center" wrapText="1"/>
    </xf>
    <xf numFmtId="0" fontId="15" fillId="0" borderId="0" xfId="1" applyFont="1" applyFill="1" applyAlignment="1">
      <alignment horizontal="justify" vertical="center" wrapText="1"/>
    </xf>
    <xf numFmtId="0" fontId="15" fillId="0" borderId="11" xfId="1" applyFont="1" applyFill="1" applyBorder="1" applyAlignment="1">
      <alignment horizontal="justify" vertical="center" wrapText="1"/>
    </xf>
    <xf numFmtId="14" fontId="14" fillId="0" borderId="11" xfId="1" applyNumberFormat="1" applyFont="1" applyFill="1" applyBorder="1" applyAlignment="1">
      <alignment vertical="center" wrapText="1"/>
    </xf>
    <xf numFmtId="0" fontId="14" fillId="0" borderId="11" xfId="1" applyFont="1" applyFill="1" applyBorder="1" applyAlignment="1">
      <alignment horizontal="justify" vertical="center" wrapText="1"/>
    </xf>
    <xf numFmtId="14" fontId="14" fillId="0" borderId="11" xfId="1" applyNumberFormat="1" applyFont="1" applyFill="1" applyBorder="1" applyAlignment="1">
      <alignment horizontal="justify" vertical="center" wrapText="1"/>
    </xf>
    <xf numFmtId="0" fontId="15" fillId="0" borderId="15" xfId="1" applyFont="1" applyFill="1" applyBorder="1" applyAlignment="1">
      <alignment horizontal="justify" vertical="center" wrapText="1"/>
    </xf>
    <xf numFmtId="0" fontId="15" fillId="0" borderId="7" xfId="1" applyFont="1" applyFill="1" applyBorder="1" applyAlignment="1">
      <alignment horizontal="justify" vertical="center" wrapText="1"/>
    </xf>
    <xf numFmtId="0" fontId="14" fillId="0" borderId="12" xfId="1" applyFont="1" applyFill="1" applyBorder="1" applyAlignment="1">
      <alignment vertical="center" wrapText="1"/>
    </xf>
    <xf numFmtId="0" fontId="14" fillId="0" borderId="13" xfId="1" applyFont="1" applyFill="1" applyBorder="1" applyAlignment="1">
      <alignment vertical="center" wrapText="1"/>
    </xf>
    <xf numFmtId="0" fontId="14" fillId="0" borderId="14" xfId="1" applyFont="1" applyFill="1" applyBorder="1" applyAlignment="1">
      <alignment vertical="center" wrapText="1"/>
    </xf>
    <xf numFmtId="0" fontId="14" fillId="0" borderId="9" xfId="1" applyFont="1" applyFill="1" applyBorder="1" applyAlignment="1">
      <alignment vertical="center" wrapText="1"/>
    </xf>
    <xf numFmtId="0" fontId="14" fillId="0" borderId="10" xfId="1" applyFont="1" applyFill="1" applyBorder="1" applyAlignment="1">
      <alignment vertical="center" wrapText="1"/>
    </xf>
    <xf numFmtId="0" fontId="14" fillId="0" borderId="8" xfId="1" applyFont="1" applyFill="1" applyBorder="1" applyAlignment="1">
      <alignment vertical="center" wrapText="1"/>
    </xf>
    <xf numFmtId="14" fontId="14" fillId="0" borderId="8" xfId="1" applyNumberFormat="1" applyFont="1" applyFill="1" applyBorder="1" applyAlignment="1">
      <alignment horizontal="justify" vertical="center" wrapText="1"/>
    </xf>
    <xf numFmtId="0" fontId="14" fillId="0" borderId="7" xfId="1" applyFont="1" applyFill="1" applyBorder="1" applyAlignment="1">
      <alignment horizontal="center" vertical="center" wrapText="1"/>
    </xf>
    <xf numFmtId="0" fontId="14" fillId="0" borderId="3" xfId="1" applyFont="1" applyFill="1" applyBorder="1" applyAlignment="1">
      <alignment horizontal="justify" vertical="center" wrapText="1"/>
    </xf>
    <xf numFmtId="0" fontId="14" fillId="0" borderId="4" xfId="1" applyFont="1" applyFill="1" applyBorder="1" applyAlignment="1">
      <alignment horizontal="justify" vertical="center" wrapText="1"/>
    </xf>
    <xf numFmtId="0" fontId="14" fillId="0" borderId="2" xfId="1" applyFont="1" applyFill="1" applyBorder="1" applyAlignment="1">
      <alignment horizontal="justify" vertical="center" wrapText="1"/>
    </xf>
    <xf numFmtId="0" fontId="15" fillId="0" borderId="11" xfId="1" applyFont="1" applyFill="1" applyBorder="1" applyAlignment="1">
      <alignment horizontal="center" vertical="center" wrapText="1"/>
    </xf>
    <xf numFmtId="0" fontId="16" fillId="0" borderId="16" xfId="1" applyFont="1" applyFill="1" applyBorder="1" applyAlignment="1">
      <alignment horizontal="justify" vertical="center" wrapText="1"/>
    </xf>
    <xf numFmtId="0" fontId="16" fillId="0" borderId="0" xfId="1" applyFont="1" applyFill="1" applyAlignment="1">
      <alignment horizontal="justify" vertical="center" wrapText="1"/>
    </xf>
    <xf numFmtId="0" fontId="16" fillId="0" borderId="11" xfId="1" applyFont="1" applyFill="1" applyBorder="1" applyAlignment="1">
      <alignment horizontal="justify" vertical="center" wrapText="1"/>
    </xf>
    <xf numFmtId="0" fontId="17" fillId="0" borderId="16" xfId="1" applyFont="1" applyFill="1" applyBorder="1" applyAlignment="1">
      <alignment horizontal="justify" vertical="center" wrapText="1"/>
    </xf>
    <xf numFmtId="0" fontId="17" fillId="0" borderId="0" xfId="1" applyFont="1" applyFill="1" applyAlignment="1">
      <alignment horizontal="justify" vertical="center" wrapText="1"/>
    </xf>
    <xf numFmtId="0" fontId="17" fillId="0" borderId="11" xfId="1" applyFont="1" applyFill="1" applyBorder="1" applyAlignment="1">
      <alignment horizontal="justify" vertical="center" wrapText="1"/>
    </xf>
    <xf numFmtId="0" fontId="17" fillId="0" borderId="9" xfId="1" applyFont="1" applyFill="1" applyBorder="1" applyAlignment="1">
      <alignment horizontal="justify" vertical="center" wrapText="1"/>
    </xf>
    <xf numFmtId="0" fontId="17" fillId="0" borderId="10" xfId="1" applyFont="1" applyFill="1" applyBorder="1" applyAlignment="1">
      <alignment horizontal="justify" vertical="center" wrapText="1"/>
    </xf>
    <xf numFmtId="0" fontId="17" fillId="0" borderId="8" xfId="1" applyFont="1" applyFill="1" applyBorder="1" applyAlignment="1">
      <alignment horizontal="justify" vertical="center" wrapText="1"/>
    </xf>
    <xf numFmtId="0" fontId="14" fillId="0" borderId="12" xfId="1" applyFont="1" applyFill="1" applyBorder="1" applyAlignment="1">
      <alignment horizontal="left" vertical="center" wrapText="1"/>
    </xf>
    <xf numFmtId="0" fontId="14" fillId="0" borderId="13" xfId="1" applyFont="1" applyFill="1" applyBorder="1" applyAlignment="1">
      <alignment horizontal="left" vertical="center" wrapText="1"/>
    </xf>
    <xf numFmtId="0" fontId="14" fillId="0" borderId="14" xfId="1" applyFont="1" applyFill="1" applyBorder="1" applyAlignment="1">
      <alignment horizontal="left" vertical="center" wrapText="1"/>
    </xf>
    <xf numFmtId="0" fontId="14" fillId="0" borderId="16" xfId="1" applyFont="1" applyFill="1" applyBorder="1" applyAlignment="1">
      <alignment horizontal="left" vertical="center" wrapText="1"/>
    </xf>
    <xf numFmtId="0" fontId="14" fillId="0" borderId="0" xfId="1" applyFont="1" applyFill="1" applyBorder="1" applyAlignment="1">
      <alignment horizontal="left" vertical="center" wrapText="1"/>
    </xf>
    <xf numFmtId="0" fontId="14" fillId="0" borderId="11" xfId="1" applyFont="1" applyFill="1" applyBorder="1" applyAlignment="1">
      <alignment horizontal="left" vertical="center" wrapText="1"/>
    </xf>
    <xf numFmtId="0" fontId="14" fillId="0" borderId="9" xfId="1" applyFont="1" applyFill="1" applyBorder="1" applyAlignment="1">
      <alignment horizontal="left" vertical="center" wrapText="1"/>
    </xf>
    <xf numFmtId="0" fontId="14" fillId="0" borderId="10" xfId="1" applyFont="1" applyFill="1" applyBorder="1" applyAlignment="1">
      <alignment horizontal="left" vertical="center" wrapText="1"/>
    </xf>
    <xf numFmtId="0" fontId="14" fillId="0" borderId="8" xfId="1" applyFont="1" applyFill="1" applyBorder="1" applyAlignment="1">
      <alignment horizontal="left" vertical="center" wrapText="1"/>
    </xf>
    <xf numFmtId="0" fontId="14" fillId="0" borderId="8" xfId="1" applyFont="1" applyFill="1" applyBorder="1" applyAlignment="1">
      <alignment horizontal="left" vertical="top" wrapText="1"/>
    </xf>
    <xf numFmtId="0" fontId="16" fillId="0" borderId="9" xfId="1" applyFont="1" applyFill="1" applyBorder="1" applyAlignment="1">
      <alignment horizontal="justify" vertical="center" wrapText="1"/>
    </xf>
    <xf numFmtId="0" fontId="16" fillId="0" borderId="10" xfId="1" applyFont="1" applyFill="1" applyBorder="1" applyAlignment="1">
      <alignment horizontal="justify" vertical="center" wrapText="1"/>
    </xf>
    <xf numFmtId="0" fontId="16" fillId="0" borderId="8" xfId="1" applyFont="1" applyFill="1" applyBorder="1" applyAlignment="1">
      <alignment horizontal="justify" vertical="center" wrapText="1"/>
    </xf>
    <xf numFmtId="0" fontId="16" fillId="0" borderId="3" xfId="1" applyFont="1" applyFill="1" applyBorder="1" applyAlignment="1">
      <alignment horizontal="justify" vertical="center" wrapText="1"/>
    </xf>
    <xf numFmtId="0" fontId="16" fillId="0" borderId="4" xfId="1" applyFont="1" applyFill="1" applyBorder="1" applyAlignment="1">
      <alignment horizontal="justify" vertical="center" wrapText="1"/>
    </xf>
    <xf numFmtId="0" fontId="16" fillId="0" borderId="2" xfId="1" applyFont="1" applyFill="1" applyBorder="1" applyAlignment="1">
      <alignment horizontal="justify" vertical="center" wrapText="1"/>
    </xf>
    <xf numFmtId="0" fontId="16" fillId="0" borderId="12" xfId="1" applyFont="1" applyFill="1" applyBorder="1" applyAlignment="1">
      <alignment horizontal="justify" vertical="center" wrapText="1"/>
    </xf>
    <xf numFmtId="0" fontId="16" fillId="0" borderId="13" xfId="1" applyFont="1" applyFill="1" applyBorder="1" applyAlignment="1">
      <alignment horizontal="justify" vertical="center" wrapText="1"/>
    </xf>
    <xf numFmtId="0" fontId="16" fillId="0" borderId="14" xfId="1" applyFont="1" applyFill="1" applyBorder="1" applyAlignment="1">
      <alignment horizontal="justify" vertical="center" wrapText="1"/>
    </xf>
    <xf numFmtId="0" fontId="17" fillId="0" borderId="12" xfId="1" applyFont="1" applyFill="1" applyBorder="1" applyAlignment="1">
      <alignment horizontal="justify" vertical="center" wrapText="1"/>
    </xf>
    <xf numFmtId="0" fontId="17" fillId="0" borderId="13" xfId="1" applyFont="1" applyFill="1" applyBorder="1" applyAlignment="1">
      <alignment horizontal="justify" vertical="center" wrapText="1"/>
    </xf>
    <xf numFmtId="0" fontId="17" fillId="0" borderId="14" xfId="1" applyFont="1" applyFill="1" applyBorder="1" applyAlignment="1">
      <alignment horizontal="justify" vertical="center" wrapText="1"/>
    </xf>
    <xf numFmtId="0" fontId="14" fillId="0" borderId="0" xfId="1" applyFont="1" applyFill="1" applyAlignment="1">
      <alignment horizontal="left" vertical="center" wrapText="1"/>
    </xf>
    <xf numFmtId="0" fontId="14" fillId="0" borderId="12" xfId="1" applyFont="1" applyFill="1" applyBorder="1" applyAlignment="1">
      <alignment horizontal="left" vertical="top" wrapText="1"/>
    </xf>
    <xf numFmtId="0" fontId="14" fillId="0" borderId="13" xfId="1" applyFont="1" applyFill="1" applyBorder="1" applyAlignment="1">
      <alignment horizontal="left" vertical="top" wrapText="1"/>
    </xf>
    <xf numFmtId="0" fontId="14" fillId="0" borderId="14" xfId="1" applyFont="1" applyFill="1" applyBorder="1" applyAlignment="1">
      <alignment horizontal="left" vertical="top" wrapText="1"/>
    </xf>
    <xf numFmtId="0" fontId="14" fillId="0" borderId="16" xfId="1" applyFont="1" applyFill="1" applyBorder="1" applyAlignment="1">
      <alignment horizontal="left" vertical="top" wrapText="1"/>
    </xf>
    <xf numFmtId="0" fontId="14" fillId="0" borderId="0" xfId="1" applyFont="1" applyFill="1" applyBorder="1" applyAlignment="1">
      <alignment horizontal="left" vertical="top" wrapText="1"/>
    </xf>
    <xf numFmtId="0" fontId="14" fillId="0" borderId="11" xfId="1" applyFont="1" applyFill="1" applyBorder="1" applyAlignment="1">
      <alignment horizontal="left" vertical="top" wrapText="1"/>
    </xf>
    <xf numFmtId="0" fontId="14" fillId="0" borderId="9" xfId="1" applyFont="1" applyFill="1" applyBorder="1" applyAlignment="1">
      <alignment horizontal="left" vertical="top" wrapText="1"/>
    </xf>
    <xf numFmtId="0" fontId="14" fillId="0" borderId="10" xfId="1" applyFont="1" applyFill="1" applyBorder="1" applyAlignment="1">
      <alignment horizontal="left" vertical="top" wrapText="1"/>
    </xf>
    <xf numFmtId="0" fontId="14" fillId="0" borderId="8" xfId="1" applyFont="1" applyFill="1" applyBorder="1" applyAlignment="1">
      <alignment horizontal="left" vertical="top" wrapText="1"/>
    </xf>
    <xf numFmtId="0" fontId="14" fillId="0" borderId="14" xfId="1" applyFont="1" applyFill="1" applyBorder="1" applyAlignment="1">
      <alignment horizontal="center" vertical="center" wrapText="1"/>
    </xf>
    <xf numFmtId="0" fontId="22" fillId="0" borderId="2" xfId="1" applyFont="1" applyFill="1" applyBorder="1" applyAlignment="1">
      <alignment horizontal="center" vertical="center" wrapText="1"/>
    </xf>
    <xf numFmtId="0" fontId="15" fillId="0" borderId="8" xfId="1" applyFont="1" applyFill="1" applyBorder="1" applyAlignment="1">
      <alignment horizontal="right" vertical="center" wrapText="1"/>
    </xf>
    <xf numFmtId="9" fontId="15" fillId="0" borderId="8" xfId="1" applyNumberFormat="1" applyFont="1" applyFill="1" applyBorder="1" applyAlignment="1">
      <alignment horizontal="center" vertical="center" wrapText="1"/>
    </xf>
    <xf numFmtId="0" fontId="14" fillId="0" borderId="5" xfId="1" quotePrefix="1" applyFont="1" applyFill="1" applyBorder="1" applyAlignment="1">
      <alignment horizontal="center" vertical="center" wrapText="1"/>
    </xf>
    <xf numFmtId="0" fontId="14" fillId="0" borderId="6" xfId="1" applyFont="1" applyFill="1" applyBorder="1" applyAlignment="1">
      <alignment vertical="center" wrapText="1"/>
    </xf>
    <xf numFmtId="0" fontId="14" fillId="0" borderId="15" xfId="1" quotePrefix="1" applyFont="1" applyFill="1" applyBorder="1" applyAlignment="1">
      <alignment horizontal="center" vertical="center" wrapText="1"/>
    </xf>
    <xf numFmtId="0" fontId="14" fillId="0" borderId="7" xfId="1" quotePrefix="1" applyFont="1" applyFill="1" applyBorder="1" applyAlignment="1">
      <alignment horizontal="center" vertical="center" wrapText="1"/>
    </xf>
    <xf numFmtId="0" fontId="14" fillId="0" borderId="6" xfId="1" applyFont="1" applyFill="1" applyBorder="1" applyAlignment="1">
      <alignment horizontal="center" vertical="center" wrapText="1"/>
    </xf>
    <xf numFmtId="0" fontId="14" fillId="0" borderId="5" xfId="1" applyFont="1" applyFill="1" applyBorder="1" applyAlignment="1">
      <alignment vertical="center" wrapText="1"/>
    </xf>
    <xf numFmtId="0" fontId="14" fillId="0" borderId="15" xfId="1" applyFont="1" applyFill="1" applyBorder="1" applyAlignment="1">
      <alignment vertical="center" wrapText="1"/>
    </xf>
    <xf numFmtId="0" fontId="14" fillId="0" borderId="7" xfId="1" applyFont="1" applyFill="1" applyBorder="1" applyAlignment="1">
      <alignment vertical="center" wrapText="1"/>
    </xf>
    <xf numFmtId="0" fontId="14" fillId="0" borderId="5" xfId="1" applyFont="1" applyFill="1" applyBorder="1" applyAlignment="1">
      <alignment horizontal="left" vertical="center" wrapText="1"/>
    </xf>
    <xf numFmtId="0" fontId="14" fillId="0" borderId="15" xfId="1" applyFont="1" applyFill="1" applyBorder="1" applyAlignment="1">
      <alignment horizontal="left" vertical="center" wrapText="1"/>
    </xf>
    <xf numFmtId="0" fontId="14" fillId="0" borderId="7" xfId="1" applyFont="1" applyFill="1" applyBorder="1" applyAlignment="1">
      <alignment horizontal="left" vertical="center" wrapText="1"/>
    </xf>
    <xf numFmtId="0" fontId="14" fillId="0" borderId="7" xfId="1" applyFont="1" applyFill="1" applyBorder="1" applyAlignment="1">
      <alignment horizontal="left" vertical="center" wrapText="1"/>
    </xf>
    <xf numFmtId="0" fontId="15" fillId="0" borderId="14" xfId="1" applyFont="1" applyFill="1" applyBorder="1" applyAlignment="1">
      <alignment horizontal="justify" vertical="center" wrapText="1"/>
    </xf>
    <xf numFmtId="0" fontId="14" fillId="0" borderId="12" xfId="1" applyFont="1" applyFill="1" applyBorder="1" applyAlignment="1">
      <alignment horizontal="center" vertical="center" wrapText="1"/>
    </xf>
    <xf numFmtId="0" fontId="14" fillId="0" borderId="13" xfId="1" applyFont="1" applyFill="1" applyBorder="1" applyAlignment="1">
      <alignment horizontal="center" vertical="center" wrapText="1"/>
    </xf>
    <xf numFmtId="14" fontId="15" fillId="0" borderId="11" xfId="1" applyNumberFormat="1" applyFont="1" applyFill="1" applyBorder="1" applyAlignment="1">
      <alignment horizontal="justify" vertical="center" wrapText="1"/>
    </xf>
    <xf numFmtId="0" fontId="15" fillId="0" borderId="16" xfId="1" applyFont="1" applyFill="1" applyBorder="1" applyAlignment="1">
      <alignment horizontal="left" vertical="center" wrapText="1"/>
    </xf>
    <xf numFmtId="0" fontId="15" fillId="0" borderId="0" xfId="1" applyFont="1" applyFill="1" applyAlignment="1">
      <alignment horizontal="left" vertical="center" wrapText="1"/>
    </xf>
    <xf numFmtId="0" fontId="15" fillId="0" borderId="11" xfId="1" applyFont="1" applyFill="1" applyBorder="1" applyAlignment="1">
      <alignment horizontal="left" vertical="center" wrapText="1"/>
    </xf>
    <xf numFmtId="0" fontId="14" fillId="0" borderId="16" xfId="1" applyFont="1" applyFill="1" applyBorder="1" applyAlignment="1">
      <alignment horizontal="center" vertical="center" wrapText="1"/>
    </xf>
    <xf numFmtId="0" fontId="14" fillId="0" borderId="0" xfId="1" applyFont="1" applyFill="1" applyAlignment="1">
      <alignment horizontal="center" vertical="center" wrapText="1"/>
    </xf>
    <xf numFmtId="0" fontId="14" fillId="0" borderId="11" xfId="1" applyFont="1" applyFill="1" applyBorder="1" applyAlignment="1">
      <alignment horizontal="center" vertical="center" wrapText="1"/>
    </xf>
    <xf numFmtId="0" fontId="20" fillId="0" borderId="16" xfId="1" applyFont="1" applyFill="1" applyBorder="1" applyAlignment="1">
      <alignment horizontal="left" vertical="center" wrapText="1"/>
    </xf>
    <xf numFmtId="0" fontId="20" fillId="0" borderId="0" xfId="1" applyFont="1" applyFill="1" applyAlignment="1">
      <alignment horizontal="left" vertical="center" wrapText="1"/>
    </xf>
    <xf numFmtId="0" fontId="20" fillId="0" borderId="11" xfId="1" applyFont="1" applyFill="1" applyBorder="1" applyAlignment="1">
      <alignment horizontal="left" vertical="center" wrapText="1"/>
    </xf>
    <xf numFmtId="0" fontId="15" fillId="0" borderId="9" xfId="1" applyFont="1" applyFill="1" applyBorder="1" applyAlignment="1">
      <alignment horizontal="left" vertical="center" wrapText="1"/>
    </xf>
    <xf numFmtId="0" fontId="15" fillId="0" borderId="10" xfId="1" applyFont="1" applyFill="1" applyBorder="1" applyAlignment="1">
      <alignment horizontal="left" vertical="center" wrapText="1"/>
    </xf>
    <xf numFmtId="0" fontId="15" fillId="0" borderId="8" xfId="1" applyFont="1" applyFill="1" applyBorder="1" applyAlignment="1">
      <alignment horizontal="left" vertical="center" wrapText="1"/>
    </xf>
    <xf numFmtId="0" fontId="14" fillId="0" borderId="3" xfId="1" applyFont="1" applyFill="1" applyBorder="1" applyAlignment="1">
      <alignment horizontal="left" vertical="center" wrapText="1"/>
    </xf>
    <xf numFmtId="0" fontId="14" fillId="0" borderId="4" xfId="1" applyFont="1" applyFill="1" applyBorder="1" applyAlignment="1">
      <alignment horizontal="left" vertical="center" wrapText="1"/>
    </xf>
    <xf numFmtId="0" fontId="14" fillId="0" borderId="2" xfId="1" applyFont="1" applyFill="1" applyBorder="1" applyAlignment="1">
      <alignment horizontal="left" vertical="center" wrapText="1"/>
    </xf>
    <xf numFmtId="0" fontId="14" fillId="0" borderId="2" xfId="1" applyFont="1" applyFill="1" applyBorder="1" applyAlignment="1">
      <alignment horizontal="justify" vertical="center" wrapText="1"/>
    </xf>
    <xf numFmtId="0" fontId="14" fillId="0" borderId="1" xfId="1" applyFont="1" applyFill="1" applyBorder="1" applyAlignment="1">
      <alignment horizontal="justify" vertical="center" wrapText="1"/>
    </xf>
    <xf numFmtId="0" fontId="14" fillId="0" borderId="7" xfId="1" applyFont="1" applyFill="1" applyBorder="1" applyAlignment="1">
      <alignment horizontal="justify" vertical="center" wrapText="1"/>
    </xf>
    <xf numFmtId="0" fontId="14" fillId="0" borderId="16" xfId="1" applyFont="1" applyFill="1" applyBorder="1" applyAlignment="1">
      <alignment horizontal="left" wrapText="1"/>
    </xf>
    <xf numFmtId="0" fontId="14" fillId="0" borderId="0" xfId="1" applyFont="1" applyFill="1" applyAlignment="1">
      <alignment horizontal="left" wrapText="1"/>
    </xf>
    <xf numFmtId="0" fontId="14" fillId="0" borderId="11" xfId="1" applyFont="1" applyFill="1" applyBorder="1" applyAlignment="1">
      <alignment horizontal="left" wrapText="1"/>
    </xf>
    <xf numFmtId="0" fontId="14" fillId="0" borderId="9" xfId="1" applyFont="1" applyFill="1" applyBorder="1" applyAlignment="1">
      <alignment horizontal="left" wrapText="1"/>
    </xf>
    <xf numFmtId="0" fontId="14" fillId="0" borderId="10" xfId="1" applyFont="1" applyFill="1" applyBorder="1" applyAlignment="1">
      <alignment horizontal="left" wrapText="1"/>
    </xf>
    <xf numFmtId="0" fontId="14" fillId="0" borderId="8" xfId="1" applyFont="1" applyFill="1" applyBorder="1" applyAlignment="1">
      <alignment horizontal="left" wrapText="1"/>
    </xf>
    <xf numFmtId="0" fontId="16" fillId="0" borderId="9" xfId="1" applyFont="1" applyFill="1" applyBorder="1" applyAlignment="1">
      <alignment horizontal="left" wrapText="1"/>
    </xf>
    <xf numFmtId="0" fontId="16" fillId="0" borderId="10" xfId="1" applyFont="1" applyFill="1" applyBorder="1" applyAlignment="1">
      <alignment horizontal="left" wrapText="1"/>
    </xf>
    <xf numFmtId="0" fontId="16" fillId="0" borderId="8" xfId="1" applyFont="1" applyFill="1" applyBorder="1" applyAlignment="1">
      <alignment horizontal="left" wrapText="1"/>
    </xf>
    <xf numFmtId="0" fontId="14" fillId="0" borderId="12" xfId="1" applyFont="1" applyFill="1" applyBorder="1" applyAlignment="1">
      <alignment horizontal="left" wrapText="1"/>
    </xf>
    <xf numFmtId="0" fontId="14" fillId="0" borderId="13" xfId="1" applyFont="1" applyFill="1" applyBorder="1" applyAlignment="1">
      <alignment horizontal="left" wrapText="1"/>
    </xf>
    <xf numFmtId="0" fontId="14" fillId="0" borderId="14" xfId="1" applyFont="1" applyFill="1" applyBorder="1" applyAlignment="1">
      <alignment horizontal="left" wrapText="1"/>
    </xf>
    <xf numFmtId="0" fontId="16" fillId="0" borderId="9" xfId="1" applyFont="1" applyFill="1" applyBorder="1" applyAlignment="1">
      <alignment horizontal="left" vertical="center" wrapText="1"/>
    </xf>
    <xf numFmtId="0" fontId="16" fillId="0" borderId="10" xfId="1" applyFont="1" applyFill="1" applyBorder="1" applyAlignment="1">
      <alignment horizontal="left" vertical="center" wrapText="1"/>
    </xf>
    <xf numFmtId="0" fontId="16" fillId="0" borderId="8" xfId="1" applyFont="1" applyFill="1" applyBorder="1" applyAlignment="1">
      <alignment horizontal="left" vertical="center" wrapText="1"/>
    </xf>
    <xf numFmtId="0" fontId="15" fillId="0" borderId="0" xfId="4" applyFont="1" applyFill="1" applyAlignment="1">
      <alignment horizontal="left" vertical="center"/>
    </xf>
    <xf numFmtId="0" fontId="15" fillId="0" borderId="22" xfId="4" applyFont="1" applyFill="1" applyBorder="1" applyAlignment="1">
      <alignment horizontal="left" vertical="center"/>
    </xf>
    <xf numFmtId="0" fontId="15" fillId="0" borderId="22" xfId="4" applyFont="1" applyFill="1" applyBorder="1" applyAlignment="1">
      <alignment horizontal="left" vertical="center" wrapText="1"/>
    </xf>
    <xf numFmtId="0" fontId="15" fillId="0" borderId="22" xfId="4" applyFont="1" applyFill="1" applyBorder="1" applyAlignment="1">
      <alignment horizontal="left" vertical="center"/>
    </xf>
    <xf numFmtId="0" fontId="14" fillId="0" borderId="22" xfId="4" applyFont="1" applyFill="1" applyBorder="1" applyAlignment="1">
      <alignment horizontal="left" vertical="center"/>
    </xf>
    <xf numFmtId="0" fontId="14" fillId="0" borderId="0" xfId="3" applyFont="1" applyFill="1" applyAlignment="1">
      <alignment horizontal="left" vertical="center"/>
    </xf>
    <xf numFmtId="0" fontId="14" fillId="0" borderId="0" xfId="3" applyFont="1" applyFill="1" applyAlignment="1">
      <alignment horizontal="left" wrapText="1"/>
    </xf>
    <xf numFmtId="0" fontId="22" fillId="0" borderId="0" xfId="3" applyFont="1" applyFill="1" applyAlignment="1">
      <alignment horizontal="left"/>
    </xf>
    <xf numFmtId="0" fontId="22" fillId="0" borderId="0" xfId="3" applyFont="1" applyFill="1" applyAlignment="1">
      <alignment horizontal="left" wrapText="1"/>
    </xf>
    <xf numFmtId="0" fontId="14" fillId="0" borderId="0" xfId="3" applyFont="1" applyFill="1" applyAlignment="1">
      <alignment horizontal="left" vertical="center" wrapText="1"/>
    </xf>
    <xf numFmtId="0" fontId="22" fillId="0" borderId="0" xfId="3" applyFont="1" applyFill="1" applyAlignment="1">
      <alignment horizontal="left" vertical="center"/>
    </xf>
    <xf numFmtId="0" fontId="14" fillId="0" borderId="0" xfId="3" applyFont="1" applyFill="1" applyAlignment="1">
      <alignment horizontal="left"/>
    </xf>
    <xf numFmtId="0" fontId="15" fillId="0" borderId="1" xfId="4" applyFont="1" applyFill="1" applyBorder="1" applyAlignment="1">
      <alignment horizontal="left" vertical="center" wrapText="1"/>
    </xf>
    <xf numFmtId="0" fontId="14" fillId="0" borderId="1" xfId="3" applyFont="1" applyFill="1" applyBorder="1" applyAlignment="1">
      <alignment horizontal="left" vertical="center"/>
    </xf>
    <xf numFmtId="0" fontId="14" fillId="0" borderId="1" xfId="3" applyFont="1" applyFill="1" applyBorder="1" applyAlignment="1">
      <alignment horizontal="left" vertical="center" wrapText="1"/>
    </xf>
    <xf numFmtId="0" fontId="14" fillId="0" borderId="1" xfId="4" applyFont="1" applyFill="1" applyBorder="1" applyAlignment="1">
      <alignment horizontal="left" vertical="center" wrapText="1"/>
    </xf>
    <xf numFmtId="0" fontId="17" fillId="0" borderId="1" xfId="4" applyFont="1" applyFill="1" applyBorder="1" applyAlignment="1">
      <alignment horizontal="left" vertical="center" wrapText="1"/>
    </xf>
    <xf numFmtId="0" fontId="14" fillId="0" borderId="1" xfId="4" applyFont="1" applyFill="1" applyBorder="1" applyAlignment="1">
      <alignment horizontal="left" vertical="center" wrapText="1"/>
    </xf>
    <xf numFmtId="0" fontId="15" fillId="0" borderId="1" xfId="4" applyFont="1" applyFill="1" applyBorder="1" applyAlignment="1">
      <alignment horizontal="left" vertical="center" wrapText="1"/>
    </xf>
    <xf numFmtId="0" fontId="16" fillId="0" borderId="1" xfId="4" applyFont="1" applyFill="1" applyBorder="1" applyAlignment="1">
      <alignment horizontal="left" vertical="center" wrapText="1"/>
    </xf>
    <xf numFmtId="0" fontId="21" fillId="0" borderId="1" xfId="4" applyFont="1" applyFill="1" applyBorder="1" applyAlignment="1">
      <alignment horizontal="left" vertical="center" wrapText="1"/>
    </xf>
    <xf numFmtId="3" fontId="14" fillId="0" borderId="1" xfId="4" applyNumberFormat="1" applyFont="1" applyFill="1" applyBorder="1" applyAlignment="1">
      <alignment horizontal="left" vertical="center" wrapText="1"/>
    </xf>
    <xf numFmtId="0" fontId="14" fillId="0" borderId="5" xfId="4" applyFont="1" applyFill="1" applyBorder="1" applyAlignment="1">
      <alignment horizontal="left" vertical="center" wrapText="1"/>
    </xf>
    <xf numFmtId="0" fontId="14" fillId="0" borderId="15" xfId="4" applyFont="1" applyFill="1" applyBorder="1" applyAlignment="1">
      <alignment horizontal="left" vertical="center" wrapText="1"/>
    </xf>
    <xf numFmtId="0" fontId="14" fillId="0" borderId="7" xfId="4" applyFont="1" applyFill="1" applyBorder="1" applyAlignment="1">
      <alignment horizontal="left" vertical="center" wrapText="1"/>
    </xf>
    <xf numFmtId="0" fontId="14" fillId="0" borderId="1" xfId="4" applyFont="1" applyFill="1" applyBorder="1" applyAlignment="1">
      <alignment horizontal="left" vertical="center"/>
    </xf>
    <xf numFmtId="0" fontId="22" fillId="0" borderId="1" xfId="4" applyFont="1" applyFill="1" applyBorder="1" applyAlignment="1">
      <alignment horizontal="left" vertical="center" wrapText="1"/>
    </xf>
    <xf numFmtId="0" fontId="14" fillId="0" borderId="1" xfId="3" applyFont="1" applyFill="1" applyBorder="1" applyAlignment="1">
      <alignment horizontal="left" vertical="center" wrapText="1"/>
    </xf>
    <xf numFmtId="0" fontId="14" fillId="0" borderId="1" xfId="4" applyFont="1" applyFill="1" applyBorder="1" applyAlignment="1">
      <alignment horizontal="left" vertical="top" wrapText="1"/>
    </xf>
    <xf numFmtId="0" fontId="14" fillId="0" borderId="1" xfId="3" applyFont="1" applyFill="1" applyBorder="1" applyAlignment="1">
      <alignment horizontal="left" vertical="center"/>
    </xf>
    <xf numFmtId="0" fontId="14" fillId="0" borderId="1" xfId="4" applyFont="1" applyFill="1" applyBorder="1" applyAlignment="1">
      <alignment horizontal="left" vertical="center"/>
    </xf>
    <xf numFmtId="0" fontId="15" fillId="0" borderId="0" xfId="3" applyFont="1" applyFill="1" applyAlignment="1">
      <alignment horizontal="left"/>
    </xf>
    <xf numFmtId="0" fontId="14" fillId="0" borderId="0" xfId="3" applyFont="1" applyFill="1" applyAlignment="1">
      <alignment horizontal="left" vertical="top"/>
    </xf>
    <xf numFmtId="0" fontId="14" fillId="0" borderId="0" xfId="3" applyFont="1" applyFill="1" applyAlignment="1">
      <alignment horizontal="left" vertical="top" wrapText="1"/>
    </xf>
    <xf numFmtId="0" fontId="14" fillId="0" borderId="0" xfId="3" applyFont="1" applyFill="1" applyAlignment="1">
      <alignment horizontal="center" vertical="center"/>
    </xf>
    <xf numFmtId="0" fontId="14" fillId="0" borderId="0" xfId="3" applyFont="1" applyFill="1" applyBorder="1" applyAlignment="1">
      <alignment horizontal="center" vertical="center"/>
    </xf>
    <xf numFmtId="0" fontId="15" fillId="0" borderId="0" xfId="4" applyFont="1" applyFill="1" applyAlignment="1">
      <alignment horizontal="left" vertical="top"/>
    </xf>
    <xf numFmtId="0" fontId="14" fillId="0" borderId="0" xfId="3" applyFont="1" applyFill="1" applyBorder="1" applyAlignment="1">
      <alignment horizontal="left" vertical="top"/>
    </xf>
    <xf numFmtId="0" fontId="15" fillId="0" borderId="22" xfId="4" applyFont="1" applyFill="1" applyBorder="1" applyAlignment="1">
      <alignment horizontal="left" vertical="top"/>
    </xf>
    <xf numFmtId="0" fontId="15" fillId="0" borderId="23" xfId="4" applyFont="1" applyFill="1" applyBorder="1" applyAlignment="1">
      <alignment horizontal="center" vertical="center"/>
    </xf>
    <xf numFmtId="0" fontId="15" fillId="0" borderId="22" xfId="4" applyFont="1" applyFill="1" applyBorder="1" applyAlignment="1">
      <alignment horizontal="left" vertical="top"/>
    </xf>
    <xf numFmtId="0" fontId="14" fillId="0" borderId="22" xfId="4" applyFont="1" applyFill="1" applyBorder="1" applyAlignment="1">
      <alignment horizontal="left" vertical="top"/>
    </xf>
    <xf numFmtId="0" fontId="22" fillId="0" borderId="0" xfId="3" applyFont="1" applyFill="1" applyAlignment="1">
      <alignment horizontal="left" vertical="top"/>
    </xf>
    <xf numFmtId="0" fontId="22" fillId="0" borderId="0" xfId="3" applyFont="1" applyFill="1" applyAlignment="1">
      <alignment horizontal="left" vertical="top" wrapText="1"/>
    </xf>
    <xf numFmtId="0" fontId="22" fillId="0" borderId="0" xfId="3" applyFont="1" applyFill="1" applyAlignment="1">
      <alignment horizontal="center" vertical="center"/>
    </xf>
    <xf numFmtId="0" fontId="15" fillId="0" borderId="0" xfId="3" applyFont="1" applyFill="1" applyAlignment="1">
      <alignment horizontal="left" vertical="top" wrapText="1"/>
    </xf>
    <xf numFmtId="0" fontId="22" fillId="0" borderId="0" xfId="3" applyFont="1" applyFill="1" applyBorder="1" applyAlignment="1">
      <alignment horizontal="left" vertical="top" wrapText="1"/>
    </xf>
    <xf numFmtId="0" fontId="15" fillId="0" borderId="6" xfId="0" applyFont="1" applyFill="1" applyBorder="1" applyAlignment="1">
      <alignment horizontal="left" vertical="top" wrapText="1"/>
    </xf>
    <xf numFmtId="0" fontId="15" fillId="0" borderId="6" xfId="0" applyFont="1" applyFill="1" applyBorder="1" applyAlignment="1">
      <alignment horizontal="center" vertical="center" wrapText="1"/>
    </xf>
    <xf numFmtId="0" fontId="14" fillId="0" borderId="6" xfId="3" applyFont="1" applyFill="1" applyBorder="1" applyAlignment="1">
      <alignment horizontal="left" vertical="top" wrapText="1"/>
    </xf>
    <xf numFmtId="0" fontId="14" fillId="0" borderId="6" xfId="3" applyFont="1" applyFill="1" applyBorder="1" applyAlignment="1">
      <alignment horizontal="center" vertical="center"/>
    </xf>
    <xf numFmtId="164" fontId="14" fillId="0" borderId="6" xfId="7" applyNumberFormat="1" applyFont="1" applyFill="1" applyBorder="1" applyAlignment="1">
      <alignment horizontal="center" vertical="center"/>
    </xf>
    <xf numFmtId="0" fontId="14" fillId="0" borderId="6" xfId="7" applyNumberFormat="1" applyFont="1" applyFill="1" applyBorder="1" applyAlignment="1">
      <alignment horizontal="center" vertical="center"/>
    </xf>
    <xf numFmtId="164" fontId="14" fillId="0" borderId="6" xfId="3" applyNumberFormat="1" applyFont="1" applyFill="1" applyBorder="1" applyAlignment="1">
      <alignment horizontal="center" vertical="center"/>
    </xf>
    <xf numFmtId="0" fontId="14" fillId="0" borderId="6" xfId="3" applyNumberFormat="1" applyFont="1" applyFill="1" applyBorder="1" applyAlignment="1">
      <alignment horizontal="center" vertical="center"/>
    </xf>
    <xf numFmtId="0" fontId="14" fillId="0" borderId="6" xfId="0" applyFont="1" applyFill="1" applyBorder="1" applyAlignment="1">
      <alignment horizontal="left" vertical="center" wrapText="1"/>
    </xf>
    <xf numFmtId="0" fontId="14" fillId="0" borderId="6" xfId="0" applyFont="1" applyFill="1" applyBorder="1" applyAlignment="1">
      <alignment horizontal="left" vertical="top" wrapText="1"/>
    </xf>
    <xf numFmtId="0" fontId="14" fillId="0" borderId="6" xfId="0" applyFont="1" applyFill="1" applyBorder="1" applyAlignment="1">
      <alignment horizontal="left" vertical="top" wrapText="1"/>
    </xf>
    <xf numFmtId="0" fontId="14" fillId="0" borderId="6"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18"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14" fillId="0" borderId="6" xfId="0" applyFont="1" applyFill="1" applyBorder="1" applyAlignment="1">
      <alignment horizontal="center" vertical="top" wrapText="1"/>
    </xf>
    <xf numFmtId="0" fontId="14" fillId="0" borderId="6" xfId="0" applyFont="1" applyFill="1" applyBorder="1" applyAlignment="1">
      <alignment horizontal="center" vertical="center" wrapText="1"/>
    </xf>
    <xf numFmtId="0" fontId="14" fillId="0" borderId="24" xfId="3" applyFont="1" applyFill="1" applyBorder="1" applyAlignment="1">
      <alignment vertical="top" wrapText="1"/>
    </xf>
    <xf numFmtId="0" fontId="14" fillId="0" borderId="6" xfId="3" applyFont="1" applyFill="1" applyBorder="1" applyAlignment="1">
      <alignment horizontal="center" vertical="center" wrapText="1"/>
    </xf>
    <xf numFmtId="0" fontId="14" fillId="0" borderId="22" xfId="3" applyFont="1" applyFill="1" applyBorder="1" applyAlignment="1">
      <alignment horizontal="left" vertical="top" wrapText="1"/>
    </xf>
    <xf numFmtId="0" fontId="14" fillId="0" borderId="22" xfId="3" applyFont="1" applyFill="1" applyBorder="1" applyAlignment="1">
      <alignment horizontal="left" wrapText="1"/>
    </xf>
    <xf numFmtId="0" fontId="14" fillId="0" borderId="27" xfId="3" applyFont="1" applyFill="1" applyBorder="1" applyAlignment="1">
      <alignment wrapText="1"/>
    </xf>
    <xf numFmtId="0" fontId="14" fillId="0" borderId="22" xfId="3" applyFont="1" applyFill="1" applyBorder="1" applyAlignment="1">
      <alignment horizontal="center" vertical="center" wrapText="1"/>
    </xf>
    <xf numFmtId="0" fontId="14" fillId="0" borderId="28" xfId="3" applyFont="1" applyFill="1" applyBorder="1" applyAlignment="1">
      <alignment wrapText="1"/>
    </xf>
    <xf numFmtId="0" fontId="14" fillId="0" borderId="29" xfId="3" applyFont="1" applyFill="1" applyBorder="1" applyAlignment="1">
      <alignment wrapText="1"/>
    </xf>
    <xf numFmtId="0" fontId="14" fillId="0" borderId="6" xfId="3" applyFont="1" applyFill="1" applyBorder="1" applyAlignment="1">
      <alignment horizontal="center" vertical="top"/>
    </xf>
    <xf numFmtId="0" fontId="15" fillId="0" borderId="0" xfId="3" applyFont="1" applyFill="1" applyAlignment="1">
      <alignment horizontal="center" vertical="center" wrapText="1"/>
    </xf>
    <xf numFmtId="0" fontId="14" fillId="0" borderId="6" xfId="3" applyFont="1" applyFill="1" applyBorder="1" applyAlignment="1">
      <alignment horizontal="left" vertical="top"/>
    </xf>
    <xf numFmtId="0" fontId="14" fillId="0" borderId="6" xfId="3" applyFont="1" applyFill="1" applyBorder="1" applyAlignment="1">
      <alignment horizontal="center" vertical="center"/>
    </xf>
    <xf numFmtId="0" fontId="14" fillId="0" borderId="24" xfId="3" applyFont="1" applyFill="1" applyBorder="1" applyAlignment="1">
      <alignment wrapText="1"/>
    </xf>
    <xf numFmtId="0" fontId="14" fillId="0" borderId="24" xfId="3" applyFont="1" applyFill="1" applyBorder="1" applyAlignment="1">
      <alignment horizontal="left" wrapText="1"/>
    </xf>
    <xf numFmtId="0" fontId="15" fillId="0" borderId="0" xfId="4" applyFont="1" applyFill="1" applyAlignment="1">
      <alignment horizontal="center" vertical="center"/>
    </xf>
    <xf numFmtId="0" fontId="15" fillId="0" borderId="22" xfId="4" applyFont="1" applyFill="1" applyBorder="1" applyAlignment="1">
      <alignment horizontal="center" vertical="center"/>
    </xf>
    <xf numFmtId="0" fontId="15" fillId="0" borderId="22" xfId="4" applyFont="1" applyFill="1" applyBorder="1" applyAlignment="1">
      <alignment vertical="center"/>
    </xf>
    <xf numFmtId="0" fontId="14" fillId="0" borderId="22" xfId="4" applyFont="1" applyFill="1" applyBorder="1" applyAlignment="1">
      <alignment horizontal="center" vertical="center"/>
    </xf>
    <xf numFmtId="0" fontId="14" fillId="0" borderId="0" xfId="3" applyFont="1" applyFill="1"/>
    <xf numFmtId="0" fontId="14" fillId="0" borderId="0" xfId="3" applyFont="1" applyFill="1" applyAlignment="1">
      <alignment wrapText="1"/>
    </xf>
    <xf numFmtId="0" fontId="22" fillId="0" borderId="0" xfId="3" applyFont="1" applyFill="1" applyAlignment="1">
      <alignment horizontal="center"/>
    </xf>
    <xf numFmtId="0" fontId="15" fillId="0" borderId="0" xfId="3" applyFont="1" applyFill="1" applyAlignment="1">
      <alignment vertical="center" wrapText="1"/>
    </xf>
    <xf numFmtId="0" fontId="22" fillId="0" borderId="0" xfId="3" applyFont="1" applyFill="1" applyBorder="1" applyAlignment="1">
      <alignment horizontal="center"/>
    </xf>
    <xf numFmtId="0" fontId="22" fillId="0" borderId="0" xfId="3" applyFont="1" applyFill="1" applyAlignment="1">
      <alignment horizontal="center" vertical="center"/>
    </xf>
    <xf numFmtId="0" fontId="15" fillId="0" borderId="0" xfId="0" applyFont="1" applyFill="1" applyAlignment="1">
      <alignment horizontal="center" vertical="center"/>
    </xf>
    <xf numFmtId="0" fontId="14" fillId="0" borderId="0" xfId="3" applyFont="1" applyFill="1" applyAlignment="1">
      <alignment horizontal="center" vertical="center" wrapText="1"/>
    </xf>
    <xf numFmtId="0" fontId="15" fillId="0" borderId="41" xfId="0" applyFont="1" applyFill="1" applyBorder="1" applyAlignment="1">
      <alignment horizontal="center" vertical="center" wrapText="1"/>
    </xf>
    <xf numFmtId="0" fontId="15" fillId="0" borderId="42" xfId="0" applyFont="1" applyFill="1" applyBorder="1" applyAlignment="1">
      <alignment horizontal="center" vertical="center" wrapText="1"/>
    </xf>
    <xf numFmtId="0" fontId="14" fillId="0" borderId="6" xfId="3" applyFont="1" applyFill="1" applyBorder="1" applyAlignment="1">
      <alignment wrapText="1"/>
    </xf>
    <xf numFmtId="1" fontId="15" fillId="0" borderId="30" xfId="3" applyNumberFormat="1" applyFont="1" applyFill="1" applyBorder="1" applyAlignment="1">
      <alignment horizontal="center" vertical="center"/>
    </xf>
    <xf numFmtId="1" fontId="15" fillId="0" borderId="36" xfId="3" applyNumberFormat="1" applyFont="1" applyFill="1" applyBorder="1" applyAlignment="1">
      <alignment horizontal="center" vertical="center"/>
    </xf>
    <xf numFmtId="1" fontId="15" fillId="0" borderId="44" xfId="3" applyNumberFormat="1" applyFont="1" applyFill="1" applyBorder="1" applyAlignment="1">
      <alignment horizontal="center" vertical="center"/>
    </xf>
    <xf numFmtId="0" fontId="14" fillId="0" borderId="6" xfId="3" applyNumberFormat="1" applyFont="1" applyFill="1" applyBorder="1" applyAlignment="1">
      <alignment horizontal="center" vertical="center" wrapText="1"/>
    </xf>
    <xf numFmtId="0" fontId="14" fillId="0" borderId="6" xfId="3" applyNumberFormat="1" applyFont="1" applyFill="1" applyBorder="1" applyAlignment="1">
      <alignment horizontal="justify" vertical="center" wrapText="1"/>
    </xf>
    <xf numFmtId="0" fontId="14" fillId="0" borderId="6" xfId="0" applyFont="1" applyFill="1" applyBorder="1" applyAlignment="1">
      <alignment horizontal="justify" vertical="center" wrapText="1"/>
    </xf>
    <xf numFmtId="0" fontId="14" fillId="0" borderId="6" xfId="3" applyNumberFormat="1" applyFont="1" applyFill="1" applyBorder="1" applyAlignment="1">
      <alignment vertical="center" wrapText="1"/>
    </xf>
    <xf numFmtId="0" fontId="14" fillId="0" borderId="6" xfId="3" applyNumberFormat="1" applyFont="1" applyFill="1" applyBorder="1" applyAlignment="1">
      <alignment vertical="center"/>
    </xf>
    <xf numFmtId="0" fontId="14" fillId="0" borderId="6" xfId="3" applyNumberFormat="1" applyFont="1" applyFill="1" applyBorder="1" applyAlignment="1"/>
    <xf numFmtId="0" fontId="14" fillId="0" borderId="6" xfId="3" applyFont="1" applyFill="1" applyBorder="1" applyAlignment="1">
      <alignment horizontal="center" vertical="center" wrapText="1"/>
    </xf>
    <xf numFmtId="0" fontId="14" fillId="0" borderId="0" xfId="3" applyFont="1" applyFill="1" applyAlignment="1">
      <alignment horizontal="center"/>
    </xf>
    <xf numFmtId="0" fontId="14" fillId="0" borderId="6" xfId="3" applyFont="1" applyFill="1" applyBorder="1"/>
    <xf numFmtId="0" fontId="15" fillId="0" borderId="0" xfId="1" applyFont="1" applyFill="1"/>
    <xf numFmtId="0" fontId="15" fillId="0" borderId="15" xfId="1" applyFont="1" applyFill="1" applyBorder="1" applyAlignment="1">
      <alignment horizontal="center" vertical="center" wrapText="1"/>
    </xf>
    <xf numFmtId="0" fontId="15" fillId="0" borderId="7" xfId="1" applyFont="1" applyFill="1" applyBorder="1" applyAlignment="1">
      <alignment horizontal="center" vertical="center" wrapText="1"/>
    </xf>
    <xf numFmtId="0" fontId="15" fillId="0" borderId="5" xfId="1" quotePrefix="1" applyFont="1" applyFill="1" applyBorder="1" applyAlignment="1">
      <alignment horizontal="center" vertical="center" wrapText="1"/>
    </xf>
    <xf numFmtId="0" fontId="15" fillId="0" borderId="0" xfId="3" applyFont="1" applyFill="1" applyAlignment="1">
      <alignment horizontal="center" vertical="center"/>
    </xf>
    <xf numFmtId="0" fontId="15" fillId="0" borderId="6" xfId="3" applyFont="1" applyFill="1" applyBorder="1" applyAlignment="1">
      <alignment horizontal="center" vertical="center"/>
    </xf>
    <xf numFmtId="0" fontId="15" fillId="0" borderId="6" xfId="0" applyFont="1" applyFill="1" applyBorder="1" applyAlignment="1">
      <alignment horizontal="center" vertical="center" wrapText="1"/>
    </xf>
    <xf numFmtId="0" fontId="15" fillId="0" borderId="6" xfId="3" applyFont="1" applyFill="1" applyBorder="1" applyAlignment="1">
      <alignment horizontal="center" vertical="center"/>
    </xf>
    <xf numFmtId="0" fontId="15" fillId="0" borderId="0" xfId="3" applyFont="1" applyFill="1" applyBorder="1" applyAlignment="1">
      <alignment horizontal="center" vertical="center"/>
    </xf>
    <xf numFmtId="0" fontId="15" fillId="0" borderId="0" xfId="3" applyFont="1" applyFill="1"/>
    <xf numFmtId="0" fontId="15" fillId="0" borderId="44" xfId="3" applyFont="1" applyFill="1" applyBorder="1"/>
    <xf numFmtId="0" fontId="15" fillId="0" borderId="44" xfId="3" applyFont="1" applyFill="1" applyBorder="1" applyAlignment="1">
      <alignment horizontal="center" vertical="center"/>
    </xf>
    <xf numFmtId="0" fontId="15" fillId="0" borderId="44" xfId="3" applyFont="1" applyFill="1" applyBorder="1" applyAlignment="1">
      <alignment horizontal="center" vertical="center" wrapText="1"/>
    </xf>
    <xf numFmtId="0" fontId="14" fillId="0" borderId="0" xfId="1" applyFont="1" applyFill="1" applyBorder="1" applyAlignment="1">
      <alignment horizontal="center" vertical="center" wrapText="1"/>
    </xf>
    <xf numFmtId="0" fontId="14" fillId="0" borderId="9" xfId="1" applyFont="1" applyFill="1" applyBorder="1" applyAlignment="1">
      <alignment horizontal="center" vertical="center" wrapText="1"/>
    </xf>
    <xf numFmtId="0" fontId="14" fillId="0" borderId="10"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14" fillId="0" borderId="12" xfId="1" applyFont="1" applyFill="1" applyBorder="1" applyAlignment="1">
      <alignment vertical="top" wrapText="1"/>
    </xf>
    <xf numFmtId="0" fontId="14" fillId="0" borderId="13" xfId="1" applyFont="1" applyFill="1" applyBorder="1" applyAlignment="1">
      <alignment vertical="top" wrapText="1"/>
    </xf>
    <xf numFmtId="0" fontId="14" fillId="0" borderId="14" xfId="1" applyFont="1" applyFill="1" applyBorder="1" applyAlignment="1">
      <alignment vertical="top" wrapText="1"/>
    </xf>
    <xf numFmtId="0" fontId="14" fillId="0" borderId="0" xfId="1" applyFont="1" applyFill="1" applyBorder="1" applyAlignment="1">
      <alignment vertical="top" wrapText="1"/>
    </xf>
    <xf numFmtId="0" fontId="14" fillId="0" borderId="5" xfId="1" applyFont="1" applyFill="1" applyBorder="1" applyAlignment="1">
      <alignment horizontal="justify" vertical="top" wrapText="1"/>
    </xf>
    <xf numFmtId="0" fontId="14" fillId="0" borderId="15" xfId="1" applyFont="1" applyFill="1" applyBorder="1" applyAlignment="1">
      <alignment horizontal="justify" vertical="top" wrapText="1"/>
    </xf>
    <xf numFmtId="0" fontId="14" fillId="0" borderId="7" xfId="1" applyFont="1" applyFill="1" applyBorder="1" applyAlignment="1">
      <alignment horizontal="justify" vertical="top" wrapText="1"/>
    </xf>
    <xf numFmtId="0" fontId="14" fillId="0" borderId="8" xfId="1" applyFont="1" applyFill="1" applyBorder="1" applyAlignment="1">
      <alignment horizontal="justify" vertical="top" wrapText="1"/>
    </xf>
    <xf numFmtId="0" fontId="14" fillId="0" borderId="20" xfId="1" applyFont="1" applyFill="1" applyBorder="1" applyAlignment="1">
      <alignment horizontal="center" vertical="center" wrapText="1"/>
    </xf>
    <xf numFmtId="0" fontId="14" fillId="0" borderId="21" xfId="1" applyFont="1" applyFill="1" applyBorder="1" applyAlignment="1">
      <alignment horizontal="center" vertical="center" wrapText="1"/>
    </xf>
    <xf numFmtId="0" fontId="14" fillId="0" borderId="5" xfId="3" applyFont="1" applyFill="1" applyBorder="1" applyAlignment="1">
      <alignment horizontal="left" vertical="top" wrapText="1"/>
    </xf>
    <xf numFmtId="0" fontId="14" fillId="0" borderId="7" xfId="3" applyFont="1" applyFill="1" applyBorder="1" applyAlignment="1">
      <alignment horizontal="left" vertical="top" wrapText="1"/>
    </xf>
    <xf numFmtId="0" fontId="14" fillId="0" borderId="6" xfId="0" applyFont="1" applyFill="1" applyBorder="1" applyAlignment="1">
      <alignment horizontal="left" wrapText="1"/>
    </xf>
    <xf numFmtId="0" fontId="14" fillId="0" borderId="5" xfId="3" applyFont="1" applyFill="1" applyBorder="1" applyAlignment="1">
      <alignment horizontal="left" vertical="center" wrapText="1"/>
    </xf>
    <xf numFmtId="0" fontId="14" fillId="0" borderId="15" xfId="3" applyFont="1" applyFill="1" applyBorder="1" applyAlignment="1">
      <alignment horizontal="left" vertical="center" wrapText="1"/>
    </xf>
    <xf numFmtId="0" fontId="14" fillId="0" borderId="7" xfId="3" applyFont="1" applyFill="1" applyBorder="1" applyAlignment="1">
      <alignment horizontal="left" vertical="center" wrapText="1"/>
    </xf>
    <xf numFmtId="0" fontId="14" fillId="0" borderId="1" xfId="5" applyFont="1" applyFill="1" applyBorder="1" applyAlignment="1">
      <alignment horizontal="left" vertical="center" wrapText="1"/>
    </xf>
    <xf numFmtId="0" fontId="14" fillId="0" borderId="1" xfId="6" applyFont="1" applyFill="1" applyBorder="1" applyAlignment="1">
      <alignment horizontal="left" vertical="center" wrapText="1"/>
    </xf>
    <xf numFmtId="0" fontId="14" fillId="0" borderId="1" xfId="6" applyFont="1" applyFill="1" applyBorder="1" applyAlignment="1">
      <alignment horizontal="left" vertical="top" wrapText="1"/>
    </xf>
    <xf numFmtId="0" fontId="15" fillId="0" borderId="6" xfId="3" applyFont="1" applyFill="1" applyBorder="1" applyAlignment="1">
      <alignment horizontal="center" vertical="center" wrapText="1"/>
    </xf>
    <xf numFmtId="0" fontId="14" fillId="0" borderId="6" xfId="3" applyFont="1" applyFill="1" applyBorder="1" applyAlignment="1">
      <alignment horizontal="left" wrapText="1"/>
    </xf>
    <xf numFmtId="0" fontId="15" fillId="0" borderId="6" xfId="3" applyFont="1" applyFill="1" applyBorder="1" applyAlignment="1">
      <alignment horizontal="left" vertical="top" wrapText="1"/>
    </xf>
    <xf numFmtId="0" fontId="14" fillId="0" borderId="6" xfId="3" applyFont="1" applyFill="1" applyBorder="1" applyAlignment="1">
      <alignment horizontal="left" vertical="top" wrapText="1"/>
    </xf>
    <xf numFmtId="0" fontId="14" fillId="0" borderId="6" xfId="4" applyFont="1" applyFill="1" applyBorder="1" applyAlignment="1">
      <alignment horizontal="left" vertical="center" wrapText="1"/>
    </xf>
    <xf numFmtId="0" fontId="15" fillId="0" borderId="6" xfId="0" applyFont="1" applyFill="1" applyBorder="1" applyAlignment="1">
      <alignment horizontal="left" vertical="top" wrapText="1"/>
    </xf>
    <xf numFmtId="0" fontId="14" fillId="0" borderId="6" xfId="4" applyFont="1" applyFill="1" applyBorder="1" applyAlignment="1">
      <alignment vertical="top" wrapText="1"/>
    </xf>
    <xf numFmtId="0" fontId="14" fillId="0" borderId="17" xfId="4" applyFont="1" applyFill="1" applyBorder="1" applyAlignment="1">
      <alignment horizontal="center" vertical="top" wrapText="1"/>
    </xf>
    <xf numFmtId="0" fontId="14" fillId="0" borderId="18" xfId="4" applyFont="1" applyFill="1" applyBorder="1" applyAlignment="1">
      <alignment horizontal="center" vertical="top" wrapText="1"/>
    </xf>
    <xf numFmtId="0" fontId="14" fillId="0" borderId="19" xfId="4" applyFont="1" applyFill="1" applyBorder="1" applyAlignment="1">
      <alignment horizontal="center" vertical="top" wrapText="1"/>
    </xf>
    <xf numFmtId="0" fontId="16" fillId="0" borderId="6" xfId="0" applyFont="1" applyFill="1" applyBorder="1" applyAlignment="1">
      <alignment horizontal="left" vertical="top" wrapText="1"/>
    </xf>
    <xf numFmtId="0" fontId="22" fillId="0" borderId="6" xfId="0" applyFont="1" applyFill="1" applyBorder="1" applyAlignment="1">
      <alignment horizontal="left" vertical="top" wrapText="1"/>
    </xf>
    <xf numFmtId="0" fontId="14" fillId="0" borderId="17" xfId="3" applyFont="1" applyFill="1" applyBorder="1" applyAlignment="1">
      <alignment horizontal="center" vertical="center" wrapText="1"/>
    </xf>
    <xf numFmtId="0" fontId="14" fillId="0" borderId="18" xfId="3" applyFont="1" applyFill="1" applyBorder="1" applyAlignment="1">
      <alignment horizontal="center" vertical="center" wrapText="1"/>
    </xf>
    <xf numFmtId="0" fontId="14" fillId="0" borderId="19" xfId="3" applyFont="1" applyFill="1" applyBorder="1" applyAlignment="1">
      <alignment horizontal="center" vertical="center" wrapText="1"/>
    </xf>
    <xf numFmtId="0" fontId="14" fillId="0" borderId="6" xfId="3" applyFont="1" applyFill="1" applyBorder="1" applyAlignment="1">
      <alignment vertical="center" wrapText="1"/>
    </xf>
    <xf numFmtId="0" fontId="14" fillId="0" borderId="6" xfId="3" applyFont="1" applyFill="1" applyBorder="1" applyAlignment="1">
      <alignment vertical="top" wrapText="1"/>
    </xf>
    <xf numFmtId="0" fontId="14" fillId="0" borderId="25" xfId="3" applyFont="1" applyFill="1" applyBorder="1" applyAlignment="1">
      <alignment horizontal="left" vertical="center" wrapText="1"/>
    </xf>
    <xf numFmtId="0" fontId="14" fillId="0" borderId="26" xfId="3" applyFont="1" applyFill="1" applyBorder="1" applyAlignment="1">
      <alignment horizontal="left" vertical="center" wrapText="1"/>
    </xf>
    <xf numFmtId="0" fontId="14" fillId="0" borderId="6" xfId="3" applyNumberFormat="1" applyFont="1" applyFill="1" applyBorder="1" applyAlignment="1">
      <alignment horizontal="left" vertical="center" wrapText="1"/>
    </xf>
    <xf numFmtId="0" fontId="14" fillId="0" borderId="6" xfId="3" applyNumberFormat="1" applyFont="1" applyFill="1" applyBorder="1" applyAlignment="1">
      <alignment wrapText="1"/>
    </xf>
    <xf numFmtId="49" fontId="14" fillId="0" borderId="31" xfId="3" applyNumberFormat="1" applyFont="1" applyFill="1" applyBorder="1" applyAlignment="1">
      <alignment horizontal="left" vertical="center" wrapText="1"/>
    </xf>
    <xf numFmtId="0" fontId="14" fillId="0" borderId="32" xfId="3" applyNumberFormat="1" applyFont="1" applyFill="1" applyBorder="1" applyAlignment="1">
      <alignment horizontal="center" vertical="center" wrapText="1"/>
    </xf>
    <xf numFmtId="0" fontId="14" fillId="0" borderId="33" xfId="3" applyNumberFormat="1" applyFont="1" applyFill="1" applyBorder="1" applyAlignment="1">
      <alignment wrapText="1"/>
    </xf>
    <xf numFmtId="0" fontId="14" fillId="0" borderId="34" xfId="0" applyFont="1" applyFill="1" applyBorder="1" applyAlignment="1">
      <alignment vertical="center" wrapText="1"/>
    </xf>
    <xf numFmtId="0" fontId="14" fillId="0" borderId="35" xfId="0" applyFont="1" applyFill="1" applyBorder="1" applyAlignment="1">
      <alignment horizontal="left" vertical="center" wrapText="1"/>
    </xf>
    <xf numFmtId="0" fontId="14" fillId="0" borderId="35" xfId="0" applyFont="1" applyFill="1" applyBorder="1" applyAlignment="1">
      <alignment vertical="center" wrapText="1"/>
    </xf>
    <xf numFmtId="0" fontId="14" fillId="0" borderId="39" xfId="4" applyFont="1" applyFill="1" applyBorder="1" applyAlignment="1">
      <alignment horizontal="left" vertical="center" wrapText="1"/>
    </xf>
    <xf numFmtId="0" fontId="14" fillId="0" borderId="37" xfId="0" applyFont="1" applyFill="1" applyBorder="1" applyAlignment="1">
      <alignment vertical="center" wrapText="1"/>
    </xf>
    <xf numFmtId="0" fontId="14" fillId="0" borderId="38" xfId="8" applyNumberFormat="1" applyFont="1" applyFill="1" applyBorder="1" applyAlignment="1">
      <alignment vertical="center" wrapText="1"/>
    </xf>
    <xf numFmtId="0" fontId="14" fillId="0" borderId="38" xfId="8" applyNumberFormat="1" applyFont="1" applyFill="1" applyBorder="1" applyAlignment="1">
      <alignment horizontal="left" vertical="center" wrapText="1"/>
    </xf>
    <xf numFmtId="0" fontId="14" fillId="0" borderId="40" xfId="8" applyNumberFormat="1" applyFont="1" applyFill="1" applyBorder="1" applyAlignment="1">
      <alignment horizontal="center" vertical="center"/>
    </xf>
    <xf numFmtId="0" fontId="14" fillId="0" borderId="39" xfId="8" applyNumberFormat="1" applyFont="1" applyFill="1" applyBorder="1" applyAlignment="1">
      <alignment horizontal="left" vertical="center" wrapText="1"/>
    </xf>
    <xf numFmtId="0" fontId="14" fillId="0" borderId="39" xfId="8" applyNumberFormat="1" applyFont="1" applyFill="1" applyBorder="1" applyAlignment="1">
      <alignment horizontal="center" vertical="center" wrapText="1"/>
    </xf>
    <xf numFmtId="0" fontId="14" fillId="0" borderId="39" xfId="8" applyNumberFormat="1" applyFont="1" applyFill="1" applyBorder="1" applyAlignment="1">
      <alignment vertical="center" wrapText="1"/>
    </xf>
    <xf numFmtId="0" fontId="14" fillId="0" borderId="6" xfId="4" applyFont="1" applyFill="1" applyBorder="1" applyAlignment="1">
      <alignment horizontal="left" vertical="top" wrapText="1"/>
    </xf>
    <xf numFmtId="0" fontId="14" fillId="0" borderId="6" xfId="3" applyFont="1" applyFill="1" applyBorder="1" applyAlignment="1">
      <alignment horizontal="left" vertical="center" wrapText="1"/>
    </xf>
    <xf numFmtId="0" fontId="14" fillId="0" borderId="6" xfId="0" applyFont="1" applyFill="1" applyBorder="1" applyAlignment="1">
      <alignment horizontal="center" vertical="center"/>
    </xf>
    <xf numFmtId="0" fontId="14" fillId="0" borderId="6" xfId="0" applyFont="1" applyFill="1" applyBorder="1" applyAlignment="1">
      <alignment horizontal="left" vertical="top"/>
    </xf>
    <xf numFmtId="0" fontId="15" fillId="0" borderId="0" xfId="0" applyFont="1" applyFill="1" applyBorder="1" applyAlignment="1">
      <alignment horizontal="center" vertical="center" wrapText="1"/>
    </xf>
    <xf numFmtId="0" fontId="14" fillId="0" borderId="6" xfId="3" applyFont="1" applyFill="1" applyBorder="1" applyAlignment="1">
      <alignment horizontal="justify" vertical="center" wrapText="1"/>
    </xf>
    <xf numFmtId="0" fontId="14" fillId="0" borderId="17" xfId="4" applyFont="1" applyFill="1" applyBorder="1" applyAlignment="1">
      <alignment horizontal="left" vertical="center" wrapText="1"/>
    </xf>
    <xf numFmtId="0" fontId="14" fillId="0" borderId="6" xfId="8" applyNumberFormat="1" applyFont="1" applyFill="1" applyBorder="1" applyAlignment="1">
      <alignment vertical="center" wrapText="1"/>
    </xf>
    <xf numFmtId="0" fontId="14" fillId="0" borderId="6" xfId="8" applyNumberFormat="1" applyFont="1" applyFill="1" applyBorder="1" applyAlignment="1">
      <alignment horizontal="left" vertical="center" wrapText="1"/>
    </xf>
    <xf numFmtId="0" fontId="14" fillId="0" borderId="6" xfId="8" applyNumberFormat="1" applyFont="1" applyFill="1" applyBorder="1" applyAlignment="1">
      <alignment horizontal="center" vertical="center"/>
    </xf>
    <xf numFmtId="0" fontId="14" fillId="0" borderId="6" xfId="8" applyNumberFormat="1" applyFont="1" applyFill="1" applyBorder="1" applyAlignment="1">
      <alignment horizontal="center" vertical="center" wrapText="1"/>
    </xf>
    <xf numFmtId="0" fontId="14" fillId="0" borderId="6" xfId="8" applyNumberFormat="1" applyFont="1" applyFill="1" applyBorder="1" applyAlignment="1">
      <alignment vertical="center"/>
    </xf>
    <xf numFmtId="49" fontId="14" fillId="0" borderId="6" xfId="3" applyNumberFormat="1" applyFont="1" applyFill="1" applyBorder="1" applyAlignment="1">
      <alignment horizontal="left" vertical="center" wrapText="1"/>
    </xf>
    <xf numFmtId="0" fontId="14" fillId="0" borderId="49" xfId="0" applyFont="1" applyFill="1" applyBorder="1" applyAlignment="1">
      <alignment horizontal="justify" vertical="center" wrapText="1"/>
    </xf>
    <xf numFmtId="0" fontId="14" fillId="0" borderId="6" xfId="0" applyFont="1" applyFill="1" applyBorder="1" applyAlignment="1">
      <alignment horizontal="justify" vertical="top" wrapText="1"/>
    </xf>
    <xf numFmtId="49" fontId="14" fillId="0" borderId="6" xfId="3" applyNumberFormat="1" applyFont="1" applyFill="1" applyBorder="1" applyAlignment="1">
      <alignment horizontal="center" vertical="center" wrapText="1"/>
    </xf>
    <xf numFmtId="49" fontId="14" fillId="0" borderId="6" xfId="3" applyNumberFormat="1" applyFont="1" applyFill="1" applyBorder="1" applyAlignment="1">
      <alignment horizontal="justify" vertical="center" wrapText="1"/>
    </xf>
    <xf numFmtId="49" fontId="14" fillId="0" borderId="50" xfId="3" applyNumberFormat="1" applyFont="1" applyFill="1" applyBorder="1" applyAlignment="1">
      <alignment horizontal="justify" vertical="center" wrapText="1"/>
    </xf>
    <xf numFmtId="49" fontId="14" fillId="0" borderId="51" xfId="3" applyNumberFormat="1" applyFont="1" applyFill="1" applyBorder="1" applyAlignment="1">
      <alignment horizontal="left" vertical="center" wrapText="1"/>
    </xf>
    <xf numFmtId="49" fontId="14" fillId="0" borderId="50" xfId="3" applyNumberFormat="1" applyFont="1" applyFill="1" applyBorder="1" applyAlignment="1">
      <alignment horizontal="center" vertical="center" wrapText="1"/>
    </xf>
    <xf numFmtId="0" fontId="14" fillId="0" borderId="17" xfId="3" applyFont="1" applyFill="1" applyBorder="1" applyAlignment="1">
      <alignment horizontal="center" wrapText="1"/>
    </xf>
    <xf numFmtId="0" fontId="14" fillId="0" borderId="18" xfId="3" applyFont="1" applyFill="1" applyBorder="1" applyAlignment="1">
      <alignment horizontal="center"/>
    </xf>
    <xf numFmtId="0" fontId="14" fillId="0" borderId="19" xfId="3" applyFont="1" applyFill="1" applyBorder="1" applyAlignment="1">
      <alignment horizontal="center"/>
    </xf>
    <xf numFmtId="0" fontId="15" fillId="0" borderId="44" xfId="3" applyFont="1" applyFill="1" applyBorder="1" applyAlignment="1">
      <alignment horizontal="center" vertical="center"/>
    </xf>
    <xf numFmtId="0" fontId="14" fillId="0" borderId="17" xfId="3" applyFont="1" applyFill="1" applyBorder="1" applyAlignment="1">
      <alignment horizontal="left" vertical="center" wrapText="1"/>
    </xf>
    <xf numFmtId="0" fontId="14" fillId="0" borderId="19" xfId="3" applyFont="1" applyFill="1" applyBorder="1" applyAlignment="1">
      <alignment horizontal="left" vertical="center" wrapText="1"/>
    </xf>
    <xf numFmtId="0" fontId="14" fillId="0" borderId="6" xfId="3" applyFont="1" applyFill="1" applyBorder="1" applyAlignment="1">
      <alignment horizontal="justify" vertical="top" wrapText="1"/>
    </xf>
    <xf numFmtId="0" fontId="14" fillId="0" borderId="6" xfId="0" applyFont="1" applyFill="1" applyBorder="1" applyAlignment="1">
      <alignment horizontal="center" wrapText="1"/>
    </xf>
    <xf numFmtId="0" fontId="15" fillId="0" borderId="46" xfId="3" applyFont="1" applyFill="1" applyBorder="1" applyAlignment="1">
      <alignment horizontal="center" vertical="center"/>
    </xf>
    <xf numFmtId="0" fontId="14" fillId="0" borderId="47" xfId="3" applyFont="1" applyFill="1" applyBorder="1" applyAlignment="1">
      <alignment horizontal="center" vertical="center" wrapText="1"/>
    </xf>
    <xf numFmtId="0" fontId="14" fillId="0" borderId="47" xfId="0" applyFont="1" applyFill="1" applyBorder="1" applyAlignment="1">
      <alignment horizontal="justify" vertical="center" wrapText="1"/>
    </xf>
    <xf numFmtId="0" fontId="14" fillId="0" borderId="47" xfId="0" applyFont="1" applyFill="1" applyBorder="1" applyAlignment="1">
      <alignment horizontal="center" vertical="center" wrapText="1"/>
    </xf>
    <xf numFmtId="0" fontId="14" fillId="0" borderId="0" xfId="3" applyFont="1" applyFill="1" applyAlignment="1">
      <alignment horizontal="center" vertical="center" wrapText="1"/>
    </xf>
    <xf numFmtId="0" fontId="14" fillId="0" borderId="0" xfId="3" applyFont="1" applyFill="1" applyAlignment="1">
      <alignment horizontal="center" vertical="top" wrapText="1"/>
    </xf>
    <xf numFmtId="0" fontId="22" fillId="0" borderId="0" xfId="3" applyFont="1" applyFill="1" applyAlignment="1">
      <alignment horizontal="center" vertical="top"/>
    </xf>
    <xf numFmtId="0" fontId="15" fillId="0" borderId="0" xfId="0" applyFont="1" applyFill="1" applyAlignment="1">
      <alignment horizontal="center" vertical="top"/>
    </xf>
  </cellXfs>
  <cellStyles count="9">
    <cellStyle name="Hipervínculo 2" xfId="2" xr:uid="{00000000-0005-0000-0000-000000000000}"/>
    <cellStyle name="Millares 2" xfId="7" xr:uid="{00000000-0005-0000-0000-000001000000}"/>
    <cellStyle name="Normal" xfId="0" builtinId="0"/>
    <cellStyle name="Normal 2" xfId="4" xr:uid="{00000000-0005-0000-0000-000003000000}"/>
    <cellStyle name="Normal 3" xfId="5" xr:uid="{00000000-0005-0000-0000-000004000000}"/>
    <cellStyle name="Normal 3 2" xfId="6" xr:uid="{00000000-0005-0000-0000-000005000000}"/>
    <cellStyle name="Normal 3_Formato 7 Multas y Sanciones" xfId="3" xr:uid="{00000000-0005-0000-0000-000006000000}"/>
    <cellStyle name="Normal 5" xfId="1" xr:uid="{00000000-0005-0000-0000-000007000000}"/>
    <cellStyle name="Normal 6" xfId="8" xr:uid="{00000000-0005-0000-0000-000008000000}"/>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pn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5" Type="http://schemas.openxmlformats.org/officeDocument/2006/relationships/image" Target="../media/image15.jpeg"/><Relationship Id="rId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2" Type="http://schemas.openxmlformats.org/officeDocument/2006/relationships/image" Target="../media/image17.emf"/><Relationship Id="rId1" Type="http://schemas.openxmlformats.org/officeDocument/2006/relationships/image" Target="../media/image16.jpeg"/></Relationships>
</file>

<file path=xl/drawings/_rels/drawing4.xml.rels><?xml version="1.0" encoding="UTF-8" standalone="yes"?>
<Relationships xmlns="http://schemas.openxmlformats.org/package/2006/relationships"><Relationship Id="rId8" Type="http://schemas.openxmlformats.org/officeDocument/2006/relationships/image" Target="../media/image25.png"/><Relationship Id="rId13" Type="http://schemas.openxmlformats.org/officeDocument/2006/relationships/image" Target="../media/image30.png"/><Relationship Id="rId18" Type="http://schemas.openxmlformats.org/officeDocument/2006/relationships/image" Target="../media/image35.png"/><Relationship Id="rId3" Type="http://schemas.openxmlformats.org/officeDocument/2006/relationships/image" Target="../media/image20.png"/><Relationship Id="rId21" Type="http://schemas.openxmlformats.org/officeDocument/2006/relationships/image" Target="../media/image37.png"/><Relationship Id="rId7" Type="http://schemas.openxmlformats.org/officeDocument/2006/relationships/image" Target="../media/image24.png"/><Relationship Id="rId12" Type="http://schemas.openxmlformats.org/officeDocument/2006/relationships/image" Target="../media/image29.png"/><Relationship Id="rId17" Type="http://schemas.openxmlformats.org/officeDocument/2006/relationships/image" Target="../media/image34.png"/><Relationship Id="rId2" Type="http://schemas.openxmlformats.org/officeDocument/2006/relationships/image" Target="../media/image19.png"/><Relationship Id="rId16" Type="http://schemas.openxmlformats.org/officeDocument/2006/relationships/image" Target="../media/image33.png"/><Relationship Id="rId20" Type="http://schemas.openxmlformats.org/officeDocument/2006/relationships/image" Target="../media/image36.png"/><Relationship Id="rId1" Type="http://schemas.openxmlformats.org/officeDocument/2006/relationships/image" Target="../media/image18.jpeg"/><Relationship Id="rId6" Type="http://schemas.openxmlformats.org/officeDocument/2006/relationships/image" Target="../media/image23.png"/><Relationship Id="rId11" Type="http://schemas.openxmlformats.org/officeDocument/2006/relationships/image" Target="../media/image28.png"/><Relationship Id="rId5" Type="http://schemas.openxmlformats.org/officeDocument/2006/relationships/image" Target="../media/image22.png"/><Relationship Id="rId15" Type="http://schemas.openxmlformats.org/officeDocument/2006/relationships/image" Target="../media/image32.png"/><Relationship Id="rId10" Type="http://schemas.openxmlformats.org/officeDocument/2006/relationships/image" Target="../media/image27.png"/><Relationship Id="rId19" Type="http://schemas.openxmlformats.org/officeDocument/2006/relationships/image" Target="../media/image4.png"/><Relationship Id="rId4" Type="http://schemas.openxmlformats.org/officeDocument/2006/relationships/image" Target="../media/image21.png"/><Relationship Id="rId9" Type="http://schemas.openxmlformats.org/officeDocument/2006/relationships/image" Target="../media/image26.png"/><Relationship Id="rId14" Type="http://schemas.openxmlformats.org/officeDocument/2006/relationships/image" Target="../media/image31.png"/><Relationship Id="rId22" Type="http://schemas.openxmlformats.org/officeDocument/2006/relationships/image" Target="../media/image38.png"/></Relationships>
</file>

<file path=xl/drawings/_rels/drawing5.xml.rels><?xml version="1.0" encoding="UTF-8" standalone="yes"?>
<Relationships xmlns="http://schemas.openxmlformats.org/package/2006/relationships"><Relationship Id="rId3" Type="http://schemas.openxmlformats.org/officeDocument/2006/relationships/image" Target="../media/image40.png"/><Relationship Id="rId2" Type="http://schemas.openxmlformats.org/officeDocument/2006/relationships/image" Target="../media/image39.png"/><Relationship Id="rId1" Type="http://schemas.openxmlformats.org/officeDocument/2006/relationships/image" Target="../media/image16.jpeg"/><Relationship Id="rId6" Type="http://schemas.openxmlformats.org/officeDocument/2006/relationships/image" Target="../media/image43.png"/><Relationship Id="rId5" Type="http://schemas.openxmlformats.org/officeDocument/2006/relationships/image" Target="../media/image42.png"/><Relationship Id="rId4" Type="http://schemas.openxmlformats.org/officeDocument/2006/relationships/image" Target="../media/image41.png"/></Relationships>
</file>

<file path=xl/drawings/drawing1.xml><?xml version="1.0" encoding="utf-8"?>
<xdr:wsDr xmlns:xdr="http://schemas.openxmlformats.org/drawingml/2006/spreadsheetDrawing" xmlns:a="http://schemas.openxmlformats.org/drawingml/2006/main">
  <xdr:twoCellAnchor>
    <xdr:from>
      <xdr:col>2</xdr:col>
      <xdr:colOff>533400</xdr:colOff>
      <xdr:row>1427</xdr:row>
      <xdr:rowOff>3517900</xdr:rowOff>
    </xdr:from>
    <xdr:to>
      <xdr:col>4</xdr:col>
      <xdr:colOff>1663700</xdr:colOff>
      <xdr:row>1428</xdr:row>
      <xdr:rowOff>1670050</xdr:rowOff>
    </xdr:to>
    <xdr:pic>
      <xdr:nvPicPr>
        <xdr:cNvPr id="2" name="Imagen 6">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57425" y="1397130175"/>
          <a:ext cx="3540125" cy="1933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50800</xdr:colOff>
      <xdr:row>17</xdr:row>
      <xdr:rowOff>75445</xdr:rowOff>
    </xdr:from>
    <xdr:to>
      <xdr:col>4</xdr:col>
      <xdr:colOff>314356</xdr:colOff>
      <xdr:row>19</xdr:row>
      <xdr:rowOff>63940</xdr:rowOff>
    </xdr:to>
    <xdr:pic>
      <xdr:nvPicPr>
        <xdr:cNvPr id="3" name="Imagen 3">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74825" y="1885195"/>
          <a:ext cx="2673381" cy="960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1620</xdr:row>
      <xdr:rowOff>704274</xdr:rowOff>
    </xdr:from>
    <xdr:to>
      <xdr:col>4</xdr:col>
      <xdr:colOff>2768600</xdr:colOff>
      <xdr:row>1622</xdr:row>
      <xdr:rowOff>565727</xdr:rowOff>
    </xdr:to>
    <xdr:pic>
      <xdr:nvPicPr>
        <xdr:cNvPr id="4" name="Imagen 7">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71725" y="1513893399"/>
          <a:ext cx="4530725" cy="13092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241300</xdr:colOff>
      <xdr:row>1666</xdr:row>
      <xdr:rowOff>186267</xdr:rowOff>
    </xdr:from>
    <xdr:to>
      <xdr:col>4</xdr:col>
      <xdr:colOff>3323166</xdr:colOff>
      <xdr:row>1667</xdr:row>
      <xdr:rowOff>548088</xdr:rowOff>
    </xdr:to>
    <xdr:pic>
      <xdr:nvPicPr>
        <xdr:cNvPr id="5" name="Imagen 8">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689225" y="1537559367"/>
          <a:ext cx="4767791" cy="12476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431800</xdr:colOff>
      <xdr:row>1681</xdr:row>
      <xdr:rowOff>719666</xdr:rowOff>
    </xdr:from>
    <xdr:to>
      <xdr:col>4</xdr:col>
      <xdr:colOff>3175000</xdr:colOff>
      <xdr:row>1685</xdr:row>
      <xdr:rowOff>127000</xdr:rowOff>
    </xdr:to>
    <xdr:pic>
      <xdr:nvPicPr>
        <xdr:cNvPr id="6" name="Imagen 4">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79725" y="1544950766"/>
          <a:ext cx="4429125" cy="912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457200</xdr:colOff>
      <xdr:row>1410</xdr:row>
      <xdr:rowOff>736600</xdr:rowOff>
    </xdr:from>
    <xdr:to>
      <xdr:col>4</xdr:col>
      <xdr:colOff>1676400</xdr:colOff>
      <xdr:row>1412</xdr:row>
      <xdr:rowOff>531449</xdr:rowOff>
    </xdr:to>
    <xdr:pic>
      <xdr:nvPicPr>
        <xdr:cNvPr id="7" name="Imagen 1">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81225" y="1370079175"/>
          <a:ext cx="3629025" cy="852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357018</xdr:colOff>
      <xdr:row>2140</xdr:row>
      <xdr:rowOff>66675</xdr:rowOff>
    </xdr:from>
    <xdr:to>
      <xdr:col>4</xdr:col>
      <xdr:colOff>1387023</xdr:colOff>
      <xdr:row>2153</xdr:row>
      <xdr:rowOff>24706</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6"/>
        <a:stretch>
          <a:fillRect/>
        </a:stretch>
      </xdr:blipFill>
      <xdr:spPr>
        <a:xfrm>
          <a:off x="1442868" y="2724150"/>
          <a:ext cx="2715930" cy="2558356"/>
        </a:xfrm>
        <a:prstGeom prst="rect">
          <a:avLst/>
        </a:prstGeom>
      </xdr:spPr>
    </xdr:pic>
    <xdr:clientData/>
  </xdr:twoCellAnchor>
  <xdr:twoCellAnchor editAs="oneCell">
    <xdr:from>
      <xdr:col>4</xdr:col>
      <xdr:colOff>1021764</xdr:colOff>
      <xdr:row>2145</xdr:row>
      <xdr:rowOff>180975</xdr:rowOff>
    </xdr:from>
    <xdr:to>
      <xdr:col>5</xdr:col>
      <xdr:colOff>372797</xdr:colOff>
      <xdr:row>2158</xdr:row>
      <xdr:rowOff>29936</xdr:rowOff>
    </xdr:to>
    <xdr:pic>
      <xdr:nvPicPr>
        <xdr:cNvPr id="9" name="Imagen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7"/>
        <a:stretch>
          <a:fillRect/>
        </a:stretch>
      </xdr:blipFill>
      <xdr:spPr>
        <a:xfrm>
          <a:off x="3793539" y="3838575"/>
          <a:ext cx="2084708" cy="2449286"/>
        </a:xfrm>
        <a:prstGeom prst="rect">
          <a:avLst/>
        </a:prstGeom>
      </xdr:spPr>
    </xdr:pic>
    <xdr:clientData/>
  </xdr:twoCellAnchor>
  <xdr:twoCellAnchor editAs="oneCell">
    <xdr:from>
      <xdr:col>2</xdr:col>
      <xdr:colOff>558881</xdr:colOff>
      <xdr:row>2148</xdr:row>
      <xdr:rowOff>104775</xdr:rowOff>
    </xdr:from>
    <xdr:to>
      <xdr:col>3</xdr:col>
      <xdr:colOff>1424364</xdr:colOff>
      <xdr:row>2160</xdr:row>
      <xdr:rowOff>115660</xdr:rowOff>
    </xdr:to>
    <xdr:pic>
      <xdr:nvPicPr>
        <xdr:cNvPr id="10" name="Imagen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8"/>
        <a:stretch>
          <a:fillRect/>
        </a:stretch>
      </xdr:blipFill>
      <xdr:spPr>
        <a:xfrm>
          <a:off x="920831" y="4362450"/>
          <a:ext cx="2665708" cy="2411185"/>
        </a:xfrm>
        <a:prstGeom prst="rect">
          <a:avLst/>
        </a:prstGeom>
      </xdr:spPr>
    </xdr:pic>
    <xdr:clientData/>
  </xdr:twoCellAnchor>
  <xdr:twoCellAnchor editAs="oneCell">
    <xdr:from>
      <xdr:col>8</xdr:col>
      <xdr:colOff>0</xdr:colOff>
      <xdr:row>1454</xdr:row>
      <xdr:rowOff>261044</xdr:rowOff>
    </xdr:from>
    <xdr:to>
      <xdr:col>11</xdr:col>
      <xdr:colOff>326519</xdr:colOff>
      <xdr:row>1461</xdr:row>
      <xdr:rowOff>152400</xdr:rowOff>
    </xdr:to>
    <xdr:pic>
      <xdr:nvPicPr>
        <xdr:cNvPr id="11" name="Imagen 7">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6"/>
        <a:stretch>
          <a:fillRect/>
        </a:stretch>
      </xdr:blipFill>
      <xdr:spPr>
        <a:xfrm>
          <a:off x="21955125" y="1428239519"/>
          <a:ext cx="2498218" cy="2650431"/>
        </a:xfrm>
        <a:prstGeom prst="rect">
          <a:avLst/>
        </a:prstGeom>
      </xdr:spPr>
    </xdr:pic>
    <xdr:clientData/>
  </xdr:twoCellAnchor>
  <xdr:twoCellAnchor editAs="oneCell">
    <xdr:from>
      <xdr:col>8</xdr:col>
      <xdr:colOff>0</xdr:colOff>
      <xdr:row>1454</xdr:row>
      <xdr:rowOff>264584</xdr:rowOff>
    </xdr:from>
    <xdr:to>
      <xdr:col>10</xdr:col>
      <xdr:colOff>491334</xdr:colOff>
      <xdr:row>1461</xdr:row>
      <xdr:rowOff>46870</xdr:rowOff>
    </xdr:to>
    <xdr:pic>
      <xdr:nvPicPr>
        <xdr:cNvPr id="12" name="Imagen 8">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7"/>
        <a:stretch>
          <a:fillRect/>
        </a:stretch>
      </xdr:blipFill>
      <xdr:spPr>
        <a:xfrm>
          <a:off x="21955125" y="1428243059"/>
          <a:ext cx="1939132" cy="2536825"/>
        </a:xfrm>
        <a:prstGeom prst="rect">
          <a:avLst/>
        </a:prstGeom>
      </xdr:spPr>
    </xdr:pic>
    <xdr:clientData/>
  </xdr:twoCellAnchor>
  <xdr:twoCellAnchor editAs="oneCell">
    <xdr:from>
      <xdr:col>8</xdr:col>
      <xdr:colOff>0</xdr:colOff>
      <xdr:row>1458</xdr:row>
      <xdr:rowOff>349249</xdr:rowOff>
    </xdr:from>
    <xdr:to>
      <xdr:col>11</xdr:col>
      <xdr:colOff>276297</xdr:colOff>
      <xdr:row>1465</xdr:row>
      <xdr:rowOff>93434</xdr:rowOff>
    </xdr:to>
    <xdr:pic>
      <xdr:nvPicPr>
        <xdr:cNvPr id="13" name="Imagen 9">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8"/>
        <a:stretch>
          <a:fillRect/>
        </a:stretch>
      </xdr:blipFill>
      <xdr:spPr>
        <a:xfrm>
          <a:off x="21955125" y="1431328099"/>
          <a:ext cx="2447996" cy="2514598"/>
        </a:xfrm>
        <a:prstGeom prst="rect">
          <a:avLst/>
        </a:prstGeom>
      </xdr:spPr>
    </xdr:pic>
    <xdr:clientData/>
  </xdr:twoCellAnchor>
  <xdr:twoCellAnchor editAs="oneCell">
    <xdr:from>
      <xdr:col>8</xdr:col>
      <xdr:colOff>0</xdr:colOff>
      <xdr:row>1525</xdr:row>
      <xdr:rowOff>928062</xdr:rowOff>
    </xdr:from>
    <xdr:to>
      <xdr:col>12</xdr:col>
      <xdr:colOff>26462</xdr:colOff>
      <xdr:row>1528</xdr:row>
      <xdr:rowOff>321961</xdr:rowOff>
    </xdr:to>
    <xdr:pic>
      <xdr:nvPicPr>
        <xdr:cNvPr id="14" name="Imagen 10">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9"/>
        <a:stretch>
          <a:fillRect/>
        </a:stretch>
      </xdr:blipFill>
      <xdr:spPr>
        <a:xfrm>
          <a:off x="21955125" y="1469054412"/>
          <a:ext cx="2922061" cy="1331782"/>
        </a:xfrm>
        <a:prstGeom prst="rect">
          <a:avLst/>
        </a:prstGeom>
      </xdr:spPr>
    </xdr:pic>
    <xdr:clientData/>
  </xdr:twoCellAnchor>
  <xdr:twoCellAnchor editAs="oneCell">
    <xdr:from>
      <xdr:col>1</xdr:col>
      <xdr:colOff>0</xdr:colOff>
      <xdr:row>1</xdr:row>
      <xdr:rowOff>71913</xdr:rowOff>
    </xdr:from>
    <xdr:to>
      <xdr:col>1</xdr:col>
      <xdr:colOff>1057275</xdr:colOff>
      <xdr:row>5</xdr:row>
      <xdr:rowOff>76200</xdr:rowOff>
    </xdr:to>
    <xdr:pic>
      <xdr:nvPicPr>
        <xdr:cNvPr id="18" name="89 Imagen">
          <a:extLst>
            <a:ext uri="{FF2B5EF4-FFF2-40B4-BE49-F238E27FC236}">
              <a16:creationId xmlns:a16="http://schemas.microsoft.com/office/drawing/2014/main" id="{5065F1E2-4F88-4E89-891A-16C219DA6988}"/>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61950" y="271938"/>
          <a:ext cx="1057275" cy="80438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888999</xdr:colOff>
      <xdr:row>49</xdr:row>
      <xdr:rowOff>683683</xdr:rowOff>
    </xdr:from>
    <xdr:to>
      <xdr:col>4</xdr:col>
      <xdr:colOff>2423583</xdr:colOff>
      <xdr:row>55</xdr:row>
      <xdr:rowOff>186360</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6924" y="18695458"/>
          <a:ext cx="3220509" cy="13886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571498</xdr:colOff>
      <xdr:row>69</xdr:row>
      <xdr:rowOff>152400</xdr:rowOff>
    </xdr:from>
    <xdr:to>
      <xdr:col>4</xdr:col>
      <xdr:colOff>391582</xdr:colOff>
      <xdr:row>71</xdr:row>
      <xdr:rowOff>660400</xdr:rowOff>
    </xdr:to>
    <xdr:pic>
      <xdr:nvPicPr>
        <xdr:cNvPr id="3" name="Imagen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95523" y="28355925"/>
          <a:ext cx="2229909" cy="282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1873250</xdr:colOff>
      <xdr:row>69</xdr:row>
      <xdr:rowOff>351365</xdr:rowOff>
    </xdr:from>
    <xdr:to>
      <xdr:col>4</xdr:col>
      <xdr:colOff>2761310</xdr:colOff>
      <xdr:row>71</xdr:row>
      <xdr:rowOff>317499</xdr:rowOff>
    </xdr:to>
    <xdr:pic>
      <xdr:nvPicPr>
        <xdr:cNvPr id="4" name="Imagen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07100" y="28554890"/>
          <a:ext cx="888060" cy="2280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1384300</xdr:colOff>
      <xdr:row>38</xdr:row>
      <xdr:rowOff>114300</xdr:rowOff>
    </xdr:from>
    <xdr:to>
      <xdr:col>2</xdr:col>
      <xdr:colOff>4640342</xdr:colOff>
      <xdr:row>41</xdr:row>
      <xdr:rowOff>190500</xdr:rowOff>
    </xdr:to>
    <xdr:pic>
      <xdr:nvPicPr>
        <xdr:cNvPr id="5" name="Imagen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451100" y="11858625"/>
          <a:ext cx="0"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550334</xdr:colOff>
      <xdr:row>1</xdr:row>
      <xdr:rowOff>93081</xdr:rowOff>
    </xdr:from>
    <xdr:to>
      <xdr:col>1</xdr:col>
      <xdr:colOff>920751</xdr:colOff>
      <xdr:row>4</xdr:row>
      <xdr:rowOff>142876</xdr:rowOff>
    </xdr:to>
    <xdr:pic>
      <xdr:nvPicPr>
        <xdr:cNvPr id="6" name="89 Imagen">
          <a:extLst>
            <a:ext uri="{FF2B5EF4-FFF2-40B4-BE49-F238E27FC236}">
              <a16:creationId xmlns:a16="http://schemas.microsoft.com/office/drawing/2014/main" id="{2E3BBEF4-3507-4190-A190-72F672C469F4}"/>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50334" y="299456"/>
          <a:ext cx="957792" cy="6689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265340</xdr:colOff>
      <xdr:row>2</xdr:row>
      <xdr:rowOff>71913</xdr:rowOff>
    </xdr:from>
    <xdr:to>
      <xdr:col>2</xdr:col>
      <xdr:colOff>789215</xdr:colOff>
      <xdr:row>4</xdr:row>
      <xdr:rowOff>217715</xdr:rowOff>
    </xdr:to>
    <xdr:pic>
      <xdr:nvPicPr>
        <xdr:cNvPr id="2" name="89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661" y="480127"/>
          <a:ext cx="986518" cy="1098302"/>
        </a:xfrm>
        <a:prstGeom prst="rect">
          <a:avLst/>
        </a:prstGeom>
        <a:noFill/>
        <a:ln>
          <a:noFill/>
        </a:ln>
      </xdr:spPr>
    </xdr:pic>
    <xdr:clientData/>
  </xdr:twoCellAnchor>
  <xdr:twoCellAnchor editAs="oneCell">
    <xdr:from>
      <xdr:col>3</xdr:col>
      <xdr:colOff>1457325</xdr:colOff>
      <xdr:row>2519</xdr:row>
      <xdr:rowOff>47625</xdr:rowOff>
    </xdr:from>
    <xdr:to>
      <xdr:col>3</xdr:col>
      <xdr:colOff>4134908</xdr:colOff>
      <xdr:row>2529</xdr:row>
      <xdr:rowOff>48317</xdr:rowOff>
    </xdr:to>
    <xdr:pic>
      <xdr:nvPicPr>
        <xdr:cNvPr id="3" name="Imagen 2">
          <a:extLst>
            <a:ext uri="{FF2B5EF4-FFF2-40B4-BE49-F238E27FC236}">
              <a16:creationId xmlns:a16="http://schemas.microsoft.com/office/drawing/2014/main" id="{00000000-0008-0000-0200-000003000000}"/>
            </a:ext>
            <a:ext uri="{147F2762-F138-4A5C-976F-8EAC2B608ADB}">
              <a16:predDERef xmlns:a16="http://schemas.microsoft.com/office/drawing/2014/main" pred="{3516C27C-796C-4E00-AE94-3E4374A0DE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67200" y="9318625"/>
          <a:ext cx="2677583"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508000</xdr:colOff>
      <xdr:row>1</xdr:row>
      <xdr:rowOff>152731</xdr:rowOff>
    </xdr:from>
    <xdr:to>
      <xdr:col>1</xdr:col>
      <xdr:colOff>478102</xdr:colOff>
      <xdr:row>4</xdr:row>
      <xdr:rowOff>183285</xdr:rowOff>
    </xdr:to>
    <xdr:pic>
      <xdr:nvPicPr>
        <xdr:cNvPr id="2" name="89 Imagen">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000" y="359106"/>
          <a:ext cx="605102" cy="649679"/>
        </a:xfrm>
        <a:prstGeom prst="rect">
          <a:avLst/>
        </a:prstGeom>
        <a:noFill/>
        <a:ln>
          <a:noFill/>
        </a:ln>
      </xdr:spPr>
    </xdr:pic>
    <xdr:clientData/>
  </xdr:twoCellAnchor>
  <xdr:twoCellAnchor editAs="oneCell">
    <xdr:from>
      <xdr:col>5</xdr:col>
      <xdr:colOff>0</xdr:colOff>
      <xdr:row>1160</xdr:row>
      <xdr:rowOff>492125</xdr:rowOff>
    </xdr:from>
    <xdr:to>
      <xdr:col>5</xdr:col>
      <xdr:colOff>1581833</xdr:colOff>
      <xdr:row>1163</xdr:row>
      <xdr:rowOff>2328</xdr:rowOff>
    </xdr:to>
    <xdr:pic>
      <xdr:nvPicPr>
        <xdr:cNvPr id="6" name="3 Imagen">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2"/>
        <a:stretch>
          <a:fillRect/>
        </a:stretch>
      </xdr:blipFill>
      <xdr:spPr>
        <a:xfrm>
          <a:off x="11842750" y="14287500"/>
          <a:ext cx="1581833" cy="1986703"/>
        </a:xfrm>
        <a:prstGeom prst="rect">
          <a:avLst/>
        </a:prstGeom>
      </xdr:spPr>
    </xdr:pic>
    <xdr:clientData/>
  </xdr:twoCellAnchor>
  <xdr:twoCellAnchor editAs="oneCell">
    <xdr:from>
      <xdr:col>1</xdr:col>
      <xdr:colOff>714376</xdr:colOff>
      <xdr:row>1160</xdr:row>
      <xdr:rowOff>682625</xdr:rowOff>
    </xdr:from>
    <xdr:to>
      <xdr:col>2</xdr:col>
      <xdr:colOff>3421305</xdr:colOff>
      <xdr:row>1161</xdr:row>
      <xdr:rowOff>669412</xdr:rowOff>
    </xdr:to>
    <xdr:pic>
      <xdr:nvPicPr>
        <xdr:cNvPr id="7" name="image1.png">
          <a:extLst>
            <a:ext uri="{FF2B5EF4-FFF2-40B4-BE49-F238E27FC236}">
              <a16:creationId xmlns:a16="http://schemas.microsoft.com/office/drawing/2014/main" id="{00000000-0008-0000-0300-000007000000}"/>
            </a:ext>
          </a:extLst>
        </xdr:cNvPr>
        <xdr:cNvPicPr/>
      </xdr:nvPicPr>
      <xdr:blipFill>
        <a:blip xmlns:r="http://schemas.openxmlformats.org/officeDocument/2006/relationships" r:embed="rId3"/>
        <a:srcRect/>
        <a:stretch>
          <a:fillRect/>
        </a:stretch>
      </xdr:blipFill>
      <xdr:spPr>
        <a:xfrm>
          <a:off x="1285876" y="14478000"/>
          <a:ext cx="3793433" cy="812286"/>
        </a:xfrm>
        <a:prstGeom prst="rect">
          <a:avLst/>
        </a:prstGeom>
        <a:ln/>
      </xdr:spPr>
    </xdr:pic>
    <xdr:clientData/>
  </xdr:twoCellAnchor>
  <xdr:twoCellAnchor editAs="oneCell">
    <xdr:from>
      <xdr:col>1</xdr:col>
      <xdr:colOff>1263418</xdr:colOff>
      <xdr:row>1160</xdr:row>
      <xdr:rowOff>222250</xdr:rowOff>
    </xdr:from>
    <xdr:to>
      <xdr:col>2</xdr:col>
      <xdr:colOff>2910434</xdr:colOff>
      <xdr:row>1162</xdr:row>
      <xdr:rowOff>169855</xdr:rowOff>
    </xdr:to>
    <xdr:pic>
      <xdr:nvPicPr>
        <xdr:cNvPr id="8" name="image2.png">
          <a:extLst>
            <a:ext uri="{FF2B5EF4-FFF2-40B4-BE49-F238E27FC236}">
              <a16:creationId xmlns:a16="http://schemas.microsoft.com/office/drawing/2014/main" id="{00000000-0008-0000-0300-000008000000}"/>
            </a:ext>
          </a:extLst>
        </xdr:cNvPr>
        <xdr:cNvPicPr/>
      </xdr:nvPicPr>
      <xdr:blipFill>
        <a:blip xmlns:r="http://schemas.openxmlformats.org/officeDocument/2006/relationships" r:embed="rId4"/>
        <a:srcRect/>
        <a:stretch>
          <a:fillRect/>
        </a:stretch>
      </xdr:blipFill>
      <xdr:spPr>
        <a:xfrm>
          <a:off x="1834918" y="14017625"/>
          <a:ext cx="2924020" cy="1598605"/>
        </a:xfrm>
        <a:prstGeom prst="rect">
          <a:avLst/>
        </a:prstGeom>
        <a:ln/>
      </xdr:spPr>
    </xdr:pic>
    <xdr:clientData/>
  </xdr:twoCellAnchor>
  <xdr:twoCellAnchor editAs="oneCell">
    <xdr:from>
      <xdr:col>2</xdr:col>
      <xdr:colOff>187480</xdr:colOff>
      <xdr:row>1160</xdr:row>
      <xdr:rowOff>79375</xdr:rowOff>
    </xdr:from>
    <xdr:to>
      <xdr:col>2</xdr:col>
      <xdr:colOff>2777815</xdr:colOff>
      <xdr:row>1161</xdr:row>
      <xdr:rowOff>721221</xdr:rowOff>
    </xdr:to>
    <xdr:pic>
      <xdr:nvPicPr>
        <xdr:cNvPr id="9" name="image6.png">
          <a:extLst>
            <a:ext uri="{FF2B5EF4-FFF2-40B4-BE49-F238E27FC236}">
              <a16:creationId xmlns:a16="http://schemas.microsoft.com/office/drawing/2014/main" id="{00000000-0008-0000-0300-000009000000}"/>
            </a:ext>
          </a:extLst>
        </xdr:cNvPr>
        <xdr:cNvPicPr/>
      </xdr:nvPicPr>
      <xdr:blipFill>
        <a:blip xmlns:r="http://schemas.openxmlformats.org/officeDocument/2006/relationships" r:embed="rId5"/>
        <a:srcRect/>
        <a:stretch>
          <a:fillRect/>
        </a:stretch>
      </xdr:blipFill>
      <xdr:spPr>
        <a:xfrm>
          <a:off x="2219480" y="13874750"/>
          <a:ext cx="2590335" cy="1467345"/>
        </a:xfrm>
        <a:prstGeom prst="rect">
          <a:avLst/>
        </a:prstGeom>
        <a:ln/>
      </xdr:spPr>
    </xdr:pic>
    <xdr:clientData/>
  </xdr:twoCellAnchor>
  <xdr:twoCellAnchor editAs="oneCell">
    <xdr:from>
      <xdr:col>1</xdr:col>
      <xdr:colOff>1190625</xdr:colOff>
      <xdr:row>1160</xdr:row>
      <xdr:rowOff>412750</xdr:rowOff>
    </xdr:from>
    <xdr:to>
      <xdr:col>2</xdr:col>
      <xdr:colOff>3142673</xdr:colOff>
      <xdr:row>1162</xdr:row>
      <xdr:rowOff>412750</xdr:rowOff>
    </xdr:to>
    <xdr:pic>
      <xdr:nvPicPr>
        <xdr:cNvPr id="10" name="image4.png">
          <a:extLst>
            <a:ext uri="{FF2B5EF4-FFF2-40B4-BE49-F238E27FC236}">
              <a16:creationId xmlns:a16="http://schemas.microsoft.com/office/drawing/2014/main" id="{00000000-0008-0000-0300-00000A000000}"/>
            </a:ext>
          </a:extLst>
        </xdr:cNvPr>
        <xdr:cNvPicPr/>
      </xdr:nvPicPr>
      <xdr:blipFill>
        <a:blip xmlns:r="http://schemas.openxmlformats.org/officeDocument/2006/relationships" r:embed="rId6"/>
        <a:srcRect/>
        <a:stretch>
          <a:fillRect/>
        </a:stretch>
      </xdr:blipFill>
      <xdr:spPr>
        <a:xfrm>
          <a:off x="1762125" y="14208125"/>
          <a:ext cx="3152852" cy="1651000"/>
        </a:xfrm>
        <a:prstGeom prst="rect">
          <a:avLst/>
        </a:prstGeom>
        <a:ln/>
      </xdr:spPr>
    </xdr:pic>
    <xdr:clientData/>
  </xdr:twoCellAnchor>
  <xdr:twoCellAnchor editAs="oneCell">
    <xdr:from>
      <xdr:col>2</xdr:col>
      <xdr:colOff>11617</xdr:colOff>
      <xdr:row>1160</xdr:row>
      <xdr:rowOff>523875</xdr:rowOff>
    </xdr:from>
    <xdr:to>
      <xdr:col>2</xdr:col>
      <xdr:colOff>3159126</xdr:colOff>
      <xdr:row>1162</xdr:row>
      <xdr:rowOff>633074</xdr:rowOff>
    </xdr:to>
    <xdr:pic>
      <xdr:nvPicPr>
        <xdr:cNvPr id="11" name="image3.png">
          <a:extLst>
            <a:ext uri="{FF2B5EF4-FFF2-40B4-BE49-F238E27FC236}">
              <a16:creationId xmlns:a16="http://schemas.microsoft.com/office/drawing/2014/main" id="{00000000-0008-0000-0300-00000B000000}"/>
            </a:ext>
          </a:extLst>
        </xdr:cNvPr>
        <xdr:cNvPicPr/>
      </xdr:nvPicPr>
      <xdr:blipFill>
        <a:blip xmlns:r="http://schemas.openxmlformats.org/officeDocument/2006/relationships" r:embed="rId7"/>
        <a:srcRect/>
        <a:stretch>
          <a:fillRect/>
        </a:stretch>
      </xdr:blipFill>
      <xdr:spPr>
        <a:xfrm>
          <a:off x="2043617" y="14319250"/>
          <a:ext cx="3147509" cy="1760199"/>
        </a:xfrm>
        <a:prstGeom prst="rect">
          <a:avLst/>
        </a:prstGeom>
        <a:ln/>
      </xdr:spPr>
    </xdr:pic>
    <xdr:clientData/>
  </xdr:twoCellAnchor>
  <xdr:twoCellAnchor editAs="oneCell">
    <xdr:from>
      <xdr:col>2</xdr:col>
      <xdr:colOff>59242</xdr:colOff>
      <xdr:row>1160</xdr:row>
      <xdr:rowOff>222250</xdr:rowOff>
    </xdr:from>
    <xdr:to>
      <xdr:col>2</xdr:col>
      <xdr:colOff>3200400</xdr:colOff>
      <xdr:row>1162</xdr:row>
      <xdr:rowOff>600210</xdr:rowOff>
    </xdr:to>
    <xdr:pic>
      <xdr:nvPicPr>
        <xdr:cNvPr id="12" name="image5.png">
          <a:extLst>
            <a:ext uri="{FF2B5EF4-FFF2-40B4-BE49-F238E27FC236}">
              <a16:creationId xmlns:a16="http://schemas.microsoft.com/office/drawing/2014/main" id="{00000000-0008-0000-0300-00000C000000}"/>
            </a:ext>
          </a:extLst>
        </xdr:cNvPr>
        <xdr:cNvPicPr/>
      </xdr:nvPicPr>
      <xdr:blipFill>
        <a:blip xmlns:r="http://schemas.openxmlformats.org/officeDocument/2006/relationships" r:embed="rId8"/>
        <a:srcRect/>
        <a:stretch>
          <a:fillRect/>
        </a:stretch>
      </xdr:blipFill>
      <xdr:spPr>
        <a:xfrm>
          <a:off x="2091242" y="14017625"/>
          <a:ext cx="3141158" cy="2028960"/>
        </a:xfrm>
        <a:prstGeom prst="rect">
          <a:avLst/>
        </a:prstGeom>
        <a:ln/>
      </xdr:spPr>
    </xdr:pic>
    <xdr:clientData/>
  </xdr:twoCellAnchor>
  <xdr:twoCellAnchor>
    <xdr:from>
      <xdr:col>2</xdr:col>
      <xdr:colOff>124598</xdr:colOff>
      <xdr:row>759</xdr:row>
      <xdr:rowOff>31675</xdr:rowOff>
    </xdr:from>
    <xdr:to>
      <xdr:col>2</xdr:col>
      <xdr:colOff>3310517</xdr:colOff>
      <xdr:row>759</xdr:row>
      <xdr:rowOff>391765</xdr:rowOff>
    </xdr:to>
    <xdr:pic>
      <xdr:nvPicPr>
        <xdr:cNvPr id="13" name="image2.png">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153423" y="619166200"/>
          <a:ext cx="3185919" cy="360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31672</xdr:colOff>
      <xdr:row>761</xdr:row>
      <xdr:rowOff>61254</xdr:rowOff>
    </xdr:from>
    <xdr:to>
      <xdr:col>2</xdr:col>
      <xdr:colOff>3536485</xdr:colOff>
      <xdr:row>761</xdr:row>
      <xdr:rowOff>1800457</xdr:rowOff>
    </xdr:to>
    <xdr:pic>
      <xdr:nvPicPr>
        <xdr:cNvPr id="14" name="image4.png">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060497" y="620853129"/>
          <a:ext cx="3504813" cy="7676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58080</xdr:colOff>
      <xdr:row>766</xdr:row>
      <xdr:rowOff>58079</xdr:rowOff>
    </xdr:from>
    <xdr:to>
      <xdr:col>2</xdr:col>
      <xdr:colOff>3473141</xdr:colOff>
      <xdr:row>766</xdr:row>
      <xdr:rowOff>1516411</xdr:rowOff>
    </xdr:to>
    <xdr:pic>
      <xdr:nvPicPr>
        <xdr:cNvPr id="15" name="image11.png">
          <a:extLst>
            <a:ext uri="{FF2B5EF4-FFF2-40B4-BE49-F238E27FC236}">
              <a16:creationId xmlns:a16="http://schemas.microsoft.com/office/drawing/2014/main" id="{00000000-0008-0000-0300-00000F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086905" y="624993329"/>
          <a:ext cx="3415061" cy="7725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595582</xdr:colOff>
      <xdr:row>768</xdr:row>
      <xdr:rowOff>69695</xdr:rowOff>
    </xdr:from>
    <xdr:to>
      <xdr:col>2</xdr:col>
      <xdr:colOff>3133105</xdr:colOff>
      <xdr:row>768</xdr:row>
      <xdr:rowOff>2323170</xdr:rowOff>
    </xdr:to>
    <xdr:pic>
      <xdr:nvPicPr>
        <xdr:cNvPr id="16" name="image5.png">
          <a:extLst>
            <a:ext uri="{FF2B5EF4-FFF2-40B4-BE49-F238E27FC236}">
              <a16:creationId xmlns:a16="http://schemas.microsoft.com/office/drawing/2014/main" id="{00000000-0008-0000-0300-000010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l="9302"/>
        <a:stretch>
          <a:fillRect/>
        </a:stretch>
      </xdr:blipFill>
      <xdr:spPr bwMode="auto">
        <a:xfrm>
          <a:off x="2624407" y="626662295"/>
          <a:ext cx="2537523" cy="75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118249</xdr:colOff>
      <xdr:row>770</xdr:row>
      <xdr:rowOff>83402</xdr:rowOff>
    </xdr:from>
    <xdr:to>
      <xdr:col>2</xdr:col>
      <xdr:colOff>1968344</xdr:colOff>
      <xdr:row>771</xdr:row>
      <xdr:rowOff>1321032</xdr:rowOff>
    </xdr:to>
    <xdr:pic>
      <xdr:nvPicPr>
        <xdr:cNvPr id="17" name="image1.png">
          <a:extLst>
            <a:ext uri="{FF2B5EF4-FFF2-40B4-BE49-F238E27FC236}">
              <a16:creationId xmlns:a16="http://schemas.microsoft.com/office/drawing/2014/main" id="{00000000-0008-0000-0300-000011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r="20990"/>
        <a:stretch>
          <a:fillRect/>
        </a:stretch>
      </xdr:blipFill>
      <xdr:spPr bwMode="auto">
        <a:xfrm>
          <a:off x="2147074" y="628333352"/>
          <a:ext cx="1850095" cy="15710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2087679</xdr:colOff>
      <xdr:row>770</xdr:row>
      <xdr:rowOff>1</xdr:rowOff>
    </xdr:from>
    <xdr:to>
      <xdr:col>2</xdr:col>
      <xdr:colOff>3554451</xdr:colOff>
      <xdr:row>771</xdr:row>
      <xdr:rowOff>1312592</xdr:rowOff>
    </xdr:to>
    <xdr:pic>
      <xdr:nvPicPr>
        <xdr:cNvPr id="18" name="image3.png">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4116504" y="628249951"/>
          <a:ext cx="1466772" cy="1655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960940</xdr:colOff>
      <xdr:row>774</xdr:row>
      <xdr:rowOff>31671</xdr:rowOff>
    </xdr:from>
    <xdr:to>
      <xdr:col>2</xdr:col>
      <xdr:colOff>2555871</xdr:colOff>
      <xdr:row>774</xdr:row>
      <xdr:rowOff>1591372</xdr:rowOff>
    </xdr:to>
    <xdr:pic>
      <xdr:nvPicPr>
        <xdr:cNvPr id="19" name="image6.png">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989765" y="631596321"/>
          <a:ext cx="1594931" cy="797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1176376</xdr:colOff>
      <xdr:row>775</xdr:row>
      <xdr:rowOff>72871</xdr:rowOff>
    </xdr:from>
    <xdr:to>
      <xdr:col>2</xdr:col>
      <xdr:colOff>2308380</xdr:colOff>
      <xdr:row>775</xdr:row>
      <xdr:rowOff>1634301</xdr:rowOff>
    </xdr:to>
    <xdr:pic>
      <xdr:nvPicPr>
        <xdr:cNvPr id="20" name="image10.png">
          <a:extLst>
            <a:ext uri="{FF2B5EF4-FFF2-40B4-BE49-F238E27FC236}">
              <a16:creationId xmlns:a16="http://schemas.microsoft.com/office/drawing/2014/main" id="{00000000-0008-0000-0300-000014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3205201" y="632466196"/>
          <a:ext cx="1132004" cy="7518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660942</xdr:colOff>
      <xdr:row>1160</xdr:row>
      <xdr:rowOff>476250</xdr:rowOff>
    </xdr:from>
    <xdr:to>
      <xdr:col>2</xdr:col>
      <xdr:colOff>2449783</xdr:colOff>
      <xdr:row>1163</xdr:row>
      <xdr:rowOff>470634</xdr:rowOff>
    </xdr:to>
    <xdr:pic>
      <xdr:nvPicPr>
        <xdr:cNvPr id="21" name="Imagen 20">
          <a:extLst>
            <a:ext uri="{FF2B5EF4-FFF2-40B4-BE49-F238E27FC236}">
              <a16:creationId xmlns:a16="http://schemas.microsoft.com/office/drawing/2014/main" id="{00000000-0008-0000-0300-000015000000}"/>
            </a:ext>
          </a:extLst>
        </xdr:cNvPr>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2692942" y="14271625"/>
          <a:ext cx="1788841" cy="2470884"/>
        </a:xfrm>
        <a:prstGeom prst="rect">
          <a:avLst/>
        </a:prstGeom>
      </xdr:spPr>
    </xdr:pic>
    <xdr:clientData/>
  </xdr:twoCellAnchor>
  <xdr:twoCellAnchor editAs="oneCell">
    <xdr:from>
      <xdr:col>2</xdr:col>
      <xdr:colOff>164945</xdr:colOff>
      <xdr:row>1160</xdr:row>
      <xdr:rowOff>682625</xdr:rowOff>
    </xdr:from>
    <xdr:to>
      <xdr:col>2</xdr:col>
      <xdr:colOff>1953786</xdr:colOff>
      <xdr:row>1163</xdr:row>
      <xdr:rowOff>761464</xdr:rowOff>
    </xdr:to>
    <xdr:pic>
      <xdr:nvPicPr>
        <xdr:cNvPr id="22" name="Imagen 21">
          <a:extLst>
            <a:ext uri="{FF2B5EF4-FFF2-40B4-BE49-F238E27FC236}">
              <a16:creationId xmlns:a16="http://schemas.microsoft.com/office/drawing/2014/main" id="{00000000-0008-0000-0300-000016000000}"/>
            </a:ext>
          </a:extLst>
        </xdr:cNvPr>
        <xdr:cNvPicPr>
          <a:picLocks noChangeAspect="1"/>
        </xdr:cNvPicPr>
      </xdr:nvPicPr>
      <xdr:blipFill>
        <a:blip xmlns:r="http://schemas.openxmlformats.org/officeDocument/2006/relationships" r:embed="rId18"/>
        <a:stretch>
          <a:fillRect/>
        </a:stretch>
      </xdr:blipFill>
      <xdr:spPr>
        <a:xfrm>
          <a:off x="2196945" y="14478000"/>
          <a:ext cx="1788841" cy="2555339"/>
        </a:xfrm>
        <a:prstGeom prst="rect">
          <a:avLst/>
        </a:prstGeom>
      </xdr:spPr>
    </xdr:pic>
    <xdr:clientData/>
  </xdr:twoCellAnchor>
  <xdr:twoCellAnchor editAs="oneCell">
    <xdr:from>
      <xdr:col>2</xdr:col>
      <xdr:colOff>1824437</xdr:colOff>
      <xdr:row>1160</xdr:row>
      <xdr:rowOff>619125</xdr:rowOff>
    </xdr:from>
    <xdr:to>
      <xdr:col>3</xdr:col>
      <xdr:colOff>2282705</xdr:colOff>
      <xdr:row>1162</xdr:row>
      <xdr:rowOff>771765</xdr:rowOff>
    </xdr:to>
    <xdr:pic>
      <xdr:nvPicPr>
        <xdr:cNvPr id="23" name="Imagen 22">
          <a:extLst>
            <a:ext uri="{FF2B5EF4-FFF2-40B4-BE49-F238E27FC236}">
              <a16:creationId xmlns:a16="http://schemas.microsoft.com/office/drawing/2014/main" id="{00000000-0008-0000-0300-000017000000}"/>
            </a:ext>
          </a:extLst>
        </xdr:cNvPr>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3856437" y="14414500"/>
          <a:ext cx="4600608" cy="1803640"/>
        </a:xfrm>
        <a:prstGeom prst="rect">
          <a:avLst/>
        </a:prstGeom>
        <a:noFill/>
        <a:ln>
          <a:noFill/>
        </a:ln>
      </xdr:spPr>
    </xdr:pic>
    <xdr:clientData/>
  </xdr:twoCellAnchor>
  <xdr:twoCellAnchor editAs="oneCell">
    <xdr:from>
      <xdr:col>3</xdr:col>
      <xdr:colOff>423126</xdr:colOff>
      <xdr:row>1161</xdr:row>
      <xdr:rowOff>111125</xdr:rowOff>
    </xdr:from>
    <xdr:to>
      <xdr:col>3</xdr:col>
      <xdr:colOff>2853747</xdr:colOff>
      <xdr:row>1162</xdr:row>
      <xdr:rowOff>550171</xdr:rowOff>
    </xdr:to>
    <xdr:pic>
      <xdr:nvPicPr>
        <xdr:cNvPr id="24" name="Imagen 23">
          <a:extLst>
            <a:ext uri="{FF2B5EF4-FFF2-40B4-BE49-F238E27FC236}">
              <a16:creationId xmlns:a16="http://schemas.microsoft.com/office/drawing/2014/main" id="{00000000-0008-0000-0300-000018000000}"/>
            </a:ext>
          </a:extLst>
        </xdr:cNvPr>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7297001" y="14732000"/>
          <a:ext cx="2430621" cy="1264547"/>
        </a:xfrm>
        <a:prstGeom prst="rect">
          <a:avLst/>
        </a:prstGeom>
        <a:noFill/>
        <a:ln>
          <a:noFill/>
        </a:ln>
      </xdr:spPr>
    </xdr:pic>
    <xdr:clientData/>
  </xdr:twoCellAnchor>
  <xdr:twoCellAnchor editAs="oneCell">
    <xdr:from>
      <xdr:col>2</xdr:col>
      <xdr:colOff>435567</xdr:colOff>
      <xdr:row>1161</xdr:row>
      <xdr:rowOff>0</xdr:rowOff>
    </xdr:from>
    <xdr:to>
      <xdr:col>3</xdr:col>
      <xdr:colOff>662420</xdr:colOff>
      <xdr:row>1163</xdr:row>
      <xdr:rowOff>634999</xdr:rowOff>
    </xdr:to>
    <xdr:pic>
      <xdr:nvPicPr>
        <xdr:cNvPr id="25" name="Imagen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20"/>
        <a:stretch>
          <a:fillRect/>
        </a:stretch>
      </xdr:blipFill>
      <xdr:spPr>
        <a:xfrm>
          <a:off x="2467567" y="14620875"/>
          <a:ext cx="4370228" cy="2286000"/>
        </a:xfrm>
        <a:prstGeom prst="rect">
          <a:avLst/>
        </a:prstGeom>
      </xdr:spPr>
    </xdr:pic>
    <xdr:clientData/>
  </xdr:twoCellAnchor>
  <xdr:twoCellAnchor editAs="oneCell">
    <xdr:from>
      <xdr:col>2</xdr:col>
      <xdr:colOff>4689934</xdr:colOff>
      <xdr:row>1161</xdr:row>
      <xdr:rowOff>444500</xdr:rowOff>
    </xdr:from>
    <xdr:to>
      <xdr:col>3</xdr:col>
      <xdr:colOff>4403317</xdr:colOff>
      <xdr:row>1164</xdr:row>
      <xdr:rowOff>240720</xdr:rowOff>
    </xdr:to>
    <xdr:pic>
      <xdr:nvPicPr>
        <xdr:cNvPr id="26" name="Imagen 25">
          <a:extLst>
            <a:ext uri="{FF2B5EF4-FFF2-40B4-BE49-F238E27FC236}">
              <a16:creationId xmlns:a16="http://schemas.microsoft.com/office/drawing/2014/main" id="{00000000-0008-0000-0300-00001A000000}"/>
            </a:ext>
          </a:extLst>
        </xdr:cNvPr>
        <xdr:cNvPicPr>
          <a:picLocks noChangeAspect="1"/>
        </xdr:cNvPicPr>
      </xdr:nvPicPr>
      <xdr:blipFill>
        <a:blip xmlns:r="http://schemas.openxmlformats.org/officeDocument/2006/relationships" r:embed="rId21"/>
        <a:stretch>
          <a:fillRect/>
        </a:stretch>
      </xdr:blipFill>
      <xdr:spPr>
        <a:xfrm>
          <a:off x="6721934" y="15065375"/>
          <a:ext cx="4398648" cy="2272721"/>
        </a:xfrm>
        <a:prstGeom prst="rect">
          <a:avLst/>
        </a:prstGeom>
      </xdr:spPr>
    </xdr:pic>
    <xdr:clientData/>
  </xdr:twoCellAnchor>
  <xdr:twoCellAnchor editAs="oneCell">
    <xdr:from>
      <xdr:col>2</xdr:col>
      <xdr:colOff>342593</xdr:colOff>
      <xdr:row>1160</xdr:row>
      <xdr:rowOff>777875</xdr:rowOff>
    </xdr:from>
    <xdr:to>
      <xdr:col>3</xdr:col>
      <xdr:colOff>1481944</xdr:colOff>
      <xdr:row>1164</xdr:row>
      <xdr:rowOff>641802</xdr:rowOff>
    </xdr:to>
    <xdr:pic>
      <xdr:nvPicPr>
        <xdr:cNvPr id="27" name="1 Imagen">
          <a:extLst>
            <a:ext uri="{FF2B5EF4-FFF2-40B4-BE49-F238E27FC236}">
              <a16:creationId xmlns:a16="http://schemas.microsoft.com/office/drawing/2014/main" id="{00000000-0008-0000-0300-00001B000000}"/>
            </a:ext>
          </a:extLst>
        </xdr:cNvPr>
        <xdr:cNvPicPr/>
      </xdr:nvPicPr>
      <xdr:blipFill>
        <a:blip xmlns:r="http://schemas.openxmlformats.org/officeDocument/2006/relationships" r:embed="rId22"/>
        <a:stretch>
          <a:fillRect/>
        </a:stretch>
      </xdr:blipFill>
      <xdr:spPr>
        <a:xfrm>
          <a:off x="2374593" y="14573250"/>
          <a:ext cx="5281691" cy="316592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142875</xdr:colOff>
      <xdr:row>2</xdr:row>
      <xdr:rowOff>205263</xdr:rowOff>
    </xdr:from>
    <xdr:to>
      <xdr:col>3</xdr:col>
      <xdr:colOff>19050</xdr:colOff>
      <xdr:row>4</xdr:row>
      <xdr:rowOff>266700</xdr:rowOff>
    </xdr:to>
    <xdr:pic>
      <xdr:nvPicPr>
        <xdr:cNvPr id="2" name="89 Imagen">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624363"/>
          <a:ext cx="1438275" cy="1013937"/>
        </a:xfrm>
        <a:prstGeom prst="rect">
          <a:avLst/>
        </a:prstGeom>
        <a:noFill/>
        <a:ln>
          <a:noFill/>
        </a:ln>
      </xdr:spPr>
    </xdr:pic>
    <xdr:clientData/>
  </xdr:twoCellAnchor>
  <xdr:oneCellAnchor>
    <xdr:from>
      <xdr:col>3</xdr:col>
      <xdr:colOff>0</xdr:colOff>
      <xdr:row>175</xdr:row>
      <xdr:rowOff>0</xdr:rowOff>
    </xdr:from>
    <xdr:ext cx="5440268" cy="1800000"/>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3347357" y="269380607"/>
          <a:ext cx="5440268" cy="1800000"/>
        </a:xfrm>
        <a:prstGeom prst="rect">
          <a:avLst/>
        </a:prstGeom>
      </xdr:spPr>
    </xdr:pic>
    <xdr:clientData/>
  </xdr:oneCellAnchor>
  <xdr:twoCellAnchor editAs="oneCell">
    <xdr:from>
      <xdr:col>3</xdr:col>
      <xdr:colOff>0</xdr:colOff>
      <xdr:row>175</xdr:row>
      <xdr:rowOff>2204356</xdr:rowOff>
    </xdr:from>
    <xdr:to>
      <xdr:col>4</xdr:col>
      <xdr:colOff>184164</xdr:colOff>
      <xdr:row>182</xdr:row>
      <xdr:rowOff>278492</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3347357" y="271584963"/>
          <a:ext cx="5148770" cy="2558143"/>
        </a:xfrm>
        <a:prstGeom prst="rect">
          <a:avLst/>
        </a:prstGeom>
      </xdr:spPr>
    </xdr:pic>
    <xdr:clientData/>
  </xdr:twoCellAnchor>
  <xdr:twoCellAnchor editAs="oneCell">
    <xdr:from>
      <xdr:col>3</xdr:col>
      <xdr:colOff>0</xdr:colOff>
      <xdr:row>177</xdr:row>
      <xdr:rowOff>0</xdr:rowOff>
    </xdr:from>
    <xdr:to>
      <xdr:col>3</xdr:col>
      <xdr:colOff>3410811</xdr:colOff>
      <xdr:row>181</xdr:row>
      <xdr:rowOff>276000</xdr:rowOff>
    </xdr:to>
    <xdr:pic>
      <xdr:nvPicPr>
        <xdr:cNvPr id="5" name="Imagen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a:stretch>
          <a:fillRect/>
        </a:stretch>
      </xdr:blipFill>
      <xdr:spPr>
        <a:xfrm>
          <a:off x="3347357" y="274224750"/>
          <a:ext cx="3410811" cy="1800000"/>
        </a:xfrm>
        <a:prstGeom prst="rect">
          <a:avLst/>
        </a:prstGeom>
      </xdr:spPr>
    </xdr:pic>
    <xdr:clientData/>
  </xdr:twoCellAnchor>
  <xdr:twoCellAnchor editAs="oneCell">
    <xdr:from>
      <xdr:col>3</xdr:col>
      <xdr:colOff>873125</xdr:colOff>
      <xdr:row>178</xdr:row>
      <xdr:rowOff>79375</xdr:rowOff>
    </xdr:from>
    <xdr:to>
      <xdr:col>4</xdr:col>
      <xdr:colOff>458349</xdr:colOff>
      <xdr:row>182</xdr:row>
      <xdr:rowOff>355375</xdr:rowOff>
    </xdr:to>
    <xdr:pic>
      <xdr:nvPicPr>
        <xdr:cNvPr id="6" name="Imagen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5"/>
        <a:stretch>
          <a:fillRect/>
        </a:stretch>
      </xdr:blipFill>
      <xdr:spPr>
        <a:xfrm>
          <a:off x="4381500" y="67516375"/>
          <a:ext cx="4547562" cy="1800000"/>
        </a:xfrm>
        <a:prstGeom prst="rect">
          <a:avLst/>
        </a:prstGeom>
      </xdr:spPr>
    </xdr:pic>
    <xdr:clientData/>
  </xdr:twoCellAnchor>
  <xdr:twoCellAnchor editAs="oneCell">
    <xdr:from>
      <xdr:col>2</xdr:col>
      <xdr:colOff>2235651</xdr:colOff>
      <xdr:row>185</xdr:row>
      <xdr:rowOff>0</xdr:rowOff>
    </xdr:from>
    <xdr:to>
      <xdr:col>3</xdr:col>
      <xdr:colOff>3275233</xdr:colOff>
      <xdr:row>190</xdr:row>
      <xdr:rowOff>217714</xdr:rowOff>
    </xdr:to>
    <xdr:pic>
      <xdr:nvPicPr>
        <xdr:cNvPr id="7" name="Imagen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6"/>
        <a:stretch>
          <a:fillRect/>
        </a:stretch>
      </xdr:blipFill>
      <xdr:spPr>
        <a:xfrm>
          <a:off x="3337830" y="288485036"/>
          <a:ext cx="3284761" cy="212271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ionline-my.sharepoint.com/Users/Home/Downloads/3189%20-%203216%2003092020%205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sheetName val="Desplegables"/>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applewebdata://D6AF6E24-088B-4F83-A848-4063A8509114/" TargetMode="External"/><Relationship Id="rId1" Type="http://schemas.openxmlformats.org/officeDocument/2006/relationships/hyperlink" Target="applewebdata://D6AF6E24-088B-4F83-A848-4063A8509114/"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39"/>
  <sheetViews>
    <sheetView zoomScale="60" zoomScaleNormal="60" workbookViewId="0">
      <pane xSplit="1" ySplit="16" topLeftCell="B23" activePane="bottomRight" state="frozen"/>
      <selection activeCell="G5" sqref="G5:G8"/>
      <selection pane="topRight" activeCell="G5" sqref="G5:G8"/>
      <selection pane="bottomLeft" activeCell="G5" sqref="G5:G8"/>
      <selection pane="bottomRight" activeCell="A11" sqref="A11:H11"/>
    </sheetView>
  </sheetViews>
  <sheetFormatPr baseColWidth="10" defaultColWidth="10.85546875" defaultRowHeight="15.75" x14ac:dyDescent="0.25"/>
  <cols>
    <col min="1" max="1" width="5.42578125" style="311" customWidth="1"/>
    <col min="2" max="2" width="17.140625" style="40" customWidth="1"/>
    <col min="3" max="3" width="27" style="40" customWidth="1"/>
    <col min="4" max="4" width="25.28515625" style="40" customWidth="1"/>
    <col min="5" max="5" width="41" style="40" customWidth="1"/>
    <col min="6" max="6" width="17.7109375" style="40" customWidth="1"/>
    <col min="7" max="7" width="13.42578125" style="40" customWidth="1"/>
    <col min="8" max="8" width="73.5703125" style="40" customWidth="1"/>
    <col min="9" max="16384" width="10.85546875" style="40"/>
  </cols>
  <sheetData>
    <row r="1" spans="1:8" x14ac:dyDescent="0.25">
      <c r="A1" s="284"/>
      <c r="B1" s="284"/>
      <c r="C1" s="284"/>
      <c r="D1" s="284"/>
      <c r="E1" s="284"/>
      <c r="F1" s="284"/>
    </row>
    <row r="2" spans="1:8" x14ac:dyDescent="0.25">
      <c r="A2" s="285"/>
      <c r="B2" s="285"/>
      <c r="C2" s="285" t="s">
        <v>2625</v>
      </c>
      <c r="D2" s="285"/>
      <c r="E2" s="285"/>
      <c r="F2" s="286" t="s">
        <v>9814</v>
      </c>
    </row>
    <row r="3" spans="1:8" x14ac:dyDescent="0.25">
      <c r="A3" s="285"/>
      <c r="B3" s="285"/>
      <c r="C3" s="286" t="s">
        <v>2626</v>
      </c>
      <c r="D3" s="287" t="s">
        <v>2627</v>
      </c>
      <c r="E3" s="287"/>
      <c r="F3" s="286" t="s">
        <v>9815</v>
      </c>
    </row>
    <row r="4" spans="1:8" x14ac:dyDescent="0.25">
      <c r="A4" s="285"/>
      <c r="B4" s="285"/>
      <c r="C4" s="286" t="s">
        <v>2628</v>
      </c>
      <c r="D4" s="287" t="s">
        <v>2629</v>
      </c>
      <c r="E4" s="287"/>
      <c r="F4" s="286" t="s">
        <v>9816</v>
      </c>
    </row>
    <row r="5" spans="1:8" x14ac:dyDescent="0.25">
      <c r="A5" s="284"/>
      <c r="B5" s="284"/>
      <c r="C5" s="284"/>
      <c r="D5" s="284"/>
      <c r="E5" s="284"/>
      <c r="F5" s="284"/>
    </row>
    <row r="6" spans="1:8" x14ac:dyDescent="0.25">
      <c r="A6" s="320"/>
      <c r="B6" s="289"/>
      <c r="C6" s="290"/>
      <c r="D6" s="290"/>
      <c r="E6" s="290"/>
      <c r="F6" s="290"/>
    </row>
    <row r="7" spans="1:8" x14ac:dyDescent="0.25">
      <c r="A7" s="291"/>
      <c r="B7" s="291"/>
      <c r="C7" s="291"/>
      <c r="D7" s="292"/>
      <c r="E7" s="292"/>
      <c r="F7" s="288"/>
    </row>
    <row r="8" spans="1:8" x14ac:dyDescent="0.25">
      <c r="A8" s="293" t="s">
        <v>2630</v>
      </c>
      <c r="B8" s="293"/>
      <c r="C8" s="293"/>
      <c r="D8" s="293"/>
      <c r="E8" s="293"/>
      <c r="F8" s="293"/>
    </row>
    <row r="9" spans="1:8" x14ac:dyDescent="0.25">
      <c r="A9" s="279"/>
      <c r="B9" s="279"/>
      <c r="C9" s="290"/>
      <c r="D9" s="290"/>
      <c r="E9" s="290"/>
      <c r="F9" s="290"/>
    </row>
    <row r="10" spans="1:8" x14ac:dyDescent="0.25">
      <c r="A10" s="279"/>
      <c r="B10" s="294" t="s">
        <v>10278</v>
      </c>
      <c r="C10" s="294"/>
      <c r="D10" s="294"/>
      <c r="E10" s="294"/>
      <c r="F10" s="294"/>
    </row>
    <row r="11" spans="1:8" ht="67.5" customHeight="1" x14ac:dyDescent="0.25">
      <c r="A11" s="295" t="s">
        <v>10277</v>
      </c>
      <c r="B11" s="295"/>
      <c r="C11" s="295"/>
      <c r="D11" s="295"/>
      <c r="E11" s="295"/>
      <c r="F11" s="295"/>
      <c r="G11" s="295"/>
      <c r="H11" s="295"/>
    </row>
    <row r="12" spans="1:8" ht="15.75" customHeight="1" x14ac:dyDescent="0.25">
      <c r="A12" s="414"/>
      <c r="B12" s="295" t="s">
        <v>10276</v>
      </c>
      <c r="C12" s="295"/>
      <c r="D12" s="295"/>
      <c r="E12" s="295"/>
      <c r="F12" s="295"/>
      <c r="G12" s="295"/>
      <c r="H12" s="295"/>
    </row>
    <row r="13" spans="1:8" ht="15.75" customHeight="1" x14ac:dyDescent="0.25">
      <c r="A13" s="414"/>
      <c r="B13" s="295"/>
      <c r="C13" s="295"/>
      <c r="D13" s="295"/>
      <c r="E13" s="295"/>
      <c r="F13" s="295"/>
      <c r="G13" s="295"/>
      <c r="H13" s="295"/>
    </row>
    <row r="14" spans="1:8" ht="16.5" thickBot="1" x14ac:dyDescent="0.3">
      <c r="G14" s="41"/>
      <c r="H14" s="41"/>
    </row>
    <row r="15" spans="1:8" ht="13.5" customHeight="1" thickBot="1" x14ac:dyDescent="0.3">
      <c r="A15" s="75" t="s">
        <v>2631</v>
      </c>
      <c r="B15" s="71" t="s">
        <v>0</v>
      </c>
      <c r="C15" s="72" t="s">
        <v>1</v>
      </c>
      <c r="D15" s="73"/>
      <c r="E15" s="74"/>
      <c r="F15" s="75" t="s">
        <v>2</v>
      </c>
      <c r="G15" s="75" t="s">
        <v>3</v>
      </c>
      <c r="H15" s="75" t="s">
        <v>4</v>
      </c>
    </row>
    <row r="16" spans="1:8" ht="13.5" customHeight="1" thickBot="1" x14ac:dyDescent="0.3">
      <c r="A16" s="83"/>
      <c r="B16" s="79" t="s">
        <v>5</v>
      </c>
      <c r="C16" s="80"/>
      <c r="D16" s="81"/>
      <c r="E16" s="82"/>
      <c r="F16" s="83"/>
      <c r="G16" s="83"/>
      <c r="H16" s="83"/>
    </row>
    <row r="17" spans="1:8" ht="30" customHeight="1" x14ac:dyDescent="0.25">
      <c r="A17" s="76" t="s">
        <v>9570</v>
      </c>
      <c r="B17" s="45" t="s">
        <v>6</v>
      </c>
      <c r="C17" s="63" t="s">
        <v>7</v>
      </c>
      <c r="D17" s="64"/>
      <c r="E17" s="65"/>
      <c r="F17" s="84" t="s">
        <v>8</v>
      </c>
      <c r="G17" s="84" t="str">
        <f>+VLOOKUP(1,prueba!$D$2:$E$733,2,FALSE)</f>
        <v xml:space="preserve">TÉCNICA </v>
      </c>
      <c r="H17" s="50" t="s">
        <v>9</v>
      </c>
    </row>
    <row r="18" spans="1:8" ht="30" customHeight="1" x14ac:dyDescent="0.25">
      <c r="A18" s="312"/>
      <c r="B18" s="45" t="s">
        <v>10</v>
      </c>
      <c r="C18" s="53"/>
      <c r="D18" s="54"/>
      <c r="E18" s="55"/>
      <c r="F18" s="85"/>
      <c r="G18" s="85"/>
      <c r="H18" s="86"/>
    </row>
    <row r="19" spans="1:8" ht="30" customHeight="1" x14ac:dyDescent="0.25">
      <c r="A19" s="312"/>
      <c r="B19" s="45"/>
      <c r="C19" s="42"/>
      <c r="D19" s="43"/>
      <c r="E19" s="44"/>
      <c r="F19" s="85"/>
      <c r="G19" s="85"/>
      <c r="H19" s="86"/>
    </row>
    <row r="20" spans="1:8" ht="99" customHeight="1" thickBot="1" x14ac:dyDescent="0.3">
      <c r="A20" s="83"/>
      <c r="B20" s="87">
        <v>43928</v>
      </c>
      <c r="C20" s="88" t="s">
        <v>11</v>
      </c>
      <c r="D20" s="89"/>
      <c r="E20" s="90"/>
      <c r="F20" s="77"/>
      <c r="G20" s="77"/>
      <c r="H20" s="91"/>
    </row>
    <row r="21" spans="1:8" ht="30" customHeight="1" x14ac:dyDescent="0.25">
      <c r="A21" s="76" t="s">
        <v>9571</v>
      </c>
      <c r="B21" s="45" t="s">
        <v>12</v>
      </c>
      <c r="C21" s="63" t="s">
        <v>13</v>
      </c>
      <c r="D21" s="64"/>
      <c r="E21" s="65"/>
      <c r="F21" s="84" t="s">
        <v>14</v>
      </c>
      <c r="G21" s="84" t="str">
        <f>+VLOOKUP(2,prueba!$D$2:$E$733,2,FALSE)</f>
        <v>TÉCNICA</v>
      </c>
      <c r="H21" s="50" t="s">
        <v>15</v>
      </c>
    </row>
    <row r="22" spans="1:8" ht="30" customHeight="1" x14ac:dyDescent="0.25">
      <c r="A22" s="312"/>
      <c r="B22" s="45" t="s">
        <v>16</v>
      </c>
      <c r="C22" s="92" t="s">
        <v>9572</v>
      </c>
      <c r="D22" s="93"/>
      <c r="E22" s="94"/>
      <c r="F22" s="85"/>
      <c r="G22" s="85"/>
      <c r="H22" s="86"/>
    </row>
    <row r="23" spans="1:8" ht="30" customHeight="1" x14ac:dyDescent="0.25">
      <c r="A23" s="312"/>
      <c r="B23" s="95">
        <v>43934</v>
      </c>
      <c r="C23" s="92" t="s">
        <v>9573</v>
      </c>
      <c r="D23" s="93"/>
      <c r="E23" s="94"/>
      <c r="F23" s="85"/>
      <c r="G23" s="85"/>
      <c r="H23" s="86"/>
    </row>
    <row r="24" spans="1:8" ht="30" customHeight="1" x14ac:dyDescent="0.25">
      <c r="A24" s="312"/>
      <c r="B24" s="96"/>
      <c r="C24" s="92" t="s">
        <v>9574</v>
      </c>
      <c r="D24" s="93"/>
      <c r="E24" s="94"/>
      <c r="F24" s="85"/>
      <c r="G24" s="85"/>
      <c r="H24" s="86"/>
    </row>
    <row r="25" spans="1:8" ht="30" customHeight="1" x14ac:dyDescent="0.25">
      <c r="A25" s="312"/>
      <c r="B25" s="45"/>
      <c r="C25" s="92" t="s">
        <v>9575</v>
      </c>
      <c r="D25" s="93"/>
      <c r="E25" s="94"/>
      <c r="F25" s="85"/>
      <c r="G25" s="85"/>
      <c r="H25" s="86"/>
    </row>
    <row r="26" spans="1:8" ht="30" customHeight="1" x14ac:dyDescent="0.25">
      <c r="A26" s="312"/>
      <c r="B26" s="45"/>
      <c r="C26" s="92" t="s">
        <v>9576</v>
      </c>
      <c r="D26" s="93"/>
      <c r="E26" s="94"/>
      <c r="F26" s="85"/>
      <c r="G26" s="85"/>
      <c r="H26" s="86"/>
    </row>
    <row r="27" spans="1:8" ht="30" customHeight="1" x14ac:dyDescent="0.25">
      <c r="A27" s="312"/>
      <c r="B27" s="45"/>
      <c r="C27" s="92" t="s">
        <v>9577</v>
      </c>
      <c r="D27" s="93"/>
      <c r="E27" s="94"/>
      <c r="F27" s="85"/>
      <c r="G27" s="85"/>
      <c r="H27" s="86"/>
    </row>
    <row r="28" spans="1:8" ht="30" customHeight="1" x14ac:dyDescent="0.25">
      <c r="A28" s="312"/>
      <c r="B28" s="45"/>
      <c r="C28" s="53" t="s">
        <v>17</v>
      </c>
      <c r="D28" s="54"/>
      <c r="E28" s="55"/>
      <c r="F28" s="85"/>
      <c r="G28" s="85"/>
      <c r="H28" s="86"/>
    </row>
    <row r="29" spans="1:8" ht="103.5" customHeight="1" thickBot="1" x14ac:dyDescent="0.3">
      <c r="A29" s="83"/>
      <c r="B29" s="46"/>
      <c r="C29" s="88"/>
      <c r="D29" s="89"/>
      <c r="E29" s="90"/>
      <c r="F29" s="77"/>
      <c r="G29" s="77"/>
      <c r="H29" s="91"/>
    </row>
    <row r="30" spans="1:8" ht="30" customHeight="1" x14ac:dyDescent="0.25">
      <c r="A30" s="76" t="s">
        <v>9578</v>
      </c>
      <c r="B30" s="96" t="s">
        <v>18</v>
      </c>
      <c r="C30" s="63" t="s">
        <v>19</v>
      </c>
      <c r="D30" s="64"/>
      <c r="E30" s="65"/>
      <c r="F30" s="56" t="s">
        <v>20</v>
      </c>
      <c r="G30" s="84" t="str">
        <f>+VLOOKUP(3,prueba!$D$2:$E$733,2,FALSE)</f>
        <v>JURÍDICA - CONTRATACIÓN</v>
      </c>
      <c r="H30" s="50" t="s">
        <v>21</v>
      </c>
    </row>
    <row r="31" spans="1:8" ht="30" customHeight="1" x14ac:dyDescent="0.25">
      <c r="A31" s="312"/>
      <c r="B31" s="97">
        <v>43935</v>
      </c>
      <c r="C31" s="53"/>
      <c r="D31" s="54"/>
      <c r="E31" s="55"/>
      <c r="F31" s="56" t="s">
        <v>22</v>
      </c>
      <c r="G31" s="85"/>
      <c r="H31" s="86"/>
    </row>
    <row r="32" spans="1:8" ht="30" customHeight="1" x14ac:dyDescent="0.25">
      <c r="A32" s="312"/>
      <c r="B32" s="45"/>
      <c r="C32" s="53" t="s">
        <v>23</v>
      </c>
      <c r="D32" s="54"/>
      <c r="E32" s="55"/>
      <c r="F32" s="45"/>
      <c r="G32" s="85"/>
      <c r="H32" s="86"/>
    </row>
    <row r="33" spans="1:8" ht="30" customHeight="1" x14ac:dyDescent="0.25">
      <c r="A33" s="312"/>
      <c r="B33" s="45"/>
      <c r="C33" s="53"/>
      <c r="D33" s="54"/>
      <c r="E33" s="55"/>
      <c r="F33" s="45"/>
      <c r="G33" s="85"/>
      <c r="H33" s="86"/>
    </row>
    <row r="34" spans="1:8" ht="30" customHeight="1" x14ac:dyDescent="0.25">
      <c r="A34" s="312"/>
      <c r="B34" s="45"/>
      <c r="C34" s="53" t="s">
        <v>24</v>
      </c>
      <c r="D34" s="54"/>
      <c r="E34" s="55"/>
      <c r="F34" s="45"/>
      <c r="G34" s="85"/>
      <c r="H34" s="86"/>
    </row>
    <row r="35" spans="1:8" ht="30" customHeight="1" x14ac:dyDescent="0.25">
      <c r="A35" s="312"/>
      <c r="B35" s="45"/>
      <c r="C35" s="53"/>
      <c r="D35" s="54"/>
      <c r="E35" s="55"/>
      <c r="F35" s="45"/>
      <c r="G35" s="85"/>
      <c r="H35" s="86"/>
    </row>
    <row r="36" spans="1:8" ht="30" customHeight="1" x14ac:dyDescent="0.25">
      <c r="A36" s="312"/>
      <c r="B36" s="45"/>
      <c r="C36" s="53" t="s">
        <v>25</v>
      </c>
      <c r="D36" s="54"/>
      <c r="E36" s="55"/>
      <c r="F36" s="45"/>
      <c r="G36" s="85"/>
      <c r="H36" s="86"/>
    </row>
    <row r="37" spans="1:8" ht="30" customHeight="1" x14ac:dyDescent="0.25">
      <c r="A37" s="312"/>
      <c r="B37" s="45"/>
      <c r="C37" s="53"/>
      <c r="D37" s="54"/>
      <c r="E37" s="55"/>
      <c r="F37" s="45"/>
      <c r="G37" s="85"/>
      <c r="H37" s="86"/>
    </row>
    <row r="38" spans="1:8" ht="30" customHeight="1" thickBot="1" x14ac:dyDescent="0.3">
      <c r="A38" s="83"/>
      <c r="B38" s="46"/>
      <c r="C38" s="88" t="s">
        <v>26</v>
      </c>
      <c r="D38" s="89"/>
      <c r="E38" s="90"/>
      <c r="F38" s="46"/>
      <c r="G38" s="77"/>
      <c r="H38" s="91"/>
    </row>
    <row r="39" spans="1:8" ht="30" customHeight="1" x14ac:dyDescent="0.25">
      <c r="A39" s="76" t="s">
        <v>9579</v>
      </c>
      <c r="B39" s="96" t="s">
        <v>27</v>
      </c>
      <c r="C39" s="170" t="s">
        <v>10272</v>
      </c>
      <c r="D39" s="171"/>
      <c r="E39" s="153"/>
      <c r="F39" s="84" t="s">
        <v>28</v>
      </c>
      <c r="G39" s="84" t="str">
        <f>+VLOOKUP(4,prueba!$D$2:$E$733,2,FALSE)</f>
        <v xml:space="preserve">TÉCNICA – JURÍDICA ESTRUCTURACIÓN </v>
      </c>
      <c r="H39" s="50" t="s">
        <v>10271</v>
      </c>
    </row>
    <row r="40" spans="1:8" ht="30" customHeight="1" x14ac:dyDescent="0.25">
      <c r="A40" s="312"/>
      <c r="B40" s="97">
        <v>43936</v>
      </c>
      <c r="C40" s="176"/>
      <c r="D40" s="324"/>
      <c r="E40" s="178"/>
      <c r="F40" s="85"/>
      <c r="G40" s="85"/>
      <c r="H40" s="86"/>
    </row>
    <row r="41" spans="1:8" ht="174" customHeight="1" thickBot="1" x14ac:dyDescent="0.3">
      <c r="A41" s="83"/>
      <c r="B41" s="46"/>
      <c r="C41" s="325"/>
      <c r="D41" s="326"/>
      <c r="E41" s="327"/>
      <c r="F41" s="77"/>
      <c r="G41" s="77"/>
      <c r="H41" s="91"/>
    </row>
    <row r="42" spans="1:8" ht="30" customHeight="1" x14ac:dyDescent="0.25">
      <c r="A42" s="76" t="s">
        <v>9580</v>
      </c>
      <c r="B42" s="96" t="s">
        <v>29</v>
      </c>
      <c r="C42" s="100" t="s">
        <v>30</v>
      </c>
      <c r="D42" s="101"/>
      <c r="E42" s="102"/>
      <c r="F42" s="84" t="s">
        <v>28</v>
      </c>
      <c r="G42" s="84" t="str">
        <f>+VLOOKUP(5,prueba!$D$2:$E$733,2,FALSE)</f>
        <v xml:space="preserve">TÉCNICA – JURÍDICA ESTRUCTURACIÓN </v>
      </c>
      <c r="H42" s="50" t="s">
        <v>31</v>
      </c>
    </row>
    <row r="43" spans="1:8" ht="30" customHeight="1" x14ac:dyDescent="0.25">
      <c r="A43" s="312"/>
      <c r="B43" s="96" t="s">
        <v>32</v>
      </c>
      <c r="C43" s="42" t="s">
        <v>33</v>
      </c>
      <c r="D43" s="43"/>
      <c r="E43" s="44"/>
      <c r="F43" s="85"/>
      <c r="G43" s="85"/>
      <c r="H43" s="86"/>
    </row>
    <row r="44" spans="1:8" ht="30" customHeight="1" x14ac:dyDescent="0.25">
      <c r="A44" s="312"/>
      <c r="B44" s="97">
        <v>43937</v>
      </c>
      <c r="C44" s="42" t="s">
        <v>34</v>
      </c>
      <c r="D44" s="43"/>
      <c r="E44" s="44"/>
      <c r="F44" s="85"/>
      <c r="G44" s="85"/>
      <c r="H44" s="86"/>
    </row>
    <row r="45" spans="1:8" ht="30" customHeight="1" x14ac:dyDescent="0.25">
      <c r="A45" s="312"/>
      <c r="B45" s="45"/>
      <c r="C45" s="42" t="s">
        <v>35</v>
      </c>
      <c r="D45" s="43"/>
      <c r="E45" s="44"/>
      <c r="F45" s="85"/>
      <c r="G45" s="85"/>
      <c r="H45" s="86"/>
    </row>
    <row r="46" spans="1:8" ht="30" customHeight="1" thickBot="1" x14ac:dyDescent="0.3">
      <c r="A46" s="83"/>
      <c r="B46" s="46"/>
      <c r="C46" s="103" t="s">
        <v>36</v>
      </c>
      <c r="D46" s="104"/>
      <c r="E46" s="105"/>
      <c r="F46" s="77"/>
      <c r="G46" s="77"/>
      <c r="H46" s="91"/>
    </row>
    <row r="47" spans="1:8" ht="30" customHeight="1" x14ac:dyDescent="0.25">
      <c r="A47" s="76" t="s">
        <v>9581</v>
      </c>
      <c r="B47" s="96" t="s">
        <v>37</v>
      </c>
      <c r="C47" s="100" t="s">
        <v>38</v>
      </c>
      <c r="D47" s="101"/>
      <c r="E47" s="102"/>
      <c r="F47" s="84" t="s">
        <v>39</v>
      </c>
      <c r="G47" s="84" t="str">
        <f>+VLOOKUP(6,prueba!$D$2:$E$733,2,FALSE)</f>
        <v xml:space="preserve">TÉCNICA </v>
      </c>
      <c r="H47" s="50" t="s">
        <v>41</v>
      </c>
    </row>
    <row r="48" spans="1:8" ht="30" customHeight="1" x14ac:dyDescent="0.25">
      <c r="A48" s="312"/>
      <c r="B48" s="96" t="s">
        <v>42</v>
      </c>
      <c r="C48" s="42" t="s">
        <v>43</v>
      </c>
      <c r="D48" s="43"/>
      <c r="E48" s="44"/>
      <c r="F48" s="85"/>
      <c r="G48" s="85"/>
      <c r="H48" s="86"/>
    </row>
    <row r="49" spans="1:8" ht="30" customHeight="1" thickBot="1" x14ac:dyDescent="0.3">
      <c r="A49" s="83"/>
      <c r="B49" s="106">
        <v>43938</v>
      </c>
      <c r="C49" s="47"/>
      <c r="D49" s="48"/>
      <c r="E49" s="49"/>
      <c r="F49" s="77"/>
      <c r="G49" s="77"/>
      <c r="H49" s="91"/>
    </row>
    <row r="50" spans="1:8" ht="30" customHeight="1" x14ac:dyDescent="0.25">
      <c r="A50" s="76" t="s">
        <v>9582</v>
      </c>
      <c r="B50" s="96" t="s">
        <v>18</v>
      </c>
      <c r="C50" s="63" t="s">
        <v>44</v>
      </c>
      <c r="D50" s="64"/>
      <c r="E50" s="65"/>
      <c r="F50" s="56" t="s">
        <v>20</v>
      </c>
      <c r="G50" s="84" t="str">
        <f>+VLOOKUP(7,prueba!$D$2:$E$733,2,FALSE)</f>
        <v>JURÍDICA - CONTRATACIÓN</v>
      </c>
      <c r="H50" s="50" t="s">
        <v>21</v>
      </c>
    </row>
    <row r="51" spans="1:8" ht="30" customHeight="1" x14ac:dyDescent="0.25">
      <c r="A51" s="312"/>
      <c r="B51" s="97">
        <v>43942</v>
      </c>
      <c r="C51" s="53" t="s">
        <v>45</v>
      </c>
      <c r="D51" s="54"/>
      <c r="E51" s="55"/>
      <c r="F51" s="56" t="s">
        <v>22</v>
      </c>
      <c r="G51" s="85"/>
      <c r="H51" s="86"/>
    </row>
    <row r="52" spans="1:8" ht="30" customHeight="1" x14ac:dyDescent="0.25">
      <c r="A52" s="312"/>
      <c r="B52" s="45"/>
      <c r="C52" s="53" t="s">
        <v>46</v>
      </c>
      <c r="D52" s="54"/>
      <c r="E52" s="55"/>
      <c r="F52" s="45"/>
      <c r="G52" s="85"/>
      <c r="H52" s="86"/>
    </row>
    <row r="53" spans="1:8" ht="30" customHeight="1" x14ac:dyDescent="0.25">
      <c r="A53" s="312"/>
      <c r="B53" s="45"/>
      <c r="C53" s="53" t="s">
        <v>47</v>
      </c>
      <c r="D53" s="54"/>
      <c r="E53" s="55"/>
      <c r="F53" s="45"/>
      <c r="G53" s="85"/>
      <c r="H53" s="86"/>
    </row>
    <row r="54" spans="1:8" ht="30" customHeight="1" thickBot="1" x14ac:dyDescent="0.3">
      <c r="A54" s="83"/>
      <c r="B54" s="46"/>
      <c r="C54" s="88" t="s">
        <v>48</v>
      </c>
      <c r="D54" s="89"/>
      <c r="E54" s="90"/>
      <c r="F54" s="46"/>
      <c r="G54" s="77"/>
      <c r="H54" s="91"/>
    </row>
    <row r="55" spans="1:8" ht="30" customHeight="1" x14ac:dyDescent="0.25">
      <c r="A55" s="76" t="s">
        <v>9583</v>
      </c>
      <c r="B55" s="96" t="s">
        <v>49</v>
      </c>
      <c r="C55" s="63" t="s">
        <v>50</v>
      </c>
      <c r="D55" s="64"/>
      <c r="E55" s="65"/>
      <c r="F55" s="84" t="s">
        <v>51</v>
      </c>
      <c r="G55" s="84" t="str">
        <f>+VLOOKUP(8,prueba!$D$2:$E$733,2,FALSE)</f>
        <v xml:space="preserve">FINANCIERA </v>
      </c>
      <c r="H55" s="50" t="s">
        <v>7356</v>
      </c>
    </row>
    <row r="56" spans="1:8" ht="30" customHeight="1" thickBot="1" x14ac:dyDescent="0.3">
      <c r="A56" s="83"/>
      <c r="B56" s="106">
        <v>43943</v>
      </c>
      <c r="C56" s="88" t="s">
        <v>53</v>
      </c>
      <c r="D56" s="89"/>
      <c r="E56" s="90"/>
      <c r="F56" s="77"/>
      <c r="G56" s="77"/>
      <c r="H56" s="91"/>
    </row>
    <row r="57" spans="1:8" ht="30" customHeight="1" x14ac:dyDescent="0.25">
      <c r="A57" s="76" t="s">
        <v>9584</v>
      </c>
      <c r="B57" s="96" t="s">
        <v>54</v>
      </c>
      <c r="C57" s="63" t="s">
        <v>55</v>
      </c>
      <c r="D57" s="64"/>
      <c r="E57" s="65"/>
      <c r="F57" s="84" t="s">
        <v>56</v>
      </c>
      <c r="G57" s="84" t="str">
        <f>+VLOOKUP(9,prueba!$D$2:$E$733,2,FALSE)</f>
        <v>JURÍDICA – CONTRATACIÓN</v>
      </c>
      <c r="H57" s="50" t="s">
        <v>57</v>
      </c>
    </row>
    <row r="58" spans="1:8" ht="30" customHeight="1" x14ac:dyDescent="0.25">
      <c r="A58" s="312"/>
      <c r="B58" s="96" t="s">
        <v>58</v>
      </c>
      <c r="C58" s="53"/>
      <c r="D58" s="54"/>
      <c r="E58" s="55"/>
      <c r="F58" s="85"/>
      <c r="G58" s="85"/>
      <c r="H58" s="86"/>
    </row>
    <row r="59" spans="1:8" ht="30" customHeight="1" thickBot="1" x14ac:dyDescent="0.3">
      <c r="A59" s="83"/>
      <c r="B59" s="106">
        <v>43943</v>
      </c>
      <c r="C59" s="88"/>
      <c r="D59" s="89"/>
      <c r="E59" s="90"/>
      <c r="F59" s="77"/>
      <c r="G59" s="77"/>
      <c r="H59" s="91"/>
    </row>
    <row r="60" spans="1:8" ht="30" customHeight="1" x14ac:dyDescent="0.25">
      <c r="A60" s="76" t="s">
        <v>9585</v>
      </c>
      <c r="B60" s="96" t="s">
        <v>54</v>
      </c>
      <c r="C60" s="63" t="s">
        <v>59</v>
      </c>
      <c r="D60" s="64"/>
      <c r="E60" s="65"/>
      <c r="F60" s="84" t="s">
        <v>56</v>
      </c>
      <c r="G60" s="84" t="str">
        <f>+VLOOKUP(10,prueba!$D$2:$E$733,2,FALSE)</f>
        <v>JURÍDICA – CONTRATACIÓN</v>
      </c>
      <c r="H60" s="50" t="s">
        <v>21</v>
      </c>
    </row>
    <row r="61" spans="1:8" ht="30" customHeight="1" x14ac:dyDescent="0.25">
      <c r="A61" s="312"/>
      <c r="B61" s="96" t="s">
        <v>58</v>
      </c>
      <c r="C61" s="53"/>
      <c r="D61" s="54"/>
      <c r="E61" s="55"/>
      <c r="F61" s="85"/>
      <c r="G61" s="85"/>
      <c r="H61" s="86"/>
    </row>
    <row r="62" spans="1:8" ht="30" customHeight="1" thickBot="1" x14ac:dyDescent="0.3">
      <c r="A62" s="83"/>
      <c r="B62" s="106">
        <v>43943</v>
      </c>
      <c r="C62" s="88"/>
      <c r="D62" s="89"/>
      <c r="E62" s="90"/>
      <c r="F62" s="77"/>
      <c r="G62" s="77"/>
      <c r="H62" s="91"/>
    </row>
    <row r="63" spans="1:8" ht="30" customHeight="1" x14ac:dyDescent="0.25">
      <c r="A63" s="76" t="s">
        <v>9586</v>
      </c>
      <c r="B63" s="96" t="s">
        <v>54</v>
      </c>
      <c r="C63" s="63" t="s">
        <v>60</v>
      </c>
      <c r="D63" s="64"/>
      <c r="E63" s="65"/>
      <c r="F63" s="84" t="s">
        <v>61</v>
      </c>
      <c r="G63" s="84" t="str">
        <f>+VLOOKUP(11,prueba!$D$2:$E$733,2,FALSE)</f>
        <v xml:space="preserve">FINANCIERA </v>
      </c>
      <c r="H63" s="50" t="s">
        <v>62</v>
      </c>
    </row>
    <row r="64" spans="1:8" ht="30" customHeight="1" x14ac:dyDescent="0.25">
      <c r="A64" s="312"/>
      <c r="B64" s="96" t="s">
        <v>58</v>
      </c>
      <c r="C64" s="53"/>
      <c r="D64" s="54"/>
      <c r="E64" s="55"/>
      <c r="F64" s="85"/>
      <c r="G64" s="85"/>
      <c r="H64" s="86"/>
    </row>
    <row r="65" spans="1:8" ht="30" customHeight="1" thickBot="1" x14ac:dyDescent="0.3">
      <c r="A65" s="83"/>
      <c r="B65" s="106">
        <v>43943</v>
      </c>
      <c r="C65" s="88"/>
      <c r="D65" s="89"/>
      <c r="E65" s="90"/>
      <c r="F65" s="77"/>
      <c r="G65" s="77"/>
      <c r="H65" s="91"/>
    </row>
    <row r="66" spans="1:8" ht="30" customHeight="1" x14ac:dyDescent="0.25">
      <c r="A66" s="76" t="s">
        <v>9587</v>
      </c>
      <c r="B66" s="96" t="s">
        <v>54</v>
      </c>
      <c r="C66" s="63" t="s">
        <v>63</v>
      </c>
      <c r="D66" s="64"/>
      <c r="E66" s="65"/>
      <c r="F66" s="84" t="s">
        <v>64</v>
      </c>
      <c r="G66" s="84" t="str">
        <f>+VLOOKUP(12,prueba!$D$2:$E$733,2,FALSE)</f>
        <v>JURÍDICA Y FINANCIERO</v>
      </c>
      <c r="H66" s="50" t="s">
        <v>9210</v>
      </c>
    </row>
    <row r="67" spans="1:8" ht="30" customHeight="1" x14ac:dyDescent="0.25">
      <c r="A67" s="312"/>
      <c r="B67" s="96" t="s">
        <v>58</v>
      </c>
      <c r="C67" s="53"/>
      <c r="D67" s="54"/>
      <c r="E67" s="55"/>
      <c r="F67" s="85"/>
      <c r="G67" s="85"/>
      <c r="H67" s="86"/>
    </row>
    <row r="68" spans="1:8" ht="30" customHeight="1" thickBot="1" x14ac:dyDescent="0.3">
      <c r="A68" s="83"/>
      <c r="B68" s="106">
        <v>43943</v>
      </c>
      <c r="C68" s="88"/>
      <c r="D68" s="89"/>
      <c r="E68" s="90"/>
      <c r="F68" s="77"/>
      <c r="G68" s="77"/>
      <c r="H68" s="91"/>
    </row>
    <row r="69" spans="1:8" ht="30" customHeight="1" x14ac:dyDescent="0.25">
      <c r="A69" s="76" t="s">
        <v>9588</v>
      </c>
      <c r="B69" s="96" t="s">
        <v>54</v>
      </c>
      <c r="C69" s="63" t="s">
        <v>65</v>
      </c>
      <c r="D69" s="64"/>
      <c r="E69" s="65"/>
      <c r="F69" s="84" t="s">
        <v>66</v>
      </c>
      <c r="G69" s="84" t="str">
        <f>+VLOOKUP(13,prueba!$D$2:$E$733,2,FALSE)</f>
        <v>JURÍDICA Y FINANCIERO</v>
      </c>
      <c r="H69" s="50" t="s">
        <v>9210</v>
      </c>
    </row>
    <row r="70" spans="1:8" ht="30" customHeight="1" x14ac:dyDescent="0.25">
      <c r="A70" s="312"/>
      <c r="B70" s="96" t="s">
        <v>58</v>
      </c>
      <c r="C70" s="53"/>
      <c r="D70" s="54"/>
      <c r="E70" s="55"/>
      <c r="F70" s="85"/>
      <c r="G70" s="85"/>
      <c r="H70" s="86"/>
    </row>
    <row r="71" spans="1:8" ht="30" customHeight="1" thickBot="1" x14ac:dyDescent="0.3">
      <c r="A71" s="83"/>
      <c r="B71" s="106">
        <v>43943</v>
      </c>
      <c r="C71" s="88"/>
      <c r="D71" s="89"/>
      <c r="E71" s="90"/>
      <c r="F71" s="77"/>
      <c r="G71" s="77"/>
      <c r="H71" s="91"/>
    </row>
    <row r="72" spans="1:8" ht="30" customHeight="1" x14ac:dyDescent="0.25">
      <c r="A72" s="76" t="s">
        <v>9589</v>
      </c>
      <c r="B72" s="96" t="s">
        <v>54</v>
      </c>
      <c r="C72" s="63" t="s">
        <v>67</v>
      </c>
      <c r="D72" s="64"/>
      <c r="E72" s="65"/>
      <c r="F72" s="56" t="s">
        <v>68</v>
      </c>
      <c r="G72" s="84" t="str">
        <f>+VLOOKUP(14,prueba!$D$2:$E$733,2,FALSE)</f>
        <v xml:space="preserve">FINANCIERA </v>
      </c>
      <c r="H72" s="50" t="s">
        <v>69</v>
      </c>
    </row>
    <row r="73" spans="1:8" ht="30" customHeight="1" x14ac:dyDescent="0.25">
      <c r="A73" s="312"/>
      <c r="B73" s="96" t="s">
        <v>58</v>
      </c>
      <c r="C73" s="53"/>
      <c r="D73" s="54"/>
      <c r="E73" s="55"/>
      <c r="F73" s="56" t="s">
        <v>70</v>
      </c>
      <c r="G73" s="85"/>
      <c r="H73" s="86"/>
    </row>
    <row r="74" spans="1:8" ht="30" customHeight="1" thickBot="1" x14ac:dyDescent="0.3">
      <c r="A74" s="83"/>
      <c r="B74" s="106">
        <v>43943</v>
      </c>
      <c r="C74" s="88"/>
      <c r="D74" s="89"/>
      <c r="E74" s="90"/>
      <c r="F74" s="51"/>
      <c r="G74" s="77"/>
      <c r="H74" s="91"/>
    </row>
    <row r="75" spans="1:8" ht="30" customHeight="1" thickBot="1" x14ac:dyDescent="0.3">
      <c r="A75" s="313" t="s">
        <v>9590</v>
      </c>
      <c r="B75" s="52" t="s">
        <v>71</v>
      </c>
      <c r="C75" s="108" t="s">
        <v>72</v>
      </c>
      <c r="D75" s="109"/>
      <c r="E75" s="110"/>
      <c r="F75" s="78" t="s">
        <v>73</v>
      </c>
      <c r="G75" s="107" t="str">
        <f>+VLOOKUP(15,prueba!$D$2:$E$733,2,FALSE)</f>
        <v>JURÍDICO – CONTRATACIÓN</v>
      </c>
      <c r="H75" s="52" t="s">
        <v>75</v>
      </c>
    </row>
    <row r="76" spans="1:8" ht="30" customHeight="1" thickBot="1" x14ac:dyDescent="0.3">
      <c r="A76" s="313" t="s">
        <v>9591</v>
      </c>
      <c r="B76" s="52" t="s">
        <v>71</v>
      </c>
      <c r="C76" s="108" t="s">
        <v>76</v>
      </c>
      <c r="D76" s="109"/>
      <c r="E76" s="110"/>
      <c r="F76" s="78" t="s">
        <v>77</v>
      </c>
      <c r="G76" s="107" t="str">
        <f>+VLOOKUP(16,prueba!$D$2:$E$733,2,FALSE)</f>
        <v>JURÍDICA -CONTRATACIÓN</v>
      </c>
      <c r="H76" s="52" t="s">
        <v>21</v>
      </c>
    </row>
    <row r="77" spans="1:8" ht="30" customHeight="1" x14ac:dyDescent="0.25">
      <c r="A77" s="76" t="s">
        <v>9592</v>
      </c>
      <c r="B77" s="50" t="s">
        <v>71</v>
      </c>
      <c r="C77" s="63" t="s">
        <v>78</v>
      </c>
      <c r="D77" s="64"/>
      <c r="E77" s="65"/>
      <c r="F77" s="45" t="s">
        <v>79</v>
      </c>
      <c r="G77" s="84" t="str">
        <f>+VLOOKUP(17,prueba!$D$2:$E$733,2,FALSE)</f>
        <v>JURÍDICA -CONTRATACIÓN</v>
      </c>
      <c r="H77" s="50" t="s">
        <v>80</v>
      </c>
    </row>
    <row r="78" spans="1:8" ht="57.75" customHeight="1" thickBot="1" x14ac:dyDescent="0.3">
      <c r="A78" s="83"/>
      <c r="B78" s="91"/>
      <c r="C78" s="88"/>
      <c r="D78" s="89"/>
      <c r="E78" s="90"/>
      <c r="F78" s="78" t="s">
        <v>81</v>
      </c>
      <c r="G78" s="77"/>
      <c r="H78" s="91"/>
    </row>
    <row r="79" spans="1:8" ht="30" customHeight="1" thickBot="1" x14ac:dyDescent="0.3">
      <c r="A79" s="313" t="s">
        <v>9593</v>
      </c>
      <c r="B79" s="52" t="s">
        <v>71</v>
      </c>
      <c r="C79" s="108" t="s">
        <v>82</v>
      </c>
      <c r="D79" s="109"/>
      <c r="E79" s="110"/>
      <c r="F79" s="78" t="s">
        <v>83</v>
      </c>
      <c r="G79" s="107" t="str">
        <f>+VLOOKUP(18,prueba!$D$2:$E$733,2,FALSE)</f>
        <v>FINANCIERA</v>
      </c>
      <c r="H79" s="52" t="s">
        <v>85</v>
      </c>
    </row>
    <row r="80" spans="1:8" ht="30" customHeight="1" thickBot="1" x14ac:dyDescent="0.3">
      <c r="A80" s="313" t="s">
        <v>9594</v>
      </c>
      <c r="B80" s="52" t="s">
        <v>71</v>
      </c>
      <c r="C80" s="108" t="s">
        <v>86</v>
      </c>
      <c r="D80" s="109"/>
      <c r="E80" s="110"/>
      <c r="F80" s="78" t="s">
        <v>87</v>
      </c>
      <c r="G80" s="107" t="str">
        <f>+VLOOKUP(19,prueba!$D$2:$E$733,2,FALSE)</f>
        <v xml:space="preserve">, JURÍDICA - ESTRUCTURACIÓN </v>
      </c>
      <c r="H80" s="52" t="s">
        <v>88</v>
      </c>
    </row>
    <row r="81" spans="1:8" ht="30" customHeight="1" x14ac:dyDescent="0.25">
      <c r="A81" s="76" t="s">
        <v>9595</v>
      </c>
      <c r="B81" s="50" t="s">
        <v>71</v>
      </c>
      <c r="C81" s="100" t="s">
        <v>89</v>
      </c>
      <c r="D81" s="101"/>
      <c r="E81" s="102"/>
      <c r="F81" s="84" t="s">
        <v>90</v>
      </c>
      <c r="G81" s="84" t="str">
        <f>+VLOOKUP(20,prueba!$D$2:$E$733,2,FALSE)</f>
        <v>JURÍDICIO - ESTRUCTURACIÓN</v>
      </c>
      <c r="H81" s="50" t="s">
        <v>8510</v>
      </c>
    </row>
    <row r="82" spans="1:8" ht="30" customHeight="1" thickBot="1" x14ac:dyDescent="0.3">
      <c r="A82" s="83"/>
      <c r="B82" s="91"/>
      <c r="C82" s="88" t="s">
        <v>91</v>
      </c>
      <c r="D82" s="89"/>
      <c r="E82" s="90"/>
      <c r="F82" s="77"/>
      <c r="G82" s="77"/>
      <c r="H82" s="91"/>
    </row>
    <row r="83" spans="1:8" ht="30" customHeight="1" thickBot="1" x14ac:dyDescent="0.3">
      <c r="A83" s="313" t="s">
        <v>9596</v>
      </c>
      <c r="B83" s="52" t="s">
        <v>71</v>
      </c>
      <c r="C83" s="108" t="s">
        <v>92</v>
      </c>
      <c r="D83" s="109"/>
      <c r="E83" s="110"/>
      <c r="F83" s="78" t="s">
        <v>93</v>
      </c>
      <c r="G83" s="107" t="str">
        <f>+VLOOKUP(21,prueba!$D$2:$E$733,2,FALSE)</f>
        <v>JURÍDICO - ESTRUCTURACIÓN</v>
      </c>
      <c r="H83" s="52" t="s">
        <v>94</v>
      </c>
    </row>
    <row r="84" spans="1:8" ht="30" customHeight="1" thickBot="1" x14ac:dyDescent="0.3">
      <c r="A84" s="313" t="s">
        <v>9597</v>
      </c>
      <c r="B84" s="52" t="s">
        <v>71</v>
      </c>
      <c r="C84" s="108" t="s">
        <v>9598</v>
      </c>
      <c r="D84" s="109"/>
      <c r="E84" s="110"/>
      <c r="F84" s="78" t="s">
        <v>95</v>
      </c>
      <c r="G84" s="107" t="str">
        <f>+VLOOKUP(22,prueba!$D$2:$E$733,2,FALSE)</f>
        <v>JURÍDICA – ESTRUCTURACIÓN Y CONTRATACIÓN</v>
      </c>
      <c r="H84" s="52" t="s">
        <v>96</v>
      </c>
    </row>
    <row r="85" spans="1:8" ht="30" customHeight="1" thickBot="1" x14ac:dyDescent="0.3">
      <c r="A85" s="313" t="s">
        <v>9599</v>
      </c>
      <c r="B85" s="52" t="s">
        <v>71</v>
      </c>
      <c r="C85" s="108" t="s">
        <v>97</v>
      </c>
      <c r="D85" s="109"/>
      <c r="E85" s="110"/>
      <c r="F85" s="78" t="s">
        <v>98</v>
      </c>
      <c r="G85" s="107" t="str">
        <f>+VLOOKUP(23,prueba!$D$2:$E$733,2,FALSE)</f>
        <v>JURIDICA – ESTRUCTURACIÓN.</v>
      </c>
      <c r="H85" s="52" t="s">
        <v>99</v>
      </c>
    </row>
    <row r="86" spans="1:8" ht="30" customHeight="1" thickBot="1" x14ac:dyDescent="0.3">
      <c r="A86" s="313" t="s">
        <v>9600</v>
      </c>
      <c r="B86" s="52" t="s">
        <v>71</v>
      </c>
      <c r="C86" s="108" t="s">
        <v>100</v>
      </c>
      <c r="D86" s="109"/>
      <c r="E86" s="110"/>
      <c r="F86" s="78" t="s">
        <v>101</v>
      </c>
      <c r="G86" s="107" t="str">
        <f>+VLOOKUP(24,prueba!$D$2:$E$733,2,FALSE)</f>
        <v>JURÍDICA – ESTRUCTURACIÓN Y RIESGOS</v>
      </c>
      <c r="H86" s="52" t="s">
        <v>102</v>
      </c>
    </row>
    <row r="87" spans="1:8" ht="30" customHeight="1" thickBot="1" x14ac:dyDescent="0.3">
      <c r="A87" s="313" t="s">
        <v>9601</v>
      </c>
      <c r="B87" s="52" t="s">
        <v>71</v>
      </c>
      <c r="C87" s="108" t="s">
        <v>103</v>
      </c>
      <c r="D87" s="109"/>
      <c r="E87" s="110"/>
      <c r="F87" s="78" t="s">
        <v>104</v>
      </c>
      <c r="G87" s="107" t="str">
        <f>+VLOOKUP(25,prueba!$D$2:$E$733,2,FALSE)</f>
        <v>JURÍDICA – ESTRUCTURACIÓN Y RIESGOS</v>
      </c>
      <c r="H87" s="52" t="s">
        <v>105</v>
      </c>
    </row>
    <row r="88" spans="1:8" ht="30" customHeight="1" thickBot="1" x14ac:dyDescent="0.3">
      <c r="A88" s="313" t="s">
        <v>9602</v>
      </c>
      <c r="B88" s="52" t="s">
        <v>71</v>
      </c>
      <c r="C88" s="108" t="s">
        <v>106</v>
      </c>
      <c r="D88" s="109"/>
      <c r="E88" s="110"/>
      <c r="F88" s="78" t="s">
        <v>107</v>
      </c>
      <c r="G88" s="107" t="str">
        <f>+VLOOKUP(26,prueba!$D$2:$E$733,2,FALSE)</f>
        <v xml:space="preserve">FINANCIERA Y JURÍDICA – </v>
      </c>
      <c r="H88" s="52" t="s">
        <v>109</v>
      </c>
    </row>
    <row r="89" spans="1:8" ht="30" customHeight="1" thickBot="1" x14ac:dyDescent="0.3">
      <c r="A89" s="313" t="s">
        <v>9603</v>
      </c>
      <c r="B89" s="52" t="s">
        <v>71</v>
      </c>
      <c r="C89" s="108" t="s">
        <v>110</v>
      </c>
      <c r="D89" s="109"/>
      <c r="E89" s="110"/>
      <c r="F89" s="78" t="s">
        <v>111</v>
      </c>
      <c r="G89" s="107" t="str">
        <f>+VLOOKUP(27,prueba!$D$2:$E$733,2,FALSE)</f>
        <v>JURÍDICA Y RIESGOS</v>
      </c>
      <c r="H89" s="52" t="s">
        <v>8413</v>
      </c>
    </row>
    <row r="90" spans="1:8" ht="30" customHeight="1" x14ac:dyDescent="0.25">
      <c r="A90" s="76" t="s">
        <v>9604</v>
      </c>
      <c r="B90" s="50" t="s">
        <v>71</v>
      </c>
      <c r="C90" s="63" t="s">
        <v>112</v>
      </c>
      <c r="D90" s="64"/>
      <c r="E90" s="65"/>
      <c r="F90" s="84" t="s">
        <v>113</v>
      </c>
      <c r="G90" s="84" t="str">
        <f>+VLOOKUP(28,prueba!$D$2:$E$733,2,FALSE)</f>
        <v xml:space="preserve">FINANCIERO </v>
      </c>
      <c r="H90" s="50" t="s">
        <v>114</v>
      </c>
    </row>
    <row r="91" spans="1:8" ht="30" customHeight="1" thickBot="1" x14ac:dyDescent="0.3">
      <c r="A91" s="83"/>
      <c r="B91" s="91"/>
      <c r="C91" s="88" t="s">
        <v>9605</v>
      </c>
      <c r="D91" s="89"/>
      <c r="E91" s="90"/>
      <c r="F91" s="77"/>
      <c r="G91" s="77"/>
      <c r="H91" s="91"/>
    </row>
    <row r="92" spans="1:8" ht="30" customHeight="1" thickBot="1" x14ac:dyDescent="0.3">
      <c r="A92" s="313" t="s">
        <v>9606</v>
      </c>
      <c r="B92" s="52" t="s">
        <v>71</v>
      </c>
      <c r="C92" s="108" t="s">
        <v>115</v>
      </c>
      <c r="D92" s="109"/>
      <c r="E92" s="110"/>
      <c r="F92" s="78" t="s">
        <v>116</v>
      </c>
      <c r="G92" s="107" t="str">
        <f>+VLOOKUP(29,prueba!$D$2:$E$733,2,FALSE)</f>
        <v>FINANCIERO Y JURÍDICO – ESTRUCTURACIÓN</v>
      </c>
      <c r="H92" s="52" t="s">
        <v>117</v>
      </c>
    </row>
    <row r="93" spans="1:8" ht="30" customHeight="1" x14ac:dyDescent="0.25">
      <c r="A93" s="76" t="s">
        <v>9607</v>
      </c>
      <c r="B93" s="50" t="s">
        <v>71</v>
      </c>
      <c r="C93" s="63" t="s">
        <v>118</v>
      </c>
      <c r="D93" s="64"/>
      <c r="E93" s="65"/>
      <c r="F93" s="45" t="s">
        <v>119</v>
      </c>
      <c r="G93" s="84" t="str">
        <f>+VLOOKUP(30,prueba!$D$2:$E$733,2,FALSE)</f>
        <v>JURÍDICO - ESTRUCTURACIÓN</v>
      </c>
      <c r="H93" s="50" t="s">
        <v>121</v>
      </c>
    </row>
    <row r="94" spans="1:8" ht="30" customHeight="1" thickBot="1" x14ac:dyDescent="0.3">
      <c r="A94" s="83"/>
      <c r="B94" s="91"/>
      <c r="C94" s="88"/>
      <c r="D94" s="89"/>
      <c r="E94" s="90"/>
      <c r="F94" s="78" t="s">
        <v>122</v>
      </c>
      <c r="G94" s="77"/>
      <c r="H94" s="91"/>
    </row>
    <row r="95" spans="1:8" ht="30" customHeight="1" thickBot="1" x14ac:dyDescent="0.3">
      <c r="A95" s="313" t="s">
        <v>9608</v>
      </c>
      <c r="B95" s="52" t="s">
        <v>71</v>
      </c>
      <c r="C95" s="108" t="s">
        <v>123</v>
      </c>
      <c r="D95" s="109"/>
      <c r="E95" s="110"/>
      <c r="F95" s="78" t="s">
        <v>124</v>
      </c>
      <c r="G95" s="107" t="str">
        <f>+VLOOKUP(31,prueba!$D$2:$E$733,2,FALSE)</f>
        <v>JURIDICO</v>
      </c>
      <c r="H95" s="52" t="s">
        <v>125</v>
      </c>
    </row>
    <row r="96" spans="1:8" ht="30" customHeight="1" thickBot="1" x14ac:dyDescent="0.3">
      <c r="A96" s="313" t="s">
        <v>9609</v>
      </c>
      <c r="B96" s="52" t="s">
        <v>71</v>
      </c>
      <c r="C96" s="108" t="s">
        <v>126</v>
      </c>
      <c r="D96" s="109"/>
      <c r="E96" s="110"/>
      <c r="F96" s="78" t="s">
        <v>127</v>
      </c>
      <c r="G96" s="107" t="str">
        <f>+VLOOKUP(32,prueba!$D$2:$E$733,2,FALSE)</f>
        <v>JURIDICO – ESTRUCTURACIÓN</v>
      </c>
      <c r="H96" s="52" t="s">
        <v>128</v>
      </c>
    </row>
    <row r="97" spans="1:8" ht="30" customHeight="1" thickBot="1" x14ac:dyDescent="0.3">
      <c r="A97" s="313" t="s">
        <v>9610</v>
      </c>
      <c r="B97" s="52" t="s">
        <v>71</v>
      </c>
      <c r="C97" s="108" t="s">
        <v>129</v>
      </c>
      <c r="D97" s="109"/>
      <c r="E97" s="110"/>
      <c r="F97" s="78" t="s">
        <v>130</v>
      </c>
      <c r="G97" s="107" t="str">
        <f>+VLOOKUP(33,prueba!$D$2:$E$733,2,FALSE)</f>
        <v>JURÍDICA - ESTRUCTURACIÓN</v>
      </c>
      <c r="H97" s="52" t="s">
        <v>131</v>
      </c>
    </row>
    <row r="98" spans="1:8" ht="30" customHeight="1" thickBot="1" x14ac:dyDescent="0.3">
      <c r="A98" s="313" t="s">
        <v>9611</v>
      </c>
      <c r="B98" s="52" t="s">
        <v>71</v>
      </c>
      <c r="C98" s="108" t="s">
        <v>132</v>
      </c>
      <c r="D98" s="109"/>
      <c r="E98" s="110"/>
      <c r="F98" s="78" t="s">
        <v>133</v>
      </c>
      <c r="G98" s="107" t="str">
        <f>+VLOOKUP(34,prueba!$D$2:$E$733,2,FALSE)</f>
        <v>JURIDICA - ESTRUCTURACION</v>
      </c>
      <c r="H98" s="52" t="s">
        <v>134</v>
      </c>
    </row>
    <row r="99" spans="1:8" ht="30" customHeight="1" thickBot="1" x14ac:dyDescent="0.3">
      <c r="A99" s="313" t="s">
        <v>9612</v>
      </c>
      <c r="B99" s="52" t="s">
        <v>71</v>
      </c>
      <c r="C99" s="108" t="s">
        <v>135</v>
      </c>
      <c r="D99" s="109"/>
      <c r="E99" s="110"/>
      <c r="F99" s="78" t="s">
        <v>136</v>
      </c>
      <c r="G99" s="107" t="str">
        <f>+VLOOKUP(35,prueba!$D$2:$E$733,2,FALSE)</f>
        <v>JURIDICA ESTRUCTURACIÓN</v>
      </c>
      <c r="H99" s="52" t="s">
        <v>134</v>
      </c>
    </row>
    <row r="100" spans="1:8" ht="30" customHeight="1" thickBot="1" x14ac:dyDescent="0.3">
      <c r="A100" s="313" t="s">
        <v>9613</v>
      </c>
      <c r="B100" s="52" t="s">
        <v>71</v>
      </c>
      <c r="C100" s="108" t="s">
        <v>137</v>
      </c>
      <c r="D100" s="109"/>
      <c r="E100" s="110"/>
      <c r="F100" s="78" t="s">
        <v>138</v>
      </c>
      <c r="G100" s="107" t="str">
        <f>+VLOOKUP(36,prueba!$D$2:$E$733,2,FALSE)</f>
        <v>JURÍDICA - ESTRUCTURACIÓN</v>
      </c>
      <c r="H100" s="52" t="s">
        <v>139</v>
      </c>
    </row>
    <row r="101" spans="1:8" ht="30" customHeight="1" thickBot="1" x14ac:dyDescent="0.3">
      <c r="A101" s="313" t="s">
        <v>9614</v>
      </c>
      <c r="B101" s="52" t="s">
        <v>71</v>
      </c>
      <c r="C101" s="108" t="s">
        <v>140</v>
      </c>
      <c r="D101" s="109"/>
      <c r="E101" s="110"/>
      <c r="F101" s="78" t="s">
        <v>141</v>
      </c>
      <c r="G101" s="107" t="str">
        <f>+VLOOKUP(37,prueba!$D$2:$E$733,2,FALSE)</f>
        <v>FINANCIERA</v>
      </c>
      <c r="H101" s="52" t="s">
        <v>6036</v>
      </c>
    </row>
    <row r="102" spans="1:8" ht="30" customHeight="1" thickBot="1" x14ac:dyDescent="0.3">
      <c r="A102" s="313" t="s">
        <v>9615</v>
      </c>
      <c r="B102" s="52" t="s">
        <v>71</v>
      </c>
      <c r="C102" s="108" t="s">
        <v>142</v>
      </c>
      <c r="D102" s="109"/>
      <c r="E102" s="110"/>
      <c r="F102" s="78" t="s">
        <v>141</v>
      </c>
      <c r="G102" s="107" t="str">
        <f>+VLOOKUP(38,prueba!$D$2:$E$733,2,FALSE)</f>
        <v xml:space="preserve"> JURÍDICA – ESTRUCTURACIÓN Y FINANCIERA</v>
      </c>
      <c r="H102" s="52" t="s">
        <v>143</v>
      </c>
    </row>
    <row r="103" spans="1:8" ht="30" customHeight="1" thickBot="1" x14ac:dyDescent="0.3">
      <c r="A103" s="313" t="s">
        <v>9616</v>
      </c>
      <c r="B103" s="52" t="s">
        <v>71</v>
      </c>
      <c r="C103" s="108" t="s">
        <v>144</v>
      </c>
      <c r="D103" s="109"/>
      <c r="E103" s="110"/>
      <c r="F103" s="78" t="s">
        <v>145</v>
      </c>
      <c r="G103" s="107" t="str">
        <f>+VLOOKUP(39,prueba!$D$2:$E$733,2,FALSE)</f>
        <v>FINANCIERA</v>
      </c>
      <c r="H103" s="52" t="s">
        <v>146</v>
      </c>
    </row>
    <row r="104" spans="1:8" ht="30" customHeight="1" thickBot="1" x14ac:dyDescent="0.3">
      <c r="A104" s="313" t="s">
        <v>9617</v>
      </c>
      <c r="B104" s="52" t="s">
        <v>71</v>
      </c>
      <c r="C104" s="108" t="s">
        <v>9618</v>
      </c>
      <c r="D104" s="109"/>
      <c r="E104" s="110"/>
      <c r="F104" s="78" t="s">
        <v>147</v>
      </c>
      <c r="G104" s="107" t="str">
        <f>+VLOOKUP(40,prueba!$D$2:$E$733,2,FALSE)</f>
        <v>FINANCIERA</v>
      </c>
      <c r="H104" s="52" t="s">
        <v>8299</v>
      </c>
    </row>
    <row r="105" spans="1:8" ht="30" customHeight="1" thickBot="1" x14ac:dyDescent="0.3">
      <c r="A105" s="313" t="s">
        <v>9619</v>
      </c>
      <c r="B105" s="52" t="s">
        <v>71</v>
      </c>
      <c r="C105" s="108" t="s">
        <v>150</v>
      </c>
      <c r="D105" s="109"/>
      <c r="E105" s="110"/>
      <c r="F105" s="78" t="s">
        <v>151</v>
      </c>
      <c r="G105" s="107" t="str">
        <f>+VLOOKUP(41,prueba!$D$2:$E$733,2,FALSE)</f>
        <v>JURÍDICA – ESTRUCTURACCIÓN</v>
      </c>
      <c r="H105" s="52" t="s">
        <v>152</v>
      </c>
    </row>
    <row r="106" spans="1:8" ht="30" customHeight="1" thickBot="1" x14ac:dyDescent="0.3">
      <c r="A106" s="313" t="s">
        <v>9620</v>
      </c>
      <c r="B106" s="52" t="s">
        <v>71</v>
      </c>
      <c r="C106" s="108" t="s">
        <v>153</v>
      </c>
      <c r="D106" s="109"/>
      <c r="E106" s="110"/>
      <c r="F106" s="78" t="s">
        <v>154</v>
      </c>
      <c r="G106" s="107" t="str">
        <f>+VLOOKUP(42,prueba!$D$2:$E$733,2,FALSE)</f>
        <v>JURÍDICA - ESTRUCTURACIÓN</v>
      </c>
      <c r="H106" s="52" t="s">
        <v>155</v>
      </c>
    </row>
    <row r="107" spans="1:8" ht="30" customHeight="1" thickBot="1" x14ac:dyDescent="0.3">
      <c r="A107" s="313" t="s">
        <v>9621</v>
      </c>
      <c r="B107" s="52" t="s">
        <v>71</v>
      </c>
      <c r="C107" s="108" t="s">
        <v>156</v>
      </c>
      <c r="D107" s="109"/>
      <c r="E107" s="110"/>
      <c r="F107" s="78" t="s">
        <v>157</v>
      </c>
      <c r="G107" s="107" t="str">
        <f>+VLOOKUP(43,prueba!$D$2:$E$733,2,FALSE)</f>
        <v>JURÍDICA – ESTRUCTURACIÓN</v>
      </c>
      <c r="H107" s="52" t="s">
        <v>158</v>
      </c>
    </row>
    <row r="108" spans="1:8" ht="30" customHeight="1" thickBot="1" x14ac:dyDescent="0.3">
      <c r="A108" s="313" t="s">
        <v>9622</v>
      </c>
      <c r="B108" s="52" t="s">
        <v>71</v>
      </c>
      <c r="C108" s="108" t="s">
        <v>159</v>
      </c>
      <c r="D108" s="109"/>
      <c r="E108" s="110"/>
      <c r="F108" s="78" t="s">
        <v>160</v>
      </c>
      <c r="G108" s="107" t="str">
        <f>+VLOOKUP(44,prueba!$D$2:$E$733,2,FALSE)</f>
        <v>JURÍDICA - ESTRUCTURACIÓN</v>
      </c>
      <c r="H108" s="52" t="s">
        <v>161</v>
      </c>
    </row>
    <row r="109" spans="1:8" ht="30" customHeight="1" thickBot="1" x14ac:dyDescent="0.3">
      <c r="A109" s="313" t="s">
        <v>9623</v>
      </c>
      <c r="B109" s="52" t="s">
        <v>71</v>
      </c>
      <c r="C109" s="108" t="s">
        <v>162</v>
      </c>
      <c r="D109" s="109"/>
      <c r="E109" s="110"/>
      <c r="F109" s="78" t="s">
        <v>163</v>
      </c>
      <c r="G109" s="107" t="str">
        <f>+VLOOKUP(45,prueba!$D$2:$E$733,2,FALSE)</f>
        <v xml:space="preserve">JURIDICA – ESTRUCTRACIÓN YTECNICO </v>
      </c>
      <c r="H109" s="52" t="s">
        <v>164</v>
      </c>
    </row>
    <row r="110" spans="1:8" ht="30" customHeight="1" thickBot="1" x14ac:dyDescent="0.3">
      <c r="A110" s="313" t="s">
        <v>9624</v>
      </c>
      <c r="B110" s="52" t="s">
        <v>71</v>
      </c>
      <c r="C110" s="108" t="s">
        <v>165</v>
      </c>
      <c r="D110" s="109"/>
      <c r="E110" s="110"/>
      <c r="F110" s="78" t="s">
        <v>166</v>
      </c>
      <c r="G110" s="107" t="str">
        <f>+VLOOKUP(46,prueba!$D$2:$E$733,2,FALSE)</f>
        <v>JURÍDICA – ESTRUCTURACIÓN Y DEFENSA JUDICIAL</v>
      </c>
      <c r="H110" s="52" t="s">
        <v>7978</v>
      </c>
    </row>
    <row r="111" spans="1:8" ht="30" customHeight="1" thickBot="1" x14ac:dyDescent="0.3">
      <c r="A111" s="313" t="s">
        <v>9625</v>
      </c>
      <c r="B111" s="52" t="s">
        <v>71</v>
      </c>
      <c r="C111" s="108" t="s">
        <v>167</v>
      </c>
      <c r="D111" s="109"/>
      <c r="E111" s="110"/>
      <c r="F111" s="78" t="s">
        <v>168</v>
      </c>
      <c r="G111" s="107" t="str">
        <f>+VLOOKUP(47,prueba!$D$2:$E$733,2,FALSE)</f>
        <v>TÉCNICO Y JURÍDICO – ESTRUCTURACIÓN</v>
      </c>
      <c r="H111" s="52" t="s">
        <v>169</v>
      </c>
    </row>
    <row r="112" spans="1:8" ht="30" customHeight="1" thickBot="1" x14ac:dyDescent="0.3">
      <c r="A112" s="313" t="s">
        <v>9626</v>
      </c>
      <c r="B112" s="52" t="s">
        <v>71</v>
      </c>
      <c r="C112" s="108" t="s">
        <v>170</v>
      </c>
      <c r="D112" s="109"/>
      <c r="E112" s="110"/>
      <c r="F112" s="78" t="s">
        <v>171</v>
      </c>
      <c r="G112" s="107" t="str">
        <f>+VLOOKUP(48,prueba!$D$2:$E$733,2,FALSE)</f>
        <v xml:space="preserve">SANCIONATORIO </v>
      </c>
      <c r="H112" s="52" t="s">
        <v>172</v>
      </c>
    </row>
    <row r="113" spans="1:8" ht="30" customHeight="1" thickBot="1" x14ac:dyDescent="0.3">
      <c r="A113" s="313" t="s">
        <v>9627</v>
      </c>
      <c r="B113" s="52" t="s">
        <v>71</v>
      </c>
      <c r="C113" s="108" t="s">
        <v>173</v>
      </c>
      <c r="D113" s="109"/>
      <c r="E113" s="110"/>
      <c r="F113" s="78" t="s">
        <v>174</v>
      </c>
      <c r="G113" s="107" t="str">
        <f>+VLOOKUP(49,prueba!$D$2:$E$733,2,FALSE)</f>
        <v xml:space="preserve">SANCIONATORIO </v>
      </c>
      <c r="H113" s="52" t="s">
        <v>175</v>
      </c>
    </row>
    <row r="114" spans="1:8" ht="30" customHeight="1" thickBot="1" x14ac:dyDescent="0.3">
      <c r="A114" s="313" t="s">
        <v>9628</v>
      </c>
      <c r="B114" s="52" t="s">
        <v>71</v>
      </c>
      <c r="C114" s="108" t="s">
        <v>176</v>
      </c>
      <c r="D114" s="109"/>
      <c r="E114" s="110"/>
      <c r="F114" s="78" t="s">
        <v>177</v>
      </c>
      <c r="G114" s="107" t="str">
        <f>+VLOOKUP(50,prueba!$D$2:$E$733,2,FALSE)</f>
        <v>JURÍDICA - ESTRUCTURACIÓN</v>
      </c>
      <c r="H114" s="52" t="s">
        <v>178</v>
      </c>
    </row>
    <row r="115" spans="1:8" ht="30" customHeight="1" thickBot="1" x14ac:dyDescent="0.3">
      <c r="A115" s="313" t="s">
        <v>9629</v>
      </c>
      <c r="B115" s="52" t="s">
        <v>71</v>
      </c>
      <c r="C115" s="108" t="s">
        <v>9630</v>
      </c>
      <c r="D115" s="109"/>
      <c r="E115" s="110"/>
      <c r="F115" s="78" t="s">
        <v>179</v>
      </c>
      <c r="G115" s="107" t="str">
        <f>+VLOOKUP(51,prueba!$D$2:$E$733,2,FALSE)</f>
        <v>JURÍDICA - ESTRUCTURACIÓN</v>
      </c>
      <c r="H115" s="52" t="s">
        <v>180</v>
      </c>
    </row>
    <row r="116" spans="1:8" ht="30" customHeight="1" thickBot="1" x14ac:dyDescent="0.3">
      <c r="A116" s="313" t="s">
        <v>9631</v>
      </c>
      <c r="B116" s="52" t="s">
        <v>71</v>
      </c>
      <c r="C116" s="108" t="s">
        <v>181</v>
      </c>
      <c r="D116" s="109"/>
      <c r="E116" s="110"/>
      <c r="F116" s="78" t="s">
        <v>182</v>
      </c>
      <c r="G116" s="107" t="str">
        <f>+VLOOKUP(52,prueba!$D$2:$E$733,2,FALSE)</f>
        <v>FINANCIERA - GARANTÍAS</v>
      </c>
      <c r="H116" s="52" t="s">
        <v>183</v>
      </c>
    </row>
    <row r="117" spans="1:8" ht="30" customHeight="1" thickBot="1" x14ac:dyDescent="0.3">
      <c r="A117" s="313" t="s">
        <v>9632</v>
      </c>
      <c r="B117" s="52" t="s">
        <v>71</v>
      </c>
      <c r="C117" s="108" t="s">
        <v>184</v>
      </c>
      <c r="D117" s="109"/>
      <c r="E117" s="110"/>
      <c r="F117" s="78" t="s">
        <v>185</v>
      </c>
      <c r="G117" s="107" t="str">
        <f>+VLOOKUP(53,prueba!$D$2:$E$733,2,FALSE)</f>
        <v>FINANCIERA - GARANTÍAS</v>
      </c>
      <c r="H117" s="52" t="s">
        <v>7357</v>
      </c>
    </row>
    <row r="118" spans="1:8" ht="30" customHeight="1" thickBot="1" x14ac:dyDescent="0.3">
      <c r="A118" s="313" t="s">
        <v>9633</v>
      </c>
      <c r="B118" s="52" t="s">
        <v>71</v>
      </c>
      <c r="C118" s="108" t="s">
        <v>9634</v>
      </c>
      <c r="D118" s="109"/>
      <c r="E118" s="110"/>
      <c r="F118" s="78" t="s">
        <v>186</v>
      </c>
      <c r="G118" s="107" t="str">
        <f>+VLOOKUP(54,prueba!$D$2:$E$733,2,FALSE)</f>
        <v>FINANCIERA - GARANTÍAS</v>
      </c>
      <c r="H118" s="52" t="s">
        <v>187</v>
      </c>
    </row>
    <row r="119" spans="1:8" ht="30" customHeight="1" thickBot="1" x14ac:dyDescent="0.3">
      <c r="A119" s="313" t="s">
        <v>9635</v>
      </c>
      <c r="B119" s="52" t="s">
        <v>71</v>
      </c>
      <c r="C119" s="108" t="s">
        <v>188</v>
      </c>
      <c r="D119" s="109"/>
      <c r="E119" s="110"/>
      <c r="F119" s="78" t="s">
        <v>189</v>
      </c>
      <c r="G119" s="107" t="str">
        <f>+VLOOKUP(55,prueba!$D$2:$E$733,2,FALSE)</f>
        <v>FINANCIERA  JURÍDICO – ESTRUCTURACIÓN.</v>
      </c>
      <c r="H119" s="52" t="s">
        <v>190</v>
      </c>
    </row>
    <row r="120" spans="1:8" ht="30" customHeight="1" thickBot="1" x14ac:dyDescent="0.3">
      <c r="A120" s="313" t="s">
        <v>9636</v>
      </c>
      <c r="B120" s="52" t="s">
        <v>71</v>
      </c>
      <c r="C120" s="108" t="s">
        <v>191</v>
      </c>
      <c r="D120" s="109"/>
      <c r="E120" s="110"/>
      <c r="F120" s="78" t="s">
        <v>192</v>
      </c>
      <c r="G120" s="107" t="str">
        <f>+VLOOKUP(56,prueba!$D$2:$E$733,2,FALSE)</f>
        <v>FINANCIERA – RIESGOS TECNICA JURIDICA</v>
      </c>
      <c r="H120" s="52" t="s">
        <v>7025</v>
      </c>
    </row>
    <row r="121" spans="1:8" ht="30" customHeight="1" thickBot="1" x14ac:dyDescent="0.3">
      <c r="A121" s="313" t="s">
        <v>9637</v>
      </c>
      <c r="B121" s="52" t="s">
        <v>71</v>
      </c>
      <c r="C121" s="108" t="s">
        <v>193</v>
      </c>
      <c r="D121" s="109"/>
      <c r="E121" s="110"/>
      <c r="F121" s="78" t="s">
        <v>192</v>
      </c>
      <c r="G121" s="107" t="str">
        <f>+VLOOKUP(57,prueba!$D$2:$E$733,2,FALSE)</f>
        <v>FINANCIERA – RIESGOS</v>
      </c>
      <c r="H121" s="52" t="s">
        <v>6013</v>
      </c>
    </row>
    <row r="122" spans="1:8" ht="30" customHeight="1" x14ac:dyDescent="0.25">
      <c r="A122" s="76" t="s">
        <v>9638</v>
      </c>
      <c r="B122" s="50" t="s">
        <v>71</v>
      </c>
      <c r="C122" s="63" t="s">
        <v>194</v>
      </c>
      <c r="D122" s="64"/>
      <c r="E122" s="65"/>
      <c r="F122" s="45" t="s">
        <v>119</v>
      </c>
      <c r="G122" s="84" t="str">
        <f>+VLOOKUP(58,prueba!$D$2:$E$733,2,FALSE)</f>
        <v xml:space="preserve">FINANCIERA – RIESGOS </v>
      </c>
      <c r="H122" s="50" t="s">
        <v>6983</v>
      </c>
    </row>
    <row r="123" spans="1:8" ht="30" customHeight="1" thickBot="1" x14ac:dyDescent="0.3">
      <c r="A123" s="83"/>
      <c r="B123" s="91"/>
      <c r="C123" s="88"/>
      <c r="D123" s="89"/>
      <c r="E123" s="90"/>
      <c r="F123" s="78" t="s">
        <v>195</v>
      </c>
      <c r="G123" s="77"/>
      <c r="H123" s="91"/>
    </row>
    <row r="124" spans="1:8" ht="30" customHeight="1" thickBot="1" x14ac:dyDescent="0.3">
      <c r="A124" s="313" t="s">
        <v>9639</v>
      </c>
      <c r="B124" s="52" t="s">
        <v>71</v>
      </c>
      <c r="C124" s="108" t="s">
        <v>196</v>
      </c>
      <c r="D124" s="109"/>
      <c r="E124" s="110"/>
      <c r="F124" s="78" t="s">
        <v>197</v>
      </c>
      <c r="G124" s="107" t="str">
        <f>+VLOOKUP(59,prueba!$D$2:$E$733,2,FALSE)</f>
        <v xml:space="preserve">AMBIENTAL  </v>
      </c>
      <c r="H124" s="52" t="s">
        <v>198</v>
      </c>
    </row>
    <row r="125" spans="1:8" ht="91.5" customHeight="1" thickBot="1" x14ac:dyDescent="0.3">
      <c r="A125" s="313" t="s">
        <v>9640</v>
      </c>
      <c r="B125" s="52" t="s">
        <v>71</v>
      </c>
      <c r="C125" s="108" t="s">
        <v>199</v>
      </c>
      <c r="D125" s="109"/>
      <c r="E125" s="110"/>
      <c r="F125" s="78" t="s">
        <v>200</v>
      </c>
      <c r="G125" s="107" t="str">
        <f>+VLOOKUP(60,prueba!$D$2:$E$733,2,FALSE)</f>
        <v>JURÍDICA – ESTRUCTURACIÓN Y FINANCIERA – RIESGOS</v>
      </c>
      <c r="H125" s="52" t="s">
        <v>8300</v>
      </c>
    </row>
    <row r="126" spans="1:8" ht="51" customHeight="1" thickBot="1" x14ac:dyDescent="0.3">
      <c r="A126" s="313" t="s">
        <v>9641</v>
      </c>
      <c r="B126" s="52" t="s">
        <v>71</v>
      </c>
      <c r="C126" s="108" t="s">
        <v>9642</v>
      </c>
      <c r="D126" s="109"/>
      <c r="E126" s="110"/>
      <c r="F126" s="78" t="s">
        <v>201</v>
      </c>
      <c r="G126" s="107" t="str">
        <f>+VLOOKUP(61,prueba!$D$2:$E$733,2,FALSE)</f>
        <v>JURÍDICO – ESTRUCTURACIÓN</v>
      </c>
      <c r="H126" s="52" t="s">
        <v>8414</v>
      </c>
    </row>
    <row r="127" spans="1:8" ht="30" customHeight="1" thickBot="1" x14ac:dyDescent="0.3">
      <c r="A127" s="313" t="s">
        <v>9643</v>
      </c>
      <c r="B127" s="52" t="s">
        <v>71</v>
      </c>
      <c r="C127" s="108" t="s">
        <v>202</v>
      </c>
      <c r="D127" s="109"/>
      <c r="E127" s="110"/>
      <c r="F127" s="78" t="s">
        <v>203</v>
      </c>
      <c r="G127" s="107" t="str">
        <f>+VLOOKUP(62,prueba!$D$2:$E$733,2,FALSE)</f>
        <v>JURÍDICA – DEFENSA JUDICIAL</v>
      </c>
      <c r="H127" s="52" t="s">
        <v>204</v>
      </c>
    </row>
    <row r="128" spans="1:8" ht="30" customHeight="1" thickBot="1" x14ac:dyDescent="0.3">
      <c r="A128" s="313" t="s">
        <v>9644</v>
      </c>
      <c r="B128" s="52" t="s">
        <v>71</v>
      </c>
      <c r="C128" s="108" t="s">
        <v>205</v>
      </c>
      <c r="D128" s="109"/>
      <c r="E128" s="110"/>
      <c r="F128" s="78" t="s">
        <v>206</v>
      </c>
      <c r="G128" s="107" t="str">
        <f>+VLOOKUP(63,prueba!$D$2:$E$733,2,FALSE)</f>
        <v>JURÍDICA – DEFENSA JUDICIAL</v>
      </c>
      <c r="H128" s="52" t="s">
        <v>7979</v>
      </c>
    </row>
    <row r="129" spans="1:8" ht="30" customHeight="1" thickBot="1" x14ac:dyDescent="0.3">
      <c r="A129" s="313" t="s">
        <v>9645</v>
      </c>
      <c r="B129" s="52" t="s">
        <v>71</v>
      </c>
      <c r="C129" s="108" t="s">
        <v>207</v>
      </c>
      <c r="D129" s="109"/>
      <c r="E129" s="110"/>
      <c r="F129" s="78" t="s">
        <v>208</v>
      </c>
      <c r="G129" s="107" t="str">
        <f>+VLOOKUP(64,prueba!$D$2:$E$733,2,FALSE)</f>
        <v>FINANCIERA</v>
      </c>
      <c r="H129" s="52" t="s">
        <v>209</v>
      </c>
    </row>
    <row r="130" spans="1:8" ht="30" customHeight="1" thickBot="1" x14ac:dyDescent="0.3">
      <c r="A130" s="313" t="s">
        <v>9646</v>
      </c>
      <c r="B130" s="52" t="s">
        <v>71</v>
      </c>
      <c r="C130" s="108" t="s">
        <v>210</v>
      </c>
      <c r="D130" s="109"/>
      <c r="E130" s="110"/>
      <c r="F130" s="78" t="s">
        <v>211</v>
      </c>
      <c r="G130" s="107" t="str">
        <f>+VLOOKUP(65,prueba!$D$2:$E$733,2,FALSE)</f>
        <v xml:space="preserve">FINANICERA </v>
      </c>
      <c r="H130" s="52" t="s">
        <v>7305</v>
      </c>
    </row>
    <row r="131" spans="1:8" ht="30" customHeight="1" thickBot="1" x14ac:dyDescent="0.3">
      <c r="A131" s="313" t="s">
        <v>9647</v>
      </c>
      <c r="B131" s="52" t="s">
        <v>71</v>
      </c>
      <c r="C131" s="108" t="s">
        <v>212</v>
      </c>
      <c r="D131" s="109"/>
      <c r="E131" s="110"/>
      <c r="F131" s="78" t="s">
        <v>213</v>
      </c>
      <c r="G131" s="107" t="str">
        <f>+VLOOKUP(66,prueba!$D$2:$E$733,2,FALSE)</f>
        <v>JURÍDICA – ESTRUCTURACIÓN</v>
      </c>
      <c r="H131" s="52" t="s">
        <v>214</v>
      </c>
    </row>
    <row r="132" spans="1:8" ht="30" customHeight="1" x14ac:dyDescent="0.25">
      <c r="A132" s="76" t="s">
        <v>9648</v>
      </c>
      <c r="B132" s="50" t="s">
        <v>71</v>
      </c>
      <c r="C132" s="63" t="s">
        <v>215</v>
      </c>
      <c r="D132" s="64"/>
      <c r="E132" s="65"/>
      <c r="F132" s="84" t="s">
        <v>216</v>
      </c>
      <c r="G132" s="84" t="str">
        <f>+VLOOKUP(67,prueba!$D$2:$E$733,2,FALSE)</f>
        <v xml:space="preserve"> FINANCIERA – GARANTÍAS</v>
      </c>
      <c r="H132" s="50" t="s">
        <v>7345</v>
      </c>
    </row>
    <row r="133" spans="1:8" ht="30" customHeight="1" thickBot="1" x14ac:dyDescent="0.3">
      <c r="A133" s="83"/>
      <c r="B133" s="91"/>
      <c r="C133" s="88" t="s">
        <v>217</v>
      </c>
      <c r="D133" s="89"/>
      <c r="E133" s="90"/>
      <c r="F133" s="77"/>
      <c r="G133" s="77"/>
      <c r="H133" s="91"/>
    </row>
    <row r="134" spans="1:8" ht="30" customHeight="1" x14ac:dyDescent="0.25">
      <c r="A134" s="76" t="s">
        <v>9649</v>
      </c>
      <c r="B134" s="50" t="s">
        <v>71</v>
      </c>
      <c r="C134" s="63" t="s">
        <v>218</v>
      </c>
      <c r="D134" s="64"/>
      <c r="E134" s="65"/>
      <c r="F134" s="45" t="s">
        <v>119</v>
      </c>
      <c r="G134" s="84" t="str">
        <f>+VLOOKUP(68,prueba!$D$2:$E$733,2,FALSE)</f>
        <v>JURÍDICA -ESTRUCTURACIÓN</v>
      </c>
      <c r="H134" s="50" t="s">
        <v>219</v>
      </c>
    </row>
    <row r="135" spans="1:8" ht="30" customHeight="1" x14ac:dyDescent="0.25">
      <c r="A135" s="312"/>
      <c r="B135" s="86"/>
      <c r="C135" s="53"/>
      <c r="D135" s="54"/>
      <c r="E135" s="55"/>
      <c r="F135" s="45" t="s">
        <v>220</v>
      </c>
      <c r="G135" s="85"/>
      <c r="H135" s="86"/>
    </row>
    <row r="136" spans="1:8" ht="30" customHeight="1" thickBot="1" x14ac:dyDescent="0.3">
      <c r="A136" s="83"/>
      <c r="B136" s="91"/>
      <c r="C136" s="88"/>
      <c r="D136" s="89"/>
      <c r="E136" s="90"/>
      <c r="F136" s="78" t="s">
        <v>221</v>
      </c>
      <c r="G136" s="77"/>
      <c r="H136" s="91"/>
    </row>
    <row r="137" spans="1:8" ht="30" customHeight="1" x14ac:dyDescent="0.25">
      <c r="A137" s="76" t="s">
        <v>9650</v>
      </c>
      <c r="B137" s="50" t="s">
        <v>222</v>
      </c>
      <c r="C137" s="63" t="s">
        <v>223</v>
      </c>
      <c r="D137" s="64"/>
      <c r="E137" s="65"/>
      <c r="F137" s="111" t="s">
        <v>224</v>
      </c>
      <c r="G137" s="84" t="str">
        <f>+VLOOKUP(69,prueba!$D$2:$E$733,2,FALSE)</f>
        <v>JURÍDICA – ESTRUCTURACIÓN</v>
      </c>
      <c r="H137" s="50" t="s">
        <v>9229</v>
      </c>
    </row>
    <row r="138" spans="1:8" ht="30" customHeight="1" x14ac:dyDescent="0.25">
      <c r="A138" s="312"/>
      <c r="B138" s="86"/>
      <c r="C138" s="53"/>
      <c r="D138" s="54"/>
      <c r="E138" s="55"/>
      <c r="F138" s="56"/>
      <c r="G138" s="85"/>
      <c r="H138" s="86"/>
    </row>
    <row r="139" spans="1:8" ht="30" customHeight="1" x14ac:dyDescent="0.25">
      <c r="A139" s="312"/>
      <c r="B139" s="86"/>
      <c r="C139" s="53" t="s">
        <v>225</v>
      </c>
      <c r="D139" s="54"/>
      <c r="E139" s="55"/>
      <c r="F139" s="56" t="s">
        <v>226</v>
      </c>
      <c r="G139" s="85"/>
      <c r="H139" s="86"/>
    </row>
    <row r="140" spans="1:8" ht="30" customHeight="1" x14ac:dyDescent="0.25">
      <c r="A140" s="312"/>
      <c r="B140" s="86"/>
      <c r="C140" s="57"/>
      <c r="D140" s="58"/>
      <c r="E140" s="59"/>
      <c r="F140" s="56"/>
      <c r="G140" s="85"/>
      <c r="H140" s="86"/>
    </row>
    <row r="141" spans="1:8" ht="30" customHeight="1" thickBot="1" x14ac:dyDescent="0.3">
      <c r="A141" s="83"/>
      <c r="B141" s="91"/>
      <c r="C141" s="47"/>
      <c r="D141" s="48"/>
      <c r="E141" s="49"/>
      <c r="F141" s="78" t="s">
        <v>227</v>
      </c>
      <c r="G141" s="77"/>
      <c r="H141" s="91"/>
    </row>
    <row r="142" spans="1:8" ht="30" customHeight="1" x14ac:dyDescent="0.25">
      <c r="A142" s="76" t="s">
        <v>9651</v>
      </c>
      <c r="B142" s="50" t="s">
        <v>222</v>
      </c>
      <c r="C142" s="63" t="s">
        <v>228</v>
      </c>
      <c r="D142" s="64"/>
      <c r="E142" s="65"/>
      <c r="F142" s="111" t="s">
        <v>229</v>
      </c>
      <c r="G142" s="84" t="str">
        <f>+VLOOKUP(70,prueba!$D$2:$E$733,2,FALSE)</f>
        <v>AMBIENTAL</v>
      </c>
      <c r="H142" s="50" t="s">
        <v>9241</v>
      </c>
    </row>
    <row r="143" spans="1:8" ht="30" customHeight="1" x14ac:dyDescent="0.25">
      <c r="A143" s="312"/>
      <c r="B143" s="86"/>
      <c r="C143" s="53"/>
      <c r="D143" s="54"/>
      <c r="E143" s="55"/>
      <c r="F143" s="56"/>
      <c r="G143" s="85"/>
      <c r="H143" s="86"/>
    </row>
    <row r="144" spans="1:8" ht="30" customHeight="1" thickBot="1" x14ac:dyDescent="0.3">
      <c r="A144" s="83"/>
      <c r="B144" s="91"/>
      <c r="C144" s="88" t="s">
        <v>230</v>
      </c>
      <c r="D144" s="89"/>
      <c r="E144" s="90"/>
      <c r="F144" s="78" t="s">
        <v>231</v>
      </c>
      <c r="G144" s="77"/>
      <c r="H144" s="91"/>
    </row>
    <row r="145" spans="1:8" ht="30" customHeight="1" x14ac:dyDescent="0.25">
      <c r="A145" s="76" t="s">
        <v>9652</v>
      </c>
      <c r="B145" s="50" t="s">
        <v>222</v>
      </c>
      <c r="C145" s="63" t="s">
        <v>232</v>
      </c>
      <c r="D145" s="64"/>
      <c r="E145" s="65"/>
      <c r="F145" s="111" t="s">
        <v>233</v>
      </c>
      <c r="G145" s="84" t="str">
        <f>+VLOOKUP(71,prueba!$D$2:$E$733,2,FALSE)</f>
        <v xml:space="preserve">TÉCNICA </v>
      </c>
      <c r="H145" s="50" t="s">
        <v>234</v>
      </c>
    </row>
    <row r="146" spans="1:8" ht="30" customHeight="1" x14ac:dyDescent="0.25">
      <c r="A146" s="312"/>
      <c r="B146" s="86"/>
      <c r="C146" s="53"/>
      <c r="D146" s="54"/>
      <c r="E146" s="55"/>
      <c r="F146" s="56"/>
      <c r="G146" s="85"/>
      <c r="H146" s="86"/>
    </row>
    <row r="147" spans="1:8" ht="30" customHeight="1" thickBot="1" x14ac:dyDescent="0.3">
      <c r="A147" s="83"/>
      <c r="B147" s="91"/>
      <c r="C147" s="88"/>
      <c r="D147" s="89"/>
      <c r="E147" s="90"/>
      <c r="F147" s="78" t="s">
        <v>235</v>
      </c>
      <c r="G147" s="77"/>
      <c r="H147" s="91"/>
    </row>
    <row r="148" spans="1:8" ht="30" customHeight="1" x14ac:dyDescent="0.25">
      <c r="A148" s="76" t="s">
        <v>9653</v>
      </c>
      <c r="B148" s="50" t="s">
        <v>222</v>
      </c>
      <c r="C148" s="63" t="s">
        <v>236</v>
      </c>
      <c r="D148" s="64"/>
      <c r="E148" s="65"/>
      <c r="F148" s="111" t="s">
        <v>237</v>
      </c>
      <c r="G148" s="84" t="str">
        <f>+VLOOKUP(72,prueba!$D$2:$E$733,2,FALSE)</f>
        <v xml:space="preserve">TÉCNICA </v>
      </c>
      <c r="H148" s="50" t="s">
        <v>9187</v>
      </c>
    </row>
    <row r="149" spans="1:8" ht="30" customHeight="1" x14ac:dyDescent="0.25">
      <c r="A149" s="312"/>
      <c r="B149" s="86"/>
      <c r="C149" s="53"/>
      <c r="D149" s="54"/>
      <c r="E149" s="55"/>
      <c r="F149" s="56"/>
      <c r="G149" s="85"/>
      <c r="H149" s="86"/>
    </row>
    <row r="150" spans="1:8" ht="30" customHeight="1" thickBot="1" x14ac:dyDescent="0.3">
      <c r="A150" s="83"/>
      <c r="B150" s="91"/>
      <c r="C150" s="88"/>
      <c r="D150" s="89"/>
      <c r="E150" s="90"/>
      <c r="F150" s="78" t="s">
        <v>238</v>
      </c>
      <c r="G150" s="77"/>
      <c r="H150" s="91"/>
    </row>
    <row r="151" spans="1:8" ht="30" customHeight="1" x14ac:dyDescent="0.25">
      <c r="A151" s="76" t="s">
        <v>9654</v>
      </c>
      <c r="B151" s="50" t="s">
        <v>222</v>
      </c>
      <c r="C151" s="63" t="s">
        <v>239</v>
      </c>
      <c r="D151" s="64"/>
      <c r="E151" s="65"/>
      <c r="F151" s="111" t="s">
        <v>240</v>
      </c>
      <c r="G151" s="84" t="str">
        <f>+VLOOKUP(73,prueba!$D$2:$E$733,2,FALSE)</f>
        <v xml:space="preserve">PREDIAL </v>
      </c>
      <c r="H151" s="50" t="s">
        <v>9086</v>
      </c>
    </row>
    <row r="152" spans="1:8" ht="30" customHeight="1" x14ac:dyDescent="0.25">
      <c r="A152" s="312"/>
      <c r="B152" s="86"/>
      <c r="C152" s="53"/>
      <c r="D152" s="54"/>
      <c r="E152" s="55"/>
      <c r="F152" s="111" t="s">
        <v>241</v>
      </c>
      <c r="G152" s="85"/>
      <c r="H152" s="86"/>
    </row>
    <row r="153" spans="1:8" ht="30" customHeight="1" x14ac:dyDescent="0.25">
      <c r="A153" s="312"/>
      <c r="B153" s="86"/>
      <c r="C153" s="53"/>
      <c r="D153" s="54"/>
      <c r="E153" s="55"/>
      <c r="F153" s="56"/>
      <c r="G153" s="85"/>
      <c r="H153" s="86"/>
    </row>
    <row r="154" spans="1:8" ht="30" customHeight="1" x14ac:dyDescent="0.25">
      <c r="A154" s="312"/>
      <c r="B154" s="86"/>
      <c r="C154" s="53"/>
      <c r="D154" s="54"/>
      <c r="E154" s="55"/>
      <c r="F154" s="56" t="s">
        <v>242</v>
      </c>
      <c r="G154" s="85"/>
      <c r="H154" s="86"/>
    </row>
    <row r="155" spans="1:8" ht="30" customHeight="1" x14ac:dyDescent="0.25">
      <c r="A155" s="312"/>
      <c r="B155" s="86"/>
      <c r="C155" s="53"/>
      <c r="D155" s="54"/>
      <c r="E155" s="55"/>
      <c r="F155" s="56" t="s">
        <v>243</v>
      </c>
      <c r="G155" s="85"/>
      <c r="H155" s="86"/>
    </row>
    <row r="156" spans="1:8" ht="30" customHeight="1" thickBot="1" x14ac:dyDescent="0.3">
      <c r="A156" s="83"/>
      <c r="B156" s="91"/>
      <c r="C156" s="88"/>
      <c r="D156" s="89"/>
      <c r="E156" s="90"/>
      <c r="F156" s="78" t="s">
        <v>244</v>
      </c>
      <c r="G156" s="77"/>
      <c r="H156" s="91"/>
    </row>
    <row r="157" spans="1:8" ht="30" customHeight="1" x14ac:dyDescent="0.25">
      <c r="A157" s="76" t="s">
        <v>9655</v>
      </c>
      <c r="B157" s="50" t="s">
        <v>222</v>
      </c>
      <c r="C157" s="63" t="s">
        <v>236</v>
      </c>
      <c r="D157" s="64"/>
      <c r="E157" s="65"/>
      <c r="F157" s="111" t="s">
        <v>245</v>
      </c>
      <c r="G157" s="84" t="str">
        <f>+VLOOKUP(74,prueba!$D$2:$E$733,2,FALSE)</f>
        <v>TÉCNICA</v>
      </c>
      <c r="H157" s="50" t="s">
        <v>246</v>
      </c>
    </row>
    <row r="158" spans="1:8" ht="30" customHeight="1" x14ac:dyDescent="0.25">
      <c r="A158" s="312"/>
      <c r="B158" s="86"/>
      <c r="C158" s="53"/>
      <c r="D158" s="54"/>
      <c r="E158" s="55"/>
      <c r="F158" s="56"/>
      <c r="G158" s="85"/>
      <c r="H158" s="86"/>
    </row>
    <row r="159" spans="1:8" ht="30" customHeight="1" thickBot="1" x14ac:dyDescent="0.3">
      <c r="A159" s="83"/>
      <c r="B159" s="91"/>
      <c r="C159" s="88"/>
      <c r="D159" s="89"/>
      <c r="E159" s="90"/>
      <c r="F159" s="78" t="s">
        <v>238</v>
      </c>
      <c r="G159" s="77"/>
      <c r="H159" s="91"/>
    </row>
    <row r="160" spans="1:8" ht="30" customHeight="1" x14ac:dyDescent="0.25">
      <c r="A160" s="76" t="s">
        <v>9656</v>
      </c>
      <c r="B160" s="50" t="s">
        <v>222</v>
      </c>
      <c r="C160" s="63" t="s">
        <v>247</v>
      </c>
      <c r="D160" s="64"/>
      <c r="E160" s="65"/>
      <c r="F160" s="111" t="s">
        <v>248</v>
      </c>
      <c r="G160" s="84" t="str">
        <f>+VLOOKUP(75,prueba!$D$2:$E$733,2,FALSE)</f>
        <v>TÉCNICA</v>
      </c>
      <c r="H160" s="50" t="s">
        <v>249</v>
      </c>
    </row>
    <row r="161" spans="1:8" ht="30" customHeight="1" x14ac:dyDescent="0.25">
      <c r="A161" s="312"/>
      <c r="B161" s="86"/>
      <c r="C161" s="53"/>
      <c r="D161" s="54"/>
      <c r="E161" s="55"/>
      <c r="F161" s="56"/>
      <c r="G161" s="85"/>
      <c r="H161" s="86"/>
    </row>
    <row r="162" spans="1:8" ht="84.75" customHeight="1" thickBot="1" x14ac:dyDescent="0.3">
      <c r="A162" s="83"/>
      <c r="B162" s="91"/>
      <c r="C162" s="88"/>
      <c r="D162" s="89"/>
      <c r="E162" s="90"/>
      <c r="F162" s="78" t="s">
        <v>250</v>
      </c>
      <c r="G162" s="77"/>
      <c r="H162" s="91"/>
    </row>
    <row r="163" spans="1:8" ht="30" customHeight="1" x14ac:dyDescent="0.25">
      <c r="A163" s="76" t="s">
        <v>9657</v>
      </c>
      <c r="B163" s="50" t="s">
        <v>222</v>
      </c>
      <c r="C163" s="63" t="s">
        <v>251</v>
      </c>
      <c r="D163" s="64"/>
      <c r="E163" s="65"/>
      <c r="F163" s="111" t="s">
        <v>252</v>
      </c>
      <c r="G163" s="84" t="str">
        <f>+VLOOKUP(76,prueba!$D$2:$E$733,2,FALSE)</f>
        <v>TÉCNICA</v>
      </c>
      <c r="H163" s="50" t="s">
        <v>251</v>
      </c>
    </row>
    <row r="164" spans="1:8" ht="30" customHeight="1" x14ac:dyDescent="0.25">
      <c r="A164" s="312"/>
      <c r="B164" s="86"/>
      <c r="C164" s="53"/>
      <c r="D164" s="54"/>
      <c r="E164" s="55"/>
      <c r="F164" s="56"/>
      <c r="G164" s="85"/>
      <c r="H164" s="86"/>
    </row>
    <row r="165" spans="1:8" ht="30" customHeight="1" x14ac:dyDescent="0.25">
      <c r="A165" s="312"/>
      <c r="B165" s="86"/>
      <c r="C165" s="53"/>
      <c r="D165" s="54"/>
      <c r="E165" s="55"/>
      <c r="F165" s="56" t="s">
        <v>254</v>
      </c>
      <c r="G165" s="85"/>
      <c r="H165" s="86"/>
    </row>
    <row r="166" spans="1:8" ht="30" customHeight="1" thickBot="1" x14ac:dyDescent="0.3">
      <c r="A166" s="83"/>
      <c r="B166" s="91"/>
      <c r="C166" s="88"/>
      <c r="D166" s="89"/>
      <c r="E166" s="90"/>
      <c r="F166" s="78" t="s">
        <v>255</v>
      </c>
      <c r="G166" s="77"/>
      <c r="H166" s="91"/>
    </row>
    <row r="167" spans="1:8" ht="30" customHeight="1" x14ac:dyDescent="0.25">
      <c r="A167" s="76" t="s">
        <v>9658</v>
      </c>
      <c r="B167" s="50" t="s">
        <v>222</v>
      </c>
      <c r="C167" s="63" t="s">
        <v>256</v>
      </c>
      <c r="D167" s="64"/>
      <c r="E167" s="65"/>
      <c r="F167" s="111" t="s">
        <v>257</v>
      </c>
      <c r="G167" s="84" t="str">
        <f>+VLOOKUP(77,prueba!$D$2:$E$733,2,FALSE)</f>
        <v xml:space="preserve">TÉCNICA Y JURÍDICA - ESTRUCTURACIÓN </v>
      </c>
      <c r="H167" s="50" t="s">
        <v>258</v>
      </c>
    </row>
    <row r="168" spans="1:8" ht="30" customHeight="1" x14ac:dyDescent="0.25">
      <c r="A168" s="312"/>
      <c r="B168" s="86"/>
      <c r="C168" s="53"/>
      <c r="D168" s="54"/>
      <c r="E168" s="55"/>
      <c r="F168" s="56"/>
      <c r="G168" s="85"/>
      <c r="H168" s="86"/>
    </row>
    <row r="169" spans="1:8" ht="30" customHeight="1" x14ac:dyDescent="0.25">
      <c r="A169" s="312"/>
      <c r="B169" s="86"/>
      <c r="C169" s="53"/>
      <c r="D169" s="54"/>
      <c r="E169" s="55"/>
      <c r="F169" s="56" t="s">
        <v>259</v>
      </c>
      <c r="G169" s="85"/>
      <c r="H169" s="86"/>
    </row>
    <row r="170" spans="1:8" ht="30" customHeight="1" x14ac:dyDescent="0.25">
      <c r="A170" s="312"/>
      <c r="B170" s="86"/>
      <c r="C170" s="53"/>
      <c r="D170" s="54"/>
      <c r="E170" s="55"/>
      <c r="F170" s="56"/>
      <c r="G170" s="85"/>
      <c r="H170" s="86"/>
    </row>
    <row r="171" spans="1:8" ht="30" customHeight="1" thickBot="1" x14ac:dyDescent="0.3">
      <c r="A171" s="83"/>
      <c r="B171" s="91"/>
      <c r="C171" s="88"/>
      <c r="D171" s="89"/>
      <c r="E171" s="90"/>
      <c r="F171" s="78" t="s">
        <v>260</v>
      </c>
      <c r="G171" s="77"/>
      <c r="H171" s="91"/>
    </row>
    <row r="172" spans="1:8" ht="30" customHeight="1" x14ac:dyDescent="0.25">
      <c r="A172" s="76" t="s">
        <v>9659</v>
      </c>
      <c r="B172" s="50" t="s">
        <v>222</v>
      </c>
      <c r="C172" s="63" t="s">
        <v>261</v>
      </c>
      <c r="D172" s="64"/>
      <c r="E172" s="65"/>
      <c r="F172" s="111" t="s">
        <v>262</v>
      </c>
      <c r="G172" s="84" t="str">
        <f>+VLOOKUP(78,prueba!$D$2:$E$733,2,FALSE)</f>
        <v>TÉCNICA</v>
      </c>
      <c r="H172" s="50" t="s">
        <v>8184</v>
      </c>
    </row>
    <row r="173" spans="1:8" ht="30" customHeight="1" x14ac:dyDescent="0.25">
      <c r="A173" s="312"/>
      <c r="B173" s="86"/>
      <c r="C173" s="53"/>
      <c r="D173" s="54"/>
      <c r="E173" s="55"/>
      <c r="F173" s="56"/>
      <c r="G173" s="85"/>
      <c r="H173" s="86"/>
    </row>
    <row r="174" spans="1:8" ht="30" customHeight="1" thickBot="1" x14ac:dyDescent="0.3">
      <c r="A174" s="83"/>
      <c r="B174" s="91"/>
      <c r="C174" s="88"/>
      <c r="D174" s="89"/>
      <c r="E174" s="90"/>
      <c r="F174" s="78" t="s">
        <v>263</v>
      </c>
      <c r="G174" s="77"/>
      <c r="H174" s="91"/>
    </row>
    <row r="175" spans="1:8" ht="30" customHeight="1" x14ac:dyDescent="0.25">
      <c r="A175" s="76" t="s">
        <v>9660</v>
      </c>
      <c r="B175" s="50" t="s">
        <v>222</v>
      </c>
      <c r="C175" s="328" t="s">
        <v>10270</v>
      </c>
      <c r="D175" s="329"/>
      <c r="E175" s="330"/>
      <c r="F175" s="111" t="s">
        <v>264</v>
      </c>
      <c r="G175" s="84" t="str">
        <f>+VLOOKUP(79,prueba!$D$2:$E$733,2,FALSE)</f>
        <v xml:space="preserve">TÉCNICA </v>
      </c>
      <c r="H175" s="50" t="s">
        <v>8185</v>
      </c>
    </row>
    <row r="176" spans="1:8" ht="30" customHeight="1" x14ac:dyDescent="0.25">
      <c r="A176" s="312"/>
      <c r="B176" s="86"/>
      <c r="C176" s="57"/>
      <c r="D176" s="331"/>
      <c r="E176" s="59"/>
      <c r="F176" s="56"/>
      <c r="G176" s="85"/>
      <c r="H176" s="86"/>
    </row>
    <row r="177" spans="1:8" ht="30" customHeight="1" x14ac:dyDescent="0.25">
      <c r="A177" s="312"/>
      <c r="B177" s="86"/>
      <c r="C177" s="57"/>
      <c r="D177" s="331"/>
      <c r="E177" s="59"/>
      <c r="F177" s="56" t="s">
        <v>265</v>
      </c>
      <c r="G177" s="85"/>
      <c r="H177" s="86"/>
    </row>
    <row r="178" spans="1:8" ht="169.5" customHeight="1" thickBot="1" x14ac:dyDescent="0.3">
      <c r="A178" s="83"/>
      <c r="B178" s="91"/>
      <c r="C178" s="47"/>
      <c r="D178" s="48"/>
      <c r="E178" s="49"/>
      <c r="F178" s="78" t="s">
        <v>266</v>
      </c>
      <c r="G178" s="77"/>
      <c r="H178" s="91"/>
    </row>
    <row r="179" spans="1:8" ht="30" customHeight="1" x14ac:dyDescent="0.25">
      <c r="A179" s="76" t="s">
        <v>9661</v>
      </c>
      <c r="B179" s="50" t="s">
        <v>222</v>
      </c>
      <c r="C179" s="63" t="s">
        <v>267</v>
      </c>
      <c r="D179" s="64"/>
      <c r="E179" s="65"/>
      <c r="F179" s="111" t="s">
        <v>268</v>
      </c>
      <c r="G179" s="84" t="str">
        <f>+VLOOKUP(80,prueba!$D$2:$E$733,2,FALSE)</f>
        <v>TÉCNICA</v>
      </c>
      <c r="H179" s="50" t="s">
        <v>8186</v>
      </c>
    </row>
    <row r="180" spans="1:8" ht="30" customHeight="1" x14ac:dyDescent="0.25">
      <c r="A180" s="312"/>
      <c r="B180" s="86"/>
      <c r="C180" s="53"/>
      <c r="D180" s="54"/>
      <c r="E180" s="55"/>
      <c r="F180" s="56"/>
      <c r="G180" s="85"/>
      <c r="H180" s="86"/>
    </row>
    <row r="181" spans="1:8" ht="30" customHeight="1" x14ac:dyDescent="0.25">
      <c r="A181" s="312"/>
      <c r="B181" s="86"/>
      <c r="C181" s="53" t="s">
        <v>269</v>
      </c>
      <c r="D181" s="54"/>
      <c r="E181" s="55"/>
      <c r="F181" s="56" t="s">
        <v>270</v>
      </c>
      <c r="G181" s="85"/>
      <c r="H181" s="86"/>
    </row>
    <row r="182" spans="1:8" ht="30" customHeight="1" x14ac:dyDescent="0.25">
      <c r="A182" s="312"/>
      <c r="B182" s="86"/>
      <c r="C182" s="57"/>
      <c r="D182" s="58"/>
      <c r="E182" s="59"/>
      <c r="F182" s="56" t="s">
        <v>271</v>
      </c>
      <c r="G182" s="85"/>
      <c r="H182" s="86"/>
    </row>
    <row r="183" spans="1:8" ht="50.25" customHeight="1" thickBot="1" x14ac:dyDescent="0.3">
      <c r="A183" s="83"/>
      <c r="B183" s="91"/>
      <c r="C183" s="47"/>
      <c r="D183" s="48"/>
      <c r="E183" s="49"/>
      <c r="F183" s="78" t="s">
        <v>272</v>
      </c>
      <c r="G183" s="77"/>
      <c r="H183" s="91"/>
    </row>
    <row r="184" spans="1:8" ht="30" customHeight="1" x14ac:dyDescent="0.25">
      <c r="A184" s="76" t="s">
        <v>9662</v>
      </c>
      <c r="B184" s="50" t="s">
        <v>222</v>
      </c>
      <c r="C184" s="63" t="s">
        <v>273</v>
      </c>
      <c r="D184" s="64"/>
      <c r="E184" s="65"/>
      <c r="F184" s="111" t="s">
        <v>274</v>
      </c>
      <c r="G184" s="84" t="str">
        <f>+VLOOKUP(81,prueba!$D$2:$E$733,2,FALSE)</f>
        <v>TÉCNICA</v>
      </c>
      <c r="H184" s="50" t="s">
        <v>275</v>
      </c>
    </row>
    <row r="185" spans="1:8" ht="30" customHeight="1" x14ac:dyDescent="0.25">
      <c r="A185" s="312"/>
      <c r="B185" s="86"/>
      <c r="C185" s="53"/>
      <c r="D185" s="54"/>
      <c r="E185" s="55"/>
      <c r="F185" s="56"/>
      <c r="G185" s="85"/>
      <c r="H185" s="86"/>
    </row>
    <row r="186" spans="1:8" ht="30" customHeight="1" x14ac:dyDescent="0.25">
      <c r="A186" s="312"/>
      <c r="B186" s="86"/>
      <c r="C186" s="53"/>
      <c r="D186" s="54"/>
      <c r="E186" s="55"/>
      <c r="F186" s="56" t="s">
        <v>276</v>
      </c>
      <c r="G186" s="85"/>
      <c r="H186" s="86"/>
    </row>
    <row r="187" spans="1:8" ht="30" customHeight="1" x14ac:dyDescent="0.25">
      <c r="A187" s="312"/>
      <c r="B187" s="86"/>
      <c r="C187" s="53"/>
      <c r="D187" s="54"/>
      <c r="E187" s="55"/>
      <c r="F187" s="56" t="s">
        <v>277</v>
      </c>
      <c r="G187" s="85"/>
      <c r="H187" s="86"/>
    </row>
    <row r="188" spans="1:8" ht="30" customHeight="1" thickBot="1" x14ac:dyDescent="0.3">
      <c r="A188" s="83"/>
      <c r="B188" s="91"/>
      <c r="C188" s="88"/>
      <c r="D188" s="89"/>
      <c r="E188" s="90"/>
      <c r="F188" s="78" t="s">
        <v>278</v>
      </c>
      <c r="G188" s="77"/>
      <c r="H188" s="91"/>
    </row>
    <row r="189" spans="1:8" ht="30" customHeight="1" x14ac:dyDescent="0.25">
      <c r="A189" s="76" t="s">
        <v>9663</v>
      </c>
      <c r="B189" s="50" t="s">
        <v>222</v>
      </c>
      <c r="C189" s="63" t="s">
        <v>9664</v>
      </c>
      <c r="D189" s="64"/>
      <c r="E189" s="65"/>
      <c r="F189" s="111" t="s">
        <v>279</v>
      </c>
      <c r="G189" s="84" t="str">
        <f>+VLOOKUP(80,prueba!$D$2:$E$733,2,FALSE)</f>
        <v>TÉCNICA</v>
      </c>
      <c r="H189" s="50" t="s">
        <v>280</v>
      </c>
    </row>
    <row r="190" spans="1:8" ht="30" customHeight="1" x14ac:dyDescent="0.25">
      <c r="A190" s="312"/>
      <c r="B190" s="86"/>
      <c r="C190" s="53"/>
      <c r="D190" s="54"/>
      <c r="E190" s="55"/>
      <c r="F190" s="56"/>
      <c r="G190" s="85"/>
      <c r="H190" s="86"/>
    </row>
    <row r="191" spans="1:8" ht="30" customHeight="1" thickBot="1" x14ac:dyDescent="0.3">
      <c r="A191" s="83"/>
      <c r="B191" s="91"/>
      <c r="C191" s="88"/>
      <c r="D191" s="89"/>
      <c r="E191" s="90"/>
      <c r="F191" s="78" t="s">
        <v>281</v>
      </c>
      <c r="G191" s="77"/>
      <c r="H191" s="91"/>
    </row>
    <row r="192" spans="1:8" ht="30" customHeight="1" x14ac:dyDescent="0.25">
      <c r="A192" s="76" t="s">
        <v>9665</v>
      </c>
      <c r="B192" s="50" t="s">
        <v>222</v>
      </c>
      <c r="C192" s="63" t="s">
        <v>282</v>
      </c>
      <c r="D192" s="64"/>
      <c r="E192" s="65"/>
      <c r="F192" s="111" t="s">
        <v>283</v>
      </c>
      <c r="G192" s="84" t="str">
        <f>+VLOOKUP(83,prueba!$D$2:$E$733,2,FALSE)</f>
        <v>TÉCNICA</v>
      </c>
      <c r="H192" s="50" t="s">
        <v>284</v>
      </c>
    </row>
    <row r="193" spans="1:8" ht="30" customHeight="1" x14ac:dyDescent="0.25">
      <c r="A193" s="312"/>
      <c r="B193" s="86"/>
      <c r="C193" s="53"/>
      <c r="D193" s="54"/>
      <c r="E193" s="55"/>
      <c r="F193" s="56"/>
      <c r="G193" s="85"/>
      <c r="H193" s="86"/>
    </row>
    <row r="194" spans="1:8" ht="30" customHeight="1" x14ac:dyDescent="0.25">
      <c r="A194" s="312"/>
      <c r="B194" s="86"/>
      <c r="C194" s="53"/>
      <c r="D194" s="54"/>
      <c r="E194" s="55"/>
      <c r="F194" s="56" t="s">
        <v>285</v>
      </c>
      <c r="G194" s="85"/>
      <c r="H194" s="86"/>
    </row>
    <row r="195" spans="1:8" ht="30" customHeight="1" x14ac:dyDescent="0.25">
      <c r="A195" s="312"/>
      <c r="B195" s="86"/>
      <c r="C195" s="53"/>
      <c r="D195" s="54"/>
      <c r="E195" s="55"/>
      <c r="F195" s="56" t="s">
        <v>286</v>
      </c>
      <c r="G195" s="85"/>
      <c r="H195" s="86"/>
    </row>
    <row r="196" spans="1:8" ht="30" customHeight="1" thickBot="1" x14ac:dyDescent="0.3">
      <c r="A196" s="83"/>
      <c r="B196" s="91"/>
      <c r="C196" s="88"/>
      <c r="D196" s="89"/>
      <c r="E196" s="90"/>
      <c r="F196" s="78" t="s">
        <v>287</v>
      </c>
      <c r="G196" s="77"/>
      <c r="H196" s="91"/>
    </row>
    <row r="197" spans="1:8" ht="30" customHeight="1" x14ac:dyDescent="0.25">
      <c r="A197" s="76" t="s">
        <v>9666</v>
      </c>
      <c r="B197" s="50" t="s">
        <v>222</v>
      </c>
      <c r="C197" s="63" t="s">
        <v>288</v>
      </c>
      <c r="D197" s="64"/>
      <c r="E197" s="65"/>
      <c r="F197" s="111" t="s">
        <v>289</v>
      </c>
      <c r="G197" s="84" t="str">
        <f>+VLOOKUP(84,prueba!$D$2:$E$733,2,FALSE)</f>
        <v>TÉCNICA</v>
      </c>
      <c r="H197" s="50" t="s">
        <v>290</v>
      </c>
    </row>
    <row r="198" spans="1:8" ht="30" customHeight="1" x14ac:dyDescent="0.25">
      <c r="A198" s="312"/>
      <c r="B198" s="86"/>
      <c r="C198" s="53"/>
      <c r="D198" s="54"/>
      <c r="E198" s="55"/>
      <c r="F198" s="56"/>
      <c r="G198" s="85"/>
      <c r="H198" s="86"/>
    </row>
    <row r="199" spans="1:8" ht="30" customHeight="1" thickBot="1" x14ac:dyDescent="0.3">
      <c r="A199" s="83"/>
      <c r="B199" s="91"/>
      <c r="C199" s="88"/>
      <c r="D199" s="89"/>
      <c r="E199" s="90"/>
      <c r="F199" s="78" t="s">
        <v>291</v>
      </c>
      <c r="G199" s="77"/>
      <c r="H199" s="91"/>
    </row>
    <row r="200" spans="1:8" ht="30" customHeight="1" x14ac:dyDescent="0.25">
      <c r="A200" s="76" t="s">
        <v>9667</v>
      </c>
      <c r="B200" s="50" t="s">
        <v>222</v>
      </c>
      <c r="C200" s="63" t="s">
        <v>292</v>
      </c>
      <c r="D200" s="64"/>
      <c r="E200" s="65"/>
      <c r="F200" s="111" t="s">
        <v>293</v>
      </c>
      <c r="G200" s="84" t="str">
        <f>+VLOOKUP(85,prueba!$D$2:$E$733,2,FALSE)</f>
        <v>FINANCIERO</v>
      </c>
      <c r="H200" s="50" t="s">
        <v>295</v>
      </c>
    </row>
    <row r="201" spans="1:8" ht="30" customHeight="1" x14ac:dyDescent="0.25">
      <c r="A201" s="312"/>
      <c r="B201" s="86"/>
      <c r="C201" s="53"/>
      <c r="D201" s="54"/>
      <c r="E201" s="55"/>
      <c r="F201" s="56"/>
      <c r="G201" s="85"/>
      <c r="H201" s="86"/>
    </row>
    <row r="202" spans="1:8" ht="30" customHeight="1" x14ac:dyDescent="0.25">
      <c r="A202" s="312"/>
      <c r="B202" s="86"/>
      <c r="C202" s="53"/>
      <c r="D202" s="54"/>
      <c r="E202" s="55"/>
      <c r="F202" s="56" t="s">
        <v>296</v>
      </c>
      <c r="G202" s="85"/>
      <c r="H202" s="86"/>
    </row>
    <row r="203" spans="1:8" ht="30" customHeight="1" thickBot="1" x14ac:dyDescent="0.3">
      <c r="A203" s="83"/>
      <c r="B203" s="91"/>
      <c r="C203" s="88"/>
      <c r="D203" s="89"/>
      <c r="E203" s="90"/>
      <c r="F203" s="78" t="s">
        <v>297</v>
      </c>
      <c r="G203" s="77"/>
      <c r="H203" s="91"/>
    </row>
    <row r="204" spans="1:8" ht="30" customHeight="1" x14ac:dyDescent="0.25">
      <c r="A204" s="76" t="s">
        <v>9668</v>
      </c>
      <c r="B204" s="50" t="s">
        <v>222</v>
      </c>
      <c r="C204" s="63" t="s">
        <v>298</v>
      </c>
      <c r="D204" s="64"/>
      <c r="E204" s="65"/>
      <c r="F204" s="56" t="s">
        <v>299</v>
      </c>
      <c r="G204" s="84" t="str">
        <f>+VLOOKUP(86,prueba!$D$2:$E$733,2,FALSE)</f>
        <v>FINANCIERA</v>
      </c>
      <c r="H204" s="50" t="s">
        <v>7526</v>
      </c>
    </row>
    <row r="205" spans="1:8" ht="30" customHeight="1" x14ac:dyDescent="0.25">
      <c r="A205" s="312"/>
      <c r="B205" s="86"/>
      <c r="C205" s="53" t="s">
        <v>300</v>
      </c>
      <c r="D205" s="54"/>
      <c r="E205" s="55"/>
      <c r="F205" s="56" t="s">
        <v>301</v>
      </c>
      <c r="G205" s="85"/>
      <c r="H205" s="86"/>
    </row>
    <row r="206" spans="1:8" ht="30" customHeight="1" x14ac:dyDescent="0.25">
      <c r="A206" s="312"/>
      <c r="B206" s="86"/>
      <c r="C206" s="53" t="s">
        <v>302</v>
      </c>
      <c r="D206" s="54"/>
      <c r="E206" s="55"/>
      <c r="F206" s="56" t="s">
        <v>303</v>
      </c>
      <c r="G206" s="85"/>
      <c r="H206" s="86"/>
    </row>
    <row r="207" spans="1:8" ht="30" customHeight="1" thickBot="1" x14ac:dyDescent="0.3">
      <c r="A207" s="83"/>
      <c r="B207" s="91"/>
      <c r="C207" s="47"/>
      <c r="D207" s="48"/>
      <c r="E207" s="49"/>
      <c r="F207" s="78" t="s">
        <v>304</v>
      </c>
      <c r="G207" s="77"/>
      <c r="H207" s="91"/>
    </row>
    <row r="208" spans="1:8" ht="30" customHeight="1" x14ac:dyDescent="0.25">
      <c r="A208" s="76" t="s">
        <v>9669</v>
      </c>
      <c r="B208" s="50" t="s">
        <v>222</v>
      </c>
      <c r="C208" s="63" t="s">
        <v>305</v>
      </c>
      <c r="D208" s="64"/>
      <c r="E208" s="65"/>
      <c r="F208" s="111" t="s">
        <v>306</v>
      </c>
      <c r="G208" s="84" t="str">
        <f>+VLOOKUP(87,prueba!$D$2:$E$733,2,FALSE)</f>
        <v>FINANCIERO JURÍDICA -ESTRUCTURACIÓN</v>
      </c>
      <c r="H208" s="50" t="s">
        <v>307</v>
      </c>
    </row>
    <row r="209" spans="1:8" ht="30" customHeight="1" x14ac:dyDescent="0.25">
      <c r="A209" s="312"/>
      <c r="B209" s="86"/>
      <c r="C209" s="53"/>
      <c r="D209" s="54"/>
      <c r="E209" s="55"/>
      <c r="F209" s="56" t="s">
        <v>308</v>
      </c>
      <c r="G209" s="85"/>
      <c r="H209" s="86"/>
    </row>
    <row r="210" spans="1:8" ht="30" customHeight="1" x14ac:dyDescent="0.25">
      <c r="A210" s="312"/>
      <c r="B210" s="86"/>
      <c r="C210" s="53"/>
      <c r="D210" s="54"/>
      <c r="E210" s="55"/>
      <c r="F210" s="56" t="s">
        <v>309</v>
      </c>
      <c r="G210" s="85"/>
      <c r="H210" s="86"/>
    </row>
    <row r="211" spans="1:8" ht="30" customHeight="1" x14ac:dyDescent="0.25">
      <c r="A211" s="312"/>
      <c r="B211" s="86"/>
      <c r="C211" s="53"/>
      <c r="D211" s="54"/>
      <c r="E211" s="55"/>
      <c r="F211" s="56" t="s">
        <v>310</v>
      </c>
      <c r="G211" s="85"/>
      <c r="H211" s="86"/>
    </row>
    <row r="212" spans="1:8" ht="30" customHeight="1" thickBot="1" x14ac:dyDescent="0.3">
      <c r="A212" s="83"/>
      <c r="B212" s="91"/>
      <c r="C212" s="88"/>
      <c r="D212" s="89"/>
      <c r="E212" s="90"/>
      <c r="F212" s="78" t="s">
        <v>311</v>
      </c>
      <c r="G212" s="77"/>
      <c r="H212" s="91"/>
    </row>
    <row r="213" spans="1:8" ht="30" customHeight="1" x14ac:dyDescent="0.25">
      <c r="A213" s="76" t="s">
        <v>9670</v>
      </c>
      <c r="B213" s="50" t="s">
        <v>222</v>
      </c>
      <c r="C213" s="63" t="s">
        <v>312</v>
      </c>
      <c r="D213" s="64"/>
      <c r="E213" s="65"/>
      <c r="F213" s="111" t="s">
        <v>313</v>
      </c>
      <c r="G213" s="84" t="str">
        <f>+VLOOKUP(88,prueba!$D$2:$E$733,2,FALSE)</f>
        <v>FINANCIERA Y RIESGOS</v>
      </c>
      <c r="H213" s="50" t="s">
        <v>314</v>
      </c>
    </row>
    <row r="214" spans="1:8" ht="30" customHeight="1" thickBot="1" x14ac:dyDescent="0.3">
      <c r="A214" s="83"/>
      <c r="B214" s="91"/>
      <c r="C214" s="88"/>
      <c r="D214" s="89"/>
      <c r="E214" s="90"/>
      <c r="F214" s="78" t="s">
        <v>315</v>
      </c>
      <c r="G214" s="77"/>
      <c r="H214" s="91"/>
    </row>
    <row r="215" spans="1:8" ht="30" customHeight="1" x14ac:dyDescent="0.25">
      <c r="A215" s="76" t="s">
        <v>9671</v>
      </c>
      <c r="B215" s="50" t="s">
        <v>222</v>
      </c>
      <c r="C215" s="63" t="s">
        <v>316</v>
      </c>
      <c r="D215" s="64"/>
      <c r="E215" s="65"/>
      <c r="F215" s="56" t="s">
        <v>317</v>
      </c>
      <c r="G215" s="84" t="str">
        <f>+VLOOKUP(89,prueba!$D$2:$E$733,2,FALSE)</f>
        <v>JURÍDICA – ESTRUCTURACIÓN JURÍDICA – CONTRATACIÓN</v>
      </c>
      <c r="H215" s="50" t="s">
        <v>8254</v>
      </c>
    </row>
    <row r="216" spans="1:8" ht="30" customHeight="1" x14ac:dyDescent="0.25">
      <c r="A216" s="312"/>
      <c r="B216" s="86"/>
      <c r="C216" s="53"/>
      <c r="D216" s="54"/>
      <c r="E216" s="55"/>
      <c r="F216" s="56"/>
      <c r="G216" s="85"/>
      <c r="H216" s="86"/>
    </row>
    <row r="217" spans="1:8" ht="30" customHeight="1" x14ac:dyDescent="0.25">
      <c r="A217" s="312"/>
      <c r="B217" s="86"/>
      <c r="C217" s="53"/>
      <c r="D217" s="54"/>
      <c r="E217" s="55"/>
      <c r="F217" s="56" t="s">
        <v>318</v>
      </c>
      <c r="G217" s="85"/>
      <c r="H217" s="86"/>
    </row>
    <row r="218" spans="1:8" ht="30" customHeight="1" x14ac:dyDescent="0.25">
      <c r="A218" s="312"/>
      <c r="B218" s="86"/>
      <c r="C218" s="53"/>
      <c r="D218" s="54"/>
      <c r="E218" s="55"/>
      <c r="F218" s="56"/>
      <c r="G218" s="85"/>
      <c r="H218" s="86"/>
    </row>
    <row r="219" spans="1:8" ht="30" customHeight="1" thickBot="1" x14ac:dyDescent="0.3">
      <c r="A219" s="83"/>
      <c r="B219" s="91"/>
      <c r="C219" s="88"/>
      <c r="D219" s="89"/>
      <c r="E219" s="90"/>
      <c r="F219" s="79" t="s">
        <v>9672</v>
      </c>
      <c r="G219" s="77"/>
      <c r="H219" s="91"/>
    </row>
    <row r="220" spans="1:8" ht="30" customHeight="1" x14ac:dyDescent="0.25">
      <c r="A220" s="76" t="s">
        <v>9673</v>
      </c>
      <c r="B220" s="50" t="s">
        <v>319</v>
      </c>
      <c r="C220" s="63" t="s">
        <v>320</v>
      </c>
      <c r="D220" s="64"/>
      <c r="E220" s="65"/>
      <c r="F220" s="84" t="s">
        <v>321</v>
      </c>
      <c r="G220" s="84" t="str">
        <f>+VLOOKUP(90,prueba!$D$2:$E$733,2,FALSE)</f>
        <v>JURÍDICA – ESTRUCTURACIÓN Y JURÍDICA – CONTRATACIÓN</v>
      </c>
      <c r="H220" s="50" t="s">
        <v>323</v>
      </c>
    </row>
    <row r="221" spans="1:8" ht="30" customHeight="1" x14ac:dyDescent="0.25">
      <c r="A221" s="312"/>
      <c r="B221" s="86"/>
      <c r="C221" s="53"/>
      <c r="D221" s="54"/>
      <c r="E221" s="55"/>
      <c r="F221" s="85"/>
      <c r="G221" s="85"/>
      <c r="H221" s="86"/>
    </row>
    <row r="222" spans="1:8" ht="30" customHeight="1" thickBot="1" x14ac:dyDescent="0.3">
      <c r="A222" s="83"/>
      <c r="B222" s="91"/>
      <c r="C222" s="88" t="s">
        <v>324</v>
      </c>
      <c r="D222" s="89"/>
      <c r="E222" s="90"/>
      <c r="F222" s="77"/>
      <c r="G222" s="77"/>
      <c r="H222" s="91"/>
    </row>
    <row r="223" spans="1:8" ht="30" customHeight="1" thickBot="1" x14ac:dyDescent="0.3">
      <c r="A223" s="313" t="s">
        <v>9674</v>
      </c>
      <c r="B223" s="52" t="s">
        <v>319</v>
      </c>
      <c r="C223" s="108" t="s">
        <v>325</v>
      </c>
      <c r="D223" s="109"/>
      <c r="E223" s="110"/>
      <c r="F223" s="78" t="s">
        <v>326</v>
      </c>
      <c r="G223" s="107" t="str">
        <f>+VLOOKUP(91,prueba!$D$2:$E$733,2,FALSE)</f>
        <v>TÉCNICA</v>
      </c>
      <c r="H223" s="52" t="s">
        <v>328</v>
      </c>
    </row>
    <row r="224" spans="1:8" ht="30" customHeight="1" thickBot="1" x14ac:dyDescent="0.3">
      <c r="A224" s="313" t="s">
        <v>9675</v>
      </c>
      <c r="B224" s="52" t="s">
        <v>319</v>
      </c>
      <c r="C224" s="108" t="s">
        <v>329</v>
      </c>
      <c r="D224" s="109"/>
      <c r="E224" s="110"/>
      <c r="F224" s="78" t="s">
        <v>326</v>
      </c>
      <c r="G224" s="107" t="str">
        <f>+VLOOKUP(92,prueba!$D$2:$E$733,2,FALSE)</f>
        <v>TÉCNICA</v>
      </c>
      <c r="H224" s="52" t="s">
        <v>330</v>
      </c>
    </row>
    <row r="225" spans="1:8" ht="30" customHeight="1" thickBot="1" x14ac:dyDescent="0.3">
      <c r="A225" s="313" t="s">
        <v>9676</v>
      </c>
      <c r="B225" s="52" t="s">
        <v>319</v>
      </c>
      <c r="C225" s="108" t="s">
        <v>331</v>
      </c>
      <c r="D225" s="109"/>
      <c r="E225" s="110"/>
      <c r="F225" s="78" t="s">
        <v>326</v>
      </c>
      <c r="G225" s="107" t="str">
        <f>+VLOOKUP(93,prueba!$D$2:$E$733,2,FALSE)</f>
        <v>TÉCNICA</v>
      </c>
      <c r="H225" s="52" t="s">
        <v>332</v>
      </c>
    </row>
    <row r="226" spans="1:8" ht="30" customHeight="1" thickBot="1" x14ac:dyDescent="0.3">
      <c r="A226" s="313" t="s">
        <v>9677</v>
      </c>
      <c r="B226" s="52" t="s">
        <v>319</v>
      </c>
      <c r="C226" s="108" t="s">
        <v>333</v>
      </c>
      <c r="D226" s="109"/>
      <c r="E226" s="110"/>
      <c r="F226" s="78" t="s">
        <v>326</v>
      </c>
      <c r="G226" s="107" t="str">
        <f>+VLOOKUP(94,prueba!$D$2:$E$733,2,FALSE)</f>
        <v>TÉCNICA</v>
      </c>
      <c r="H226" s="52" t="s">
        <v>334</v>
      </c>
    </row>
    <row r="227" spans="1:8" ht="30" customHeight="1" thickBot="1" x14ac:dyDescent="0.3">
      <c r="A227" s="313" t="s">
        <v>9678</v>
      </c>
      <c r="B227" s="52" t="s">
        <v>319</v>
      </c>
      <c r="C227" s="108" t="s">
        <v>335</v>
      </c>
      <c r="D227" s="109"/>
      <c r="E227" s="110"/>
      <c r="F227" s="78" t="s">
        <v>326</v>
      </c>
      <c r="G227" s="107" t="str">
        <f>+VLOOKUP(95,prueba!$D$2:$E$733,2,FALSE)</f>
        <v>TÉCNICA</v>
      </c>
      <c r="H227" s="52" t="s">
        <v>336</v>
      </c>
    </row>
    <row r="228" spans="1:8" ht="30" customHeight="1" thickBot="1" x14ac:dyDescent="0.3">
      <c r="A228" s="313" t="s">
        <v>9679</v>
      </c>
      <c r="B228" s="52" t="s">
        <v>319</v>
      </c>
      <c r="C228" s="108" t="s">
        <v>337</v>
      </c>
      <c r="D228" s="109"/>
      <c r="E228" s="110"/>
      <c r="F228" s="78" t="s">
        <v>326</v>
      </c>
      <c r="G228" s="107" t="str">
        <f>+VLOOKUP(96,prueba!$D$2:$E$733,2,FALSE)</f>
        <v>TÉCNICA</v>
      </c>
      <c r="H228" s="52" t="s">
        <v>338</v>
      </c>
    </row>
    <row r="229" spans="1:8" ht="30" customHeight="1" x14ac:dyDescent="0.25">
      <c r="A229" s="76" t="s">
        <v>9680</v>
      </c>
      <c r="B229" s="50" t="s">
        <v>319</v>
      </c>
      <c r="C229" s="63" t="s">
        <v>339</v>
      </c>
      <c r="D229" s="64"/>
      <c r="E229" s="65"/>
      <c r="F229" s="84" t="s">
        <v>326</v>
      </c>
      <c r="G229" s="84" t="str">
        <f>+VLOOKUP(97,prueba!$D$2:$E$733,2,FALSE)</f>
        <v>TÉCNICA</v>
      </c>
      <c r="H229" s="50" t="s">
        <v>340</v>
      </c>
    </row>
    <row r="230" spans="1:8" ht="30" customHeight="1" x14ac:dyDescent="0.25">
      <c r="A230" s="312"/>
      <c r="B230" s="86"/>
      <c r="C230" s="53" t="s">
        <v>341</v>
      </c>
      <c r="D230" s="54"/>
      <c r="E230" s="55"/>
      <c r="F230" s="85"/>
      <c r="G230" s="85"/>
      <c r="H230" s="86"/>
    </row>
    <row r="231" spans="1:8" ht="30" customHeight="1" x14ac:dyDescent="0.25">
      <c r="A231" s="312"/>
      <c r="B231" s="86"/>
      <c r="C231" s="53" t="s">
        <v>342</v>
      </c>
      <c r="D231" s="54"/>
      <c r="E231" s="55"/>
      <c r="F231" s="85"/>
      <c r="G231" s="85"/>
      <c r="H231" s="86"/>
    </row>
    <row r="232" spans="1:8" ht="30" customHeight="1" thickBot="1" x14ac:dyDescent="0.3">
      <c r="A232" s="83"/>
      <c r="B232" s="91"/>
      <c r="C232" s="88" t="s">
        <v>343</v>
      </c>
      <c r="D232" s="89"/>
      <c r="E232" s="90"/>
      <c r="F232" s="77"/>
      <c r="G232" s="77"/>
      <c r="H232" s="91"/>
    </row>
    <row r="233" spans="1:8" ht="30" customHeight="1" thickBot="1" x14ac:dyDescent="0.3">
      <c r="A233" s="313" t="s">
        <v>9681</v>
      </c>
      <c r="B233" s="52" t="s">
        <v>319</v>
      </c>
      <c r="C233" s="108" t="s">
        <v>344</v>
      </c>
      <c r="D233" s="109"/>
      <c r="E233" s="110"/>
      <c r="F233" s="78" t="s">
        <v>326</v>
      </c>
      <c r="G233" s="107" t="str">
        <f>+VLOOKUP(98,prueba!$D$2:$E$733,2,FALSE)</f>
        <v>TÉCNICA</v>
      </c>
      <c r="H233" s="52" t="s">
        <v>345</v>
      </c>
    </row>
    <row r="234" spans="1:8" ht="30" customHeight="1" thickBot="1" x14ac:dyDescent="0.3">
      <c r="A234" s="313" t="s">
        <v>9682</v>
      </c>
      <c r="B234" s="52" t="s">
        <v>319</v>
      </c>
      <c r="C234" s="108" t="s">
        <v>347</v>
      </c>
      <c r="D234" s="109"/>
      <c r="E234" s="110"/>
      <c r="F234" s="78" t="s">
        <v>348</v>
      </c>
      <c r="G234" s="107" t="str">
        <f>+VLOOKUP(99,prueba!$D$2:$E$733,2,FALSE)</f>
        <v>JURÍDICA - CONTRATACIÓN</v>
      </c>
      <c r="H234" s="52" t="s">
        <v>349</v>
      </c>
    </row>
    <row r="235" spans="1:8" ht="30" customHeight="1" thickBot="1" x14ac:dyDescent="0.3">
      <c r="A235" s="313" t="s">
        <v>350</v>
      </c>
      <c r="B235" s="52" t="s">
        <v>319</v>
      </c>
      <c r="C235" s="108" t="s">
        <v>351</v>
      </c>
      <c r="D235" s="109"/>
      <c r="E235" s="110"/>
      <c r="F235" s="78" t="s">
        <v>348</v>
      </c>
      <c r="G235" s="107" t="str">
        <f>+VLOOKUP(100,prueba!$D$2:$E$733,2,FALSE)</f>
        <v>JURÍDICA – CONTRATACIÓN</v>
      </c>
      <c r="H235" s="52" t="s">
        <v>349</v>
      </c>
    </row>
    <row r="236" spans="1:8" ht="30" customHeight="1" thickBot="1" x14ac:dyDescent="0.3">
      <c r="A236" s="313" t="s">
        <v>352</v>
      </c>
      <c r="B236" s="52" t="s">
        <v>319</v>
      </c>
      <c r="C236" s="108" t="s">
        <v>353</v>
      </c>
      <c r="D236" s="109"/>
      <c r="E236" s="110"/>
      <c r="F236" s="78" t="s">
        <v>354</v>
      </c>
      <c r="G236" s="107" t="str">
        <f>+VLOOKUP(101,prueba!$D$2:$E$733,2,FALSE)</f>
        <v>JURÍDICA – CONTRATACIÓN</v>
      </c>
      <c r="H236" s="52" t="s">
        <v>355</v>
      </c>
    </row>
    <row r="237" spans="1:8" ht="30" customHeight="1" x14ac:dyDescent="0.25">
      <c r="A237" s="76" t="s">
        <v>356</v>
      </c>
      <c r="B237" s="50" t="s">
        <v>319</v>
      </c>
      <c r="C237" s="63" t="s">
        <v>357</v>
      </c>
      <c r="D237" s="64"/>
      <c r="E237" s="65"/>
      <c r="F237" s="84" t="s">
        <v>358</v>
      </c>
      <c r="G237" s="84" t="str">
        <f>+VLOOKUP(102,prueba!$D$2:$E$733,2,FALSE)</f>
        <v xml:space="preserve">FINANCIERO – SEGUROS </v>
      </c>
      <c r="H237" s="50" t="s">
        <v>359</v>
      </c>
    </row>
    <row r="238" spans="1:8" ht="30" customHeight="1" x14ac:dyDescent="0.25">
      <c r="A238" s="312"/>
      <c r="B238" s="86"/>
      <c r="C238" s="53"/>
      <c r="D238" s="54"/>
      <c r="E238" s="55"/>
      <c r="F238" s="85"/>
      <c r="G238" s="85"/>
      <c r="H238" s="86"/>
    </row>
    <row r="239" spans="1:8" ht="30" customHeight="1" x14ac:dyDescent="0.25">
      <c r="A239" s="312"/>
      <c r="B239" s="86"/>
      <c r="C239" s="53" t="s">
        <v>360</v>
      </c>
      <c r="D239" s="54"/>
      <c r="E239" s="55"/>
      <c r="F239" s="85"/>
      <c r="G239" s="85"/>
      <c r="H239" s="86"/>
    </row>
    <row r="240" spans="1:8" ht="30" customHeight="1" x14ac:dyDescent="0.25">
      <c r="A240" s="312"/>
      <c r="B240" s="86"/>
      <c r="C240" s="53"/>
      <c r="D240" s="54"/>
      <c r="E240" s="55"/>
      <c r="F240" s="85"/>
      <c r="G240" s="85"/>
      <c r="H240" s="86"/>
    </row>
    <row r="241" spans="1:8" ht="30" customHeight="1" x14ac:dyDescent="0.25">
      <c r="A241" s="312"/>
      <c r="B241" s="86"/>
      <c r="C241" s="53" t="s">
        <v>361</v>
      </c>
      <c r="D241" s="54"/>
      <c r="E241" s="55"/>
      <c r="F241" s="85"/>
      <c r="G241" s="85"/>
      <c r="H241" s="86"/>
    </row>
    <row r="242" spans="1:8" ht="30" customHeight="1" x14ac:dyDescent="0.25">
      <c r="A242" s="312"/>
      <c r="B242" s="86"/>
      <c r="C242" s="53" t="s">
        <v>362</v>
      </c>
      <c r="D242" s="54"/>
      <c r="E242" s="55"/>
      <c r="F242" s="85"/>
      <c r="G242" s="85"/>
      <c r="H242" s="86"/>
    </row>
    <row r="243" spans="1:8" ht="30" customHeight="1" x14ac:dyDescent="0.25">
      <c r="A243" s="312"/>
      <c r="B243" s="86"/>
      <c r="C243" s="53" t="s">
        <v>363</v>
      </c>
      <c r="D243" s="54"/>
      <c r="E243" s="55"/>
      <c r="F243" s="85"/>
      <c r="G243" s="85"/>
      <c r="H243" s="86"/>
    </row>
    <row r="244" spans="1:8" ht="30" customHeight="1" x14ac:dyDescent="0.25">
      <c r="A244" s="312"/>
      <c r="B244" s="86"/>
      <c r="C244" s="53" t="s">
        <v>364</v>
      </c>
      <c r="D244" s="54"/>
      <c r="E244" s="55"/>
      <c r="F244" s="85"/>
      <c r="G244" s="85"/>
      <c r="H244" s="86"/>
    </row>
    <row r="245" spans="1:8" ht="30" customHeight="1" x14ac:dyDescent="0.25">
      <c r="A245" s="312"/>
      <c r="B245" s="86"/>
      <c r="C245" s="53" t="s">
        <v>365</v>
      </c>
      <c r="D245" s="54"/>
      <c r="E245" s="55"/>
      <c r="F245" s="85"/>
      <c r="G245" s="85"/>
      <c r="H245" s="86"/>
    </row>
    <row r="246" spans="1:8" ht="30" customHeight="1" thickBot="1" x14ac:dyDescent="0.3">
      <c r="A246" s="83"/>
      <c r="B246" s="91"/>
      <c r="C246" s="88" t="s">
        <v>366</v>
      </c>
      <c r="D246" s="89"/>
      <c r="E246" s="90"/>
      <c r="F246" s="77"/>
      <c r="G246" s="77"/>
      <c r="H246" s="91"/>
    </row>
    <row r="247" spans="1:8" ht="235.5" customHeight="1" thickBot="1" x14ac:dyDescent="0.3">
      <c r="A247" s="313" t="s">
        <v>367</v>
      </c>
      <c r="B247" s="52" t="s">
        <v>319</v>
      </c>
      <c r="C247" s="108" t="s">
        <v>368</v>
      </c>
      <c r="D247" s="109"/>
      <c r="E247" s="110"/>
      <c r="F247" s="78" t="s">
        <v>358</v>
      </c>
      <c r="G247" s="107" t="str">
        <f>+VLOOKUP(103,prueba!$D$2:$E$733,2,FALSE)</f>
        <v>FINANCIERA – SEGUROS</v>
      </c>
      <c r="H247" s="52" t="s">
        <v>8301</v>
      </c>
    </row>
    <row r="248" spans="1:8" ht="30" customHeight="1" x14ac:dyDescent="0.25">
      <c r="A248" s="76" t="s">
        <v>369</v>
      </c>
      <c r="B248" s="50" t="s">
        <v>319</v>
      </c>
      <c r="C248" s="63" t="s">
        <v>370</v>
      </c>
      <c r="D248" s="64"/>
      <c r="E248" s="65"/>
      <c r="F248" s="84" t="s">
        <v>371</v>
      </c>
      <c r="G248" s="84" t="str">
        <f>+VLOOKUP(104,prueba!$D$2:$E$733,2,FALSE)</f>
        <v>FINANCIERA - SEGUROS</v>
      </c>
      <c r="H248" s="50" t="s">
        <v>2599</v>
      </c>
    </row>
    <row r="249" spans="1:8" ht="30" customHeight="1" x14ac:dyDescent="0.25">
      <c r="A249" s="312"/>
      <c r="B249" s="86"/>
      <c r="C249" s="53"/>
      <c r="D249" s="54"/>
      <c r="E249" s="55"/>
      <c r="F249" s="85"/>
      <c r="G249" s="85"/>
      <c r="H249" s="86"/>
    </row>
    <row r="250" spans="1:8" ht="30" customHeight="1" thickBot="1" x14ac:dyDescent="0.3">
      <c r="A250" s="83"/>
      <c r="B250" s="91"/>
      <c r="C250" s="88" t="s">
        <v>372</v>
      </c>
      <c r="D250" s="89"/>
      <c r="E250" s="90"/>
      <c r="F250" s="77"/>
      <c r="G250" s="77"/>
      <c r="H250" s="91"/>
    </row>
    <row r="251" spans="1:8" ht="172.5" customHeight="1" thickBot="1" x14ac:dyDescent="0.3">
      <c r="A251" s="313" t="s">
        <v>373</v>
      </c>
      <c r="B251" s="52" t="s">
        <v>319</v>
      </c>
      <c r="C251" s="108" t="s">
        <v>374</v>
      </c>
      <c r="D251" s="109"/>
      <c r="E251" s="110"/>
      <c r="F251" s="78" t="s">
        <v>375</v>
      </c>
      <c r="G251" s="107" t="str">
        <f>+VLOOKUP(105,prueba!$D$2:$E$733,2,FALSE)</f>
        <v xml:space="preserve">TÉCNICA </v>
      </c>
      <c r="H251" s="52" t="s">
        <v>9224</v>
      </c>
    </row>
    <row r="252" spans="1:8" ht="105.75" customHeight="1" thickBot="1" x14ac:dyDescent="0.3">
      <c r="A252" s="313" t="s">
        <v>376</v>
      </c>
      <c r="B252" s="52" t="s">
        <v>319</v>
      </c>
      <c r="C252" s="108" t="s">
        <v>377</v>
      </c>
      <c r="D252" s="109"/>
      <c r="E252" s="110"/>
      <c r="F252" s="78" t="s">
        <v>375</v>
      </c>
      <c r="G252" s="107" t="str">
        <f>+VLOOKUP(106,prueba!$D$2:$E$733,2,FALSE)</f>
        <v>TÉCNICA</v>
      </c>
      <c r="H252" s="52" t="s">
        <v>9242</v>
      </c>
    </row>
    <row r="253" spans="1:8" ht="30" customHeight="1" x14ac:dyDescent="0.25">
      <c r="A253" s="76" t="s">
        <v>378</v>
      </c>
      <c r="B253" s="50" t="s">
        <v>319</v>
      </c>
      <c r="C253" s="63" t="s">
        <v>379</v>
      </c>
      <c r="D253" s="64"/>
      <c r="E253" s="65"/>
      <c r="F253" s="84" t="s">
        <v>380</v>
      </c>
      <c r="G253" s="84" t="str">
        <f>+VLOOKUP(107,prueba!$D$2:$E$733,2,FALSE)</f>
        <v>JURÍDICA - CONTRATACIÓN</v>
      </c>
      <c r="H253" s="50" t="s">
        <v>381</v>
      </c>
    </row>
    <row r="254" spans="1:8" ht="30" customHeight="1" x14ac:dyDescent="0.25">
      <c r="A254" s="312"/>
      <c r="B254" s="86"/>
      <c r="C254" s="53" t="s">
        <v>382</v>
      </c>
      <c r="D254" s="54"/>
      <c r="E254" s="55"/>
      <c r="F254" s="85"/>
      <c r="G254" s="85"/>
      <c r="H254" s="86"/>
    </row>
    <row r="255" spans="1:8" ht="30" customHeight="1" thickBot="1" x14ac:dyDescent="0.3">
      <c r="A255" s="83"/>
      <c r="B255" s="91"/>
      <c r="C255" s="88" t="s">
        <v>9683</v>
      </c>
      <c r="D255" s="89"/>
      <c r="E255" s="90"/>
      <c r="F255" s="77"/>
      <c r="G255" s="77"/>
      <c r="H255" s="91"/>
    </row>
    <row r="256" spans="1:8" ht="61.5" customHeight="1" thickBot="1" x14ac:dyDescent="0.3">
      <c r="A256" s="313" t="s">
        <v>383</v>
      </c>
      <c r="B256" s="52" t="s">
        <v>319</v>
      </c>
      <c r="C256" s="108" t="s">
        <v>384</v>
      </c>
      <c r="D256" s="109"/>
      <c r="E256" s="110"/>
      <c r="F256" s="78" t="s">
        <v>354</v>
      </c>
      <c r="G256" s="107" t="str">
        <f>+VLOOKUP(108,prueba!$D$2:$E$733,2,FALSE)</f>
        <v>JURÍDICA – CONTRATACIÓN</v>
      </c>
      <c r="H256" s="52" t="s">
        <v>385</v>
      </c>
    </row>
    <row r="257" spans="1:8" ht="30" customHeight="1" thickBot="1" x14ac:dyDescent="0.3">
      <c r="A257" s="313" t="s">
        <v>386</v>
      </c>
      <c r="B257" s="52" t="s">
        <v>319</v>
      </c>
      <c r="C257" s="108" t="s">
        <v>387</v>
      </c>
      <c r="D257" s="109"/>
      <c r="E257" s="110"/>
      <c r="F257" s="78" t="s">
        <v>388</v>
      </c>
      <c r="G257" s="107" t="str">
        <f>+VLOOKUP(109,prueba!$D$2:$E$733,2,FALSE)</f>
        <v>FINANCIERA</v>
      </c>
      <c r="H257" s="52" t="s">
        <v>389</v>
      </c>
    </row>
    <row r="258" spans="1:8" ht="30" customHeight="1" thickBot="1" x14ac:dyDescent="0.3">
      <c r="A258" s="313" t="s">
        <v>390</v>
      </c>
      <c r="B258" s="52" t="s">
        <v>319</v>
      </c>
      <c r="C258" s="108" t="s">
        <v>391</v>
      </c>
      <c r="D258" s="109"/>
      <c r="E258" s="110"/>
      <c r="F258" s="78" t="s">
        <v>392</v>
      </c>
      <c r="G258" s="107" t="str">
        <f>+VLOOKUP(110,prueba!$D$2:$E$733,2,FALSE)</f>
        <v>JURÍDICO – ESTRUCTURACIÓN FINANCIERA</v>
      </c>
      <c r="H258" s="52" t="s">
        <v>393</v>
      </c>
    </row>
    <row r="259" spans="1:8" ht="30" customHeight="1" thickBot="1" x14ac:dyDescent="0.3">
      <c r="A259" s="313" t="s">
        <v>394</v>
      </c>
      <c r="B259" s="52" t="s">
        <v>319</v>
      </c>
      <c r="C259" s="108" t="s">
        <v>395</v>
      </c>
      <c r="D259" s="109"/>
      <c r="E259" s="110"/>
      <c r="F259" s="78" t="s">
        <v>396</v>
      </c>
      <c r="G259" s="107" t="str">
        <f>+VLOOKUP(111,prueba!$D$2:$E$733,2,FALSE)</f>
        <v>TÉCNICA JURÍDICA - ESTRUCTURACIÓN</v>
      </c>
      <c r="H259" s="52" t="s">
        <v>397</v>
      </c>
    </row>
    <row r="260" spans="1:8" ht="30" customHeight="1" thickBot="1" x14ac:dyDescent="0.3">
      <c r="A260" s="313" t="s">
        <v>398</v>
      </c>
      <c r="B260" s="52" t="s">
        <v>319</v>
      </c>
      <c r="C260" s="108" t="s">
        <v>399</v>
      </c>
      <c r="D260" s="109"/>
      <c r="E260" s="110"/>
      <c r="F260" s="78" t="s">
        <v>400</v>
      </c>
      <c r="G260" s="107" t="str">
        <f>+VLOOKUP(112,prueba!$D$2:$E$733,2,FALSE)</f>
        <v>TÉCNICA</v>
      </c>
      <c r="H260" s="52" t="s">
        <v>8187</v>
      </c>
    </row>
    <row r="261" spans="1:8" ht="30" customHeight="1" thickBot="1" x14ac:dyDescent="0.3">
      <c r="A261" s="313" t="s">
        <v>401</v>
      </c>
      <c r="B261" s="52" t="s">
        <v>319</v>
      </c>
      <c r="C261" s="108" t="s">
        <v>402</v>
      </c>
      <c r="D261" s="109"/>
      <c r="E261" s="110"/>
      <c r="F261" s="78" t="s">
        <v>403</v>
      </c>
      <c r="G261" s="107" t="str">
        <f>+VLOOKUP(113,prueba!$D$2:$E$733,2,FALSE)</f>
        <v xml:space="preserve">TÉCNICA </v>
      </c>
      <c r="H261" s="52" t="s">
        <v>404</v>
      </c>
    </row>
    <row r="262" spans="1:8" ht="30" customHeight="1" thickBot="1" x14ac:dyDescent="0.3">
      <c r="A262" s="313" t="s">
        <v>405</v>
      </c>
      <c r="B262" s="52" t="s">
        <v>319</v>
      </c>
      <c r="C262" s="108" t="s">
        <v>406</v>
      </c>
      <c r="D262" s="109"/>
      <c r="E262" s="110"/>
      <c r="F262" s="78" t="s">
        <v>403</v>
      </c>
      <c r="G262" s="107" t="str">
        <f>+VLOOKUP(114,prueba!$D$2:$E$733,2,FALSE)</f>
        <v>TÉCNICA</v>
      </c>
      <c r="H262" s="52" t="s">
        <v>407</v>
      </c>
    </row>
    <row r="263" spans="1:8" ht="30" customHeight="1" x14ac:dyDescent="0.25">
      <c r="A263" s="76" t="s">
        <v>408</v>
      </c>
      <c r="B263" s="50" t="s">
        <v>319</v>
      </c>
      <c r="C263" s="63" t="s">
        <v>409</v>
      </c>
      <c r="D263" s="64"/>
      <c r="E263" s="65"/>
      <c r="F263" s="84" t="s">
        <v>410</v>
      </c>
      <c r="G263" s="84" t="str">
        <f>+VLOOKUP(115,prueba!$D$2:$E$733,2,FALSE)</f>
        <v xml:space="preserve">FINANCIERA Y JURÍDICA – ESTRUCTURACIÓN </v>
      </c>
      <c r="H263" s="50" t="s">
        <v>7009</v>
      </c>
    </row>
    <row r="264" spans="1:8" ht="30" customHeight="1" x14ac:dyDescent="0.25">
      <c r="A264" s="312"/>
      <c r="B264" s="86"/>
      <c r="C264" s="53"/>
      <c r="D264" s="54"/>
      <c r="E264" s="55"/>
      <c r="F264" s="85"/>
      <c r="G264" s="85"/>
      <c r="H264" s="86"/>
    </row>
    <row r="265" spans="1:8" ht="30" customHeight="1" x14ac:dyDescent="0.25">
      <c r="A265" s="312"/>
      <c r="B265" s="86"/>
      <c r="C265" s="53" t="s">
        <v>411</v>
      </c>
      <c r="D265" s="54"/>
      <c r="E265" s="55"/>
      <c r="F265" s="85"/>
      <c r="G265" s="85"/>
      <c r="H265" s="86"/>
    </row>
    <row r="266" spans="1:8" ht="30" customHeight="1" x14ac:dyDescent="0.25">
      <c r="A266" s="312"/>
      <c r="B266" s="86"/>
      <c r="C266" s="53"/>
      <c r="D266" s="54"/>
      <c r="E266" s="55"/>
      <c r="F266" s="85"/>
      <c r="G266" s="85"/>
      <c r="H266" s="86"/>
    </row>
    <row r="267" spans="1:8" ht="30" customHeight="1" thickBot="1" x14ac:dyDescent="0.3">
      <c r="A267" s="83"/>
      <c r="B267" s="91"/>
      <c r="C267" s="88" t="s">
        <v>412</v>
      </c>
      <c r="D267" s="89"/>
      <c r="E267" s="90"/>
      <c r="F267" s="77"/>
      <c r="G267" s="77"/>
      <c r="H267" s="91"/>
    </row>
    <row r="268" spans="1:8" ht="30" customHeight="1" x14ac:dyDescent="0.25">
      <c r="A268" s="76" t="s">
        <v>413</v>
      </c>
      <c r="B268" s="50" t="s">
        <v>319</v>
      </c>
      <c r="C268" s="63" t="s">
        <v>414</v>
      </c>
      <c r="D268" s="64"/>
      <c r="E268" s="65"/>
      <c r="F268" s="84" t="s">
        <v>415</v>
      </c>
      <c r="G268" s="84" t="str">
        <f>+VLOOKUP(116,prueba!$D$2:$E$733,2,FALSE)</f>
        <v xml:space="preserve">FINACIERO RIESGOS </v>
      </c>
      <c r="H268" s="50" t="s">
        <v>9188</v>
      </c>
    </row>
    <row r="269" spans="1:8" ht="12.75" customHeight="1" x14ac:dyDescent="0.25">
      <c r="A269" s="312"/>
      <c r="B269" s="86"/>
      <c r="C269" s="53"/>
      <c r="D269" s="54"/>
      <c r="E269" s="55"/>
      <c r="F269" s="85"/>
      <c r="G269" s="85"/>
      <c r="H269" s="86"/>
    </row>
    <row r="270" spans="1:8" ht="155.25" customHeight="1" x14ac:dyDescent="0.25">
      <c r="A270" s="312"/>
      <c r="B270" s="86"/>
      <c r="C270" s="53" t="s">
        <v>416</v>
      </c>
      <c r="D270" s="54"/>
      <c r="E270" s="55"/>
      <c r="F270" s="85"/>
      <c r="G270" s="85"/>
      <c r="H270" s="86"/>
    </row>
    <row r="271" spans="1:8" ht="12.75" customHeight="1" x14ac:dyDescent="0.25">
      <c r="A271" s="312"/>
      <c r="B271" s="86"/>
      <c r="C271" s="53"/>
      <c r="D271" s="54"/>
      <c r="E271" s="55"/>
      <c r="F271" s="85"/>
      <c r="G271" s="85"/>
      <c r="H271" s="86"/>
    </row>
    <row r="272" spans="1:8" ht="171.75" customHeight="1" thickBot="1" x14ac:dyDescent="0.3">
      <c r="A272" s="83"/>
      <c r="B272" s="91"/>
      <c r="C272" s="88" t="s">
        <v>417</v>
      </c>
      <c r="D272" s="89"/>
      <c r="E272" s="90"/>
      <c r="F272" s="77"/>
      <c r="G272" s="77"/>
      <c r="H272" s="91"/>
    </row>
    <row r="273" spans="1:8" ht="30" customHeight="1" x14ac:dyDescent="0.25">
      <c r="A273" s="76" t="s">
        <v>418</v>
      </c>
      <c r="B273" s="50" t="s">
        <v>319</v>
      </c>
      <c r="C273" s="63" t="s">
        <v>419</v>
      </c>
      <c r="D273" s="64"/>
      <c r="E273" s="65"/>
      <c r="F273" s="84" t="s">
        <v>420</v>
      </c>
      <c r="G273" s="84" t="str">
        <f>+VLOOKUP(117,prueba!$D$2:$E$733,2,FALSE)</f>
        <v>FINANCIERA</v>
      </c>
      <c r="H273" s="50" t="s">
        <v>8609</v>
      </c>
    </row>
    <row r="274" spans="1:8" ht="30" customHeight="1" x14ac:dyDescent="0.25">
      <c r="A274" s="312"/>
      <c r="B274" s="86"/>
      <c r="C274" s="53"/>
      <c r="D274" s="54"/>
      <c r="E274" s="55"/>
      <c r="F274" s="85"/>
      <c r="G274" s="85"/>
      <c r="H274" s="86"/>
    </row>
    <row r="275" spans="1:8" ht="30" customHeight="1" x14ac:dyDescent="0.25">
      <c r="A275" s="312"/>
      <c r="B275" s="86"/>
      <c r="C275" s="53" t="s">
        <v>421</v>
      </c>
      <c r="D275" s="54"/>
      <c r="E275" s="55"/>
      <c r="F275" s="85"/>
      <c r="G275" s="85"/>
      <c r="H275" s="86"/>
    </row>
    <row r="276" spans="1:8" ht="30" customHeight="1" x14ac:dyDescent="0.25">
      <c r="A276" s="312"/>
      <c r="B276" s="86"/>
      <c r="C276" s="53"/>
      <c r="D276" s="54"/>
      <c r="E276" s="55"/>
      <c r="F276" s="85"/>
      <c r="G276" s="85"/>
      <c r="H276" s="86"/>
    </row>
    <row r="277" spans="1:8" ht="30" customHeight="1" thickBot="1" x14ac:dyDescent="0.3">
      <c r="A277" s="83"/>
      <c r="B277" s="91"/>
      <c r="C277" s="88" t="s">
        <v>422</v>
      </c>
      <c r="D277" s="89"/>
      <c r="E277" s="90"/>
      <c r="F277" s="77"/>
      <c r="G277" s="77"/>
      <c r="H277" s="91"/>
    </row>
    <row r="278" spans="1:8" ht="30" customHeight="1" x14ac:dyDescent="0.25">
      <c r="A278" s="76" t="s">
        <v>423</v>
      </c>
      <c r="B278" s="50" t="s">
        <v>319</v>
      </c>
      <c r="C278" s="63" t="s">
        <v>419</v>
      </c>
      <c r="D278" s="64"/>
      <c r="E278" s="65"/>
      <c r="F278" s="84" t="s">
        <v>424</v>
      </c>
      <c r="G278" s="84" t="str">
        <f>+VLOOKUP(118,prueba!$D$2:$E$733,2,FALSE)</f>
        <v>JURÍDICA – ESTRUCTURACIÓN FINANCIERA</v>
      </c>
      <c r="H278" s="50" t="s">
        <v>8598</v>
      </c>
    </row>
    <row r="279" spans="1:8" ht="30" customHeight="1" x14ac:dyDescent="0.25">
      <c r="A279" s="312"/>
      <c r="B279" s="86"/>
      <c r="C279" s="53"/>
      <c r="D279" s="54"/>
      <c r="E279" s="55"/>
      <c r="F279" s="85"/>
      <c r="G279" s="85"/>
      <c r="H279" s="86"/>
    </row>
    <row r="280" spans="1:8" ht="30" customHeight="1" x14ac:dyDescent="0.25">
      <c r="A280" s="312"/>
      <c r="B280" s="86"/>
      <c r="C280" s="53" t="s">
        <v>425</v>
      </c>
      <c r="D280" s="54"/>
      <c r="E280" s="55"/>
      <c r="F280" s="85"/>
      <c r="G280" s="85"/>
      <c r="H280" s="86"/>
    </row>
    <row r="281" spans="1:8" ht="30" customHeight="1" x14ac:dyDescent="0.25">
      <c r="A281" s="312"/>
      <c r="B281" s="86"/>
      <c r="C281" s="53"/>
      <c r="D281" s="54"/>
      <c r="E281" s="55"/>
      <c r="F281" s="85"/>
      <c r="G281" s="85"/>
      <c r="H281" s="86"/>
    </row>
    <row r="282" spans="1:8" ht="30" customHeight="1" x14ac:dyDescent="0.25">
      <c r="A282" s="312"/>
      <c r="B282" s="86"/>
      <c r="C282" s="53" t="s">
        <v>426</v>
      </c>
      <c r="D282" s="54"/>
      <c r="E282" s="55"/>
      <c r="F282" s="85"/>
      <c r="G282" s="85"/>
      <c r="H282" s="86"/>
    </row>
    <row r="283" spans="1:8" ht="30" customHeight="1" x14ac:dyDescent="0.25">
      <c r="A283" s="312"/>
      <c r="B283" s="86"/>
      <c r="C283" s="53" t="s">
        <v>427</v>
      </c>
      <c r="D283" s="54"/>
      <c r="E283" s="55"/>
      <c r="F283" s="85"/>
      <c r="G283" s="85"/>
      <c r="H283" s="86"/>
    </row>
    <row r="284" spans="1:8" ht="30" customHeight="1" thickBot="1" x14ac:dyDescent="0.3">
      <c r="A284" s="83"/>
      <c r="B284" s="91"/>
      <c r="C284" s="88" t="s">
        <v>428</v>
      </c>
      <c r="D284" s="89"/>
      <c r="E284" s="90"/>
      <c r="F284" s="77"/>
      <c r="G284" s="77"/>
      <c r="H284" s="91"/>
    </row>
    <row r="285" spans="1:8" ht="30" customHeight="1" x14ac:dyDescent="0.25">
      <c r="A285" s="76" t="s">
        <v>429</v>
      </c>
      <c r="B285" s="50" t="s">
        <v>319</v>
      </c>
      <c r="C285" s="63" t="s">
        <v>414</v>
      </c>
      <c r="D285" s="64"/>
      <c r="E285" s="65"/>
      <c r="F285" s="84" t="s">
        <v>430</v>
      </c>
      <c r="G285" s="84" t="str">
        <f>+VLOOKUP(119,prueba!$D$2:$E$733,2,FALSE)</f>
        <v xml:space="preserve">JURÍDICA – ESTRUCTURACIÓN Y FINANCIERO </v>
      </c>
      <c r="H285" s="50" t="s">
        <v>8599</v>
      </c>
    </row>
    <row r="286" spans="1:8" ht="30" customHeight="1" x14ac:dyDescent="0.25">
      <c r="A286" s="312"/>
      <c r="B286" s="86"/>
      <c r="C286" s="53"/>
      <c r="D286" s="54"/>
      <c r="E286" s="55"/>
      <c r="F286" s="85"/>
      <c r="G286" s="85"/>
      <c r="H286" s="86"/>
    </row>
    <row r="287" spans="1:8" ht="30" customHeight="1" x14ac:dyDescent="0.25">
      <c r="A287" s="312"/>
      <c r="B287" s="86"/>
      <c r="C287" s="53" t="s">
        <v>431</v>
      </c>
      <c r="D287" s="54"/>
      <c r="E287" s="55"/>
      <c r="F287" s="85"/>
      <c r="G287" s="85"/>
      <c r="H287" s="86"/>
    </row>
    <row r="288" spans="1:8" ht="30" customHeight="1" x14ac:dyDescent="0.25">
      <c r="A288" s="312"/>
      <c r="B288" s="86"/>
      <c r="C288" s="53"/>
      <c r="D288" s="54"/>
      <c r="E288" s="55"/>
      <c r="F288" s="85"/>
      <c r="G288" s="85"/>
      <c r="H288" s="86"/>
    </row>
    <row r="289" spans="1:8" ht="30" customHeight="1" x14ac:dyDescent="0.25">
      <c r="A289" s="312"/>
      <c r="B289" s="86"/>
      <c r="C289" s="53" t="s">
        <v>432</v>
      </c>
      <c r="D289" s="54"/>
      <c r="E289" s="55"/>
      <c r="F289" s="85"/>
      <c r="G289" s="85"/>
      <c r="H289" s="86"/>
    </row>
    <row r="290" spans="1:8" ht="30" customHeight="1" x14ac:dyDescent="0.25">
      <c r="A290" s="312"/>
      <c r="B290" s="86"/>
      <c r="C290" s="53"/>
      <c r="D290" s="54"/>
      <c r="E290" s="55"/>
      <c r="F290" s="85"/>
      <c r="G290" s="85"/>
      <c r="H290" s="86"/>
    </row>
    <row r="291" spans="1:8" ht="30" customHeight="1" thickBot="1" x14ac:dyDescent="0.3">
      <c r="A291" s="83"/>
      <c r="B291" s="91"/>
      <c r="C291" s="88" t="s">
        <v>433</v>
      </c>
      <c r="D291" s="89"/>
      <c r="E291" s="90"/>
      <c r="F291" s="77"/>
      <c r="G291" s="77"/>
      <c r="H291" s="91"/>
    </row>
    <row r="292" spans="1:8" ht="30" customHeight="1" x14ac:dyDescent="0.25">
      <c r="A292" s="76" t="s">
        <v>434</v>
      </c>
      <c r="B292" s="50" t="s">
        <v>319</v>
      </c>
      <c r="C292" s="63" t="s">
        <v>435</v>
      </c>
      <c r="D292" s="64"/>
      <c r="E292" s="65"/>
      <c r="F292" s="84" t="s">
        <v>436</v>
      </c>
      <c r="G292" s="84" t="str">
        <f>+VLOOKUP(120,prueba!$D$2:$E$733,2,FALSE)</f>
        <v>FINANCIERA Y JURÍDICA ESTRUCTURACIÓN</v>
      </c>
      <c r="H292" s="50" t="s">
        <v>437</v>
      </c>
    </row>
    <row r="293" spans="1:8" ht="30" customHeight="1" x14ac:dyDescent="0.25">
      <c r="A293" s="312"/>
      <c r="B293" s="86"/>
      <c r="F293" s="85"/>
      <c r="G293" s="85"/>
      <c r="H293" s="86"/>
    </row>
    <row r="294" spans="1:8" ht="30" customHeight="1" thickBot="1" x14ac:dyDescent="0.3">
      <c r="A294" s="83"/>
      <c r="B294" s="91"/>
      <c r="C294" s="88" t="s">
        <v>438</v>
      </c>
      <c r="D294" s="89"/>
      <c r="E294" s="90"/>
      <c r="F294" s="77"/>
      <c r="G294" s="77"/>
      <c r="H294" s="91"/>
    </row>
    <row r="295" spans="1:8" ht="30" customHeight="1" x14ac:dyDescent="0.25">
      <c r="A295" s="76" t="s">
        <v>439</v>
      </c>
      <c r="B295" s="50" t="s">
        <v>319</v>
      </c>
      <c r="C295" s="63" t="s">
        <v>414</v>
      </c>
      <c r="D295" s="64"/>
      <c r="E295" s="65"/>
      <c r="F295" s="84" t="s">
        <v>440</v>
      </c>
      <c r="G295" s="84" t="str">
        <f>+VLOOKUP(121,prueba!$D$2:$E$733,2,FALSE)</f>
        <v>JURÍDICA - ESTRUCTURACIÓN</v>
      </c>
      <c r="H295" s="50" t="s">
        <v>8511</v>
      </c>
    </row>
    <row r="296" spans="1:8" ht="30" customHeight="1" x14ac:dyDescent="0.25">
      <c r="A296" s="312"/>
      <c r="B296" s="86"/>
      <c r="C296" s="53"/>
      <c r="D296" s="54"/>
      <c r="E296" s="55"/>
      <c r="F296" s="85"/>
      <c r="G296" s="85"/>
      <c r="H296" s="86"/>
    </row>
    <row r="297" spans="1:8" ht="30" customHeight="1" x14ac:dyDescent="0.25">
      <c r="A297" s="312"/>
      <c r="B297" s="86"/>
      <c r="C297" s="53" t="s">
        <v>441</v>
      </c>
      <c r="D297" s="54"/>
      <c r="E297" s="55"/>
      <c r="F297" s="85"/>
      <c r="G297" s="85"/>
      <c r="H297" s="86"/>
    </row>
    <row r="298" spans="1:8" ht="30" customHeight="1" x14ac:dyDescent="0.25">
      <c r="A298" s="312"/>
      <c r="B298" s="86"/>
      <c r="C298" s="53"/>
      <c r="D298" s="54"/>
      <c r="E298" s="55"/>
      <c r="F298" s="85"/>
      <c r="G298" s="85"/>
      <c r="H298" s="86"/>
    </row>
    <row r="299" spans="1:8" ht="30" customHeight="1" x14ac:dyDescent="0.25">
      <c r="A299" s="312"/>
      <c r="B299" s="86"/>
      <c r="C299" s="53" t="s">
        <v>442</v>
      </c>
      <c r="D299" s="54"/>
      <c r="E299" s="55"/>
      <c r="F299" s="85"/>
      <c r="G299" s="85"/>
      <c r="H299" s="86"/>
    </row>
    <row r="300" spans="1:8" ht="30" customHeight="1" x14ac:dyDescent="0.25">
      <c r="A300" s="312"/>
      <c r="B300" s="86"/>
      <c r="C300" s="53"/>
      <c r="D300" s="54"/>
      <c r="E300" s="55"/>
      <c r="F300" s="85"/>
      <c r="G300" s="85"/>
      <c r="H300" s="86"/>
    </row>
    <row r="301" spans="1:8" ht="30" customHeight="1" x14ac:dyDescent="0.25">
      <c r="A301" s="312"/>
      <c r="B301" s="86"/>
      <c r="C301" s="53" t="s">
        <v>443</v>
      </c>
      <c r="D301" s="54"/>
      <c r="E301" s="55"/>
      <c r="F301" s="85"/>
      <c r="G301" s="85"/>
      <c r="H301" s="86"/>
    </row>
    <row r="302" spans="1:8" ht="30" customHeight="1" x14ac:dyDescent="0.25">
      <c r="A302" s="312"/>
      <c r="B302" s="86"/>
      <c r="C302" s="53"/>
      <c r="D302" s="54"/>
      <c r="E302" s="55"/>
      <c r="F302" s="85"/>
      <c r="G302" s="85"/>
      <c r="H302" s="86"/>
    </row>
    <row r="303" spans="1:8" ht="30" customHeight="1" x14ac:dyDescent="0.25">
      <c r="A303" s="312"/>
      <c r="B303" s="86"/>
      <c r="C303" s="53" t="s">
        <v>444</v>
      </c>
      <c r="D303" s="54"/>
      <c r="E303" s="55"/>
      <c r="F303" s="85"/>
      <c r="G303" s="85"/>
      <c r="H303" s="86"/>
    </row>
    <row r="304" spans="1:8" ht="30" customHeight="1" x14ac:dyDescent="0.25">
      <c r="A304" s="312"/>
      <c r="B304" s="86"/>
      <c r="C304" s="53"/>
      <c r="D304" s="54"/>
      <c r="E304" s="55"/>
      <c r="F304" s="85"/>
      <c r="G304" s="85"/>
      <c r="H304" s="86"/>
    </row>
    <row r="305" spans="1:8" ht="30" customHeight="1" x14ac:dyDescent="0.25">
      <c r="A305" s="312"/>
      <c r="B305" s="86"/>
      <c r="C305" s="53" t="s">
        <v>445</v>
      </c>
      <c r="D305" s="54"/>
      <c r="E305" s="55"/>
      <c r="F305" s="85"/>
      <c r="G305" s="85"/>
      <c r="H305" s="86"/>
    </row>
    <row r="306" spans="1:8" ht="30" customHeight="1" x14ac:dyDescent="0.25">
      <c r="A306" s="312"/>
      <c r="B306" s="86"/>
      <c r="C306" s="53"/>
      <c r="D306" s="54"/>
      <c r="E306" s="55"/>
      <c r="F306" s="85"/>
      <c r="G306" s="85"/>
      <c r="H306" s="86"/>
    </row>
    <row r="307" spans="1:8" ht="30" customHeight="1" x14ac:dyDescent="0.25">
      <c r="A307" s="312"/>
      <c r="B307" s="86"/>
      <c r="C307" s="53" t="s">
        <v>446</v>
      </c>
      <c r="D307" s="54"/>
      <c r="E307" s="55"/>
      <c r="F307" s="85"/>
      <c r="G307" s="85"/>
      <c r="H307" s="86"/>
    </row>
    <row r="308" spans="1:8" ht="30" customHeight="1" x14ac:dyDescent="0.25">
      <c r="A308" s="312"/>
      <c r="B308" s="86"/>
      <c r="C308" s="53"/>
      <c r="D308" s="54"/>
      <c r="E308" s="55"/>
      <c r="F308" s="85"/>
      <c r="G308" s="85"/>
      <c r="H308" s="86"/>
    </row>
    <row r="309" spans="1:8" ht="30" customHeight="1" x14ac:dyDescent="0.25">
      <c r="A309" s="312"/>
      <c r="B309" s="86"/>
      <c r="C309" s="53" t="s">
        <v>447</v>
      </c>
      <c r="D309" s="54"/>
      <c r="E309" s="55"/>
      <c r="F309" s="85"/>
      <c r="G309" s="85"/>
      <c r="H309" s="86"/>
    </row>
    <row r="310" spans="1:8" ht="30" customHeight="1" x14ac:dyDescent="0.25">
      <c r="A310" s="312"/>
      <c r="B310" s="86"/>
      <c r="C310" s="53"/>
      <c r="D310" s="54"/>
      <c r="E310" s="55"/>
      <c r="F310" s="85"/>
      <c r="G310" s="85"/>
      <c r="H310" s="86"/>
    </row>
    <row r="311" spans="1:8" ht="30" customHeight="1" x14ac:dyDescent="0.25">
      <c r="A311" s="312"/>
      <c r="B311" s="86"/>
      <c r="C311" s="53" t="s">
        <v>448</v>
      </c>
      <c r="D311" s="54"/>
      <c r="E311" s="55"/>
      <c r="F311" s="85"/>
      <c r="G311" s="85"/>
      <c r="H311" s="86"/>
    </row>
    <row r="312" spans="1:8" ht="30" customHeight="1" x14ac:dyDescent="0.25">
      <c r="A312" s="312"/>
      <c r="B312" s="86"/>
      <c r="C312" s="53"/>
      <c r="D312" s="54"/>
      <c r="E312" s="55"/>
      <c r="F312" s="85"/>
      <c r="G312" s="85"/>
      <c r="H312" s="86"/>
    </row>
    <row r="313" spans="1:8" ht="30" customHeight="1" x14ac:dyDescent="0.25">
      <c r="A313" s="312"/>
      <c r="B313" s="86"/>
      <c r="C313" s="53" t="s">
        <v>449</v>
      </c>
      <c r="D313" s="54"/>
      <c r="E313" s="55"/>
      <c r="F313" s="85"/>
      <c r="G313" s="85"/>
      <c r="H313" s="86"/>
    </row>
    <row r="314" spans="1:8" ht="30" customHeight="1" x14ac:dyDescent="0.25">
      <c r="A314" s="312"/>
      <c r="B314" s="86"/>
      <c r="C314" s="53"/>
      <c r="D314" s="54"/>
      <c r="E314" s="55"/>
      <c r="F314" s="85"/>
      <c r="G314" s="85"/>
      <c r="H314" s="86"/>
    </row>
    <row r="315" spans="1:8" ht="30" customHeight="1" thickBot="1" x14ac:dyDescent="0.3">
      <c r="A315" s="83"/>
      <c r="B315" s="91"/>
      <c r="C315" s="88" t="s">
        <v>450</v>
      </c>
      <c r="D315" s="89"/>
      <c r="E315" s="90"/>
      <c r="F315" s="77"/>
      <c r="G315" s="77"/>
      <c r="H315" s="91"/>
    </row>
    <row r="316" spans="1:8" ht="30" customHeight="1" x14ac:dyDescent="0.25">
      <c r="A316" s="76">
        <v>122</v>
      </c>
      <c r="B316" s="50" t="s">
        <v>319</v>
      </c>
      <c r="C316" s="63" t="s">
        <v>451</v>
      </c>
      <c r="D316" s="64"/>
      <c r="E316" s="65"/>
      <c r="F316" s="84" t="s">
        <v>452</v>
      </c>
      <c r="G316" s="84" t="str">
        <f>+VLOOKUP(122,prueba!$D$2:$E$733,2,FALSE)</f>
        <v xml:space="preserve">JURÍDICA ESTRUCTURACIÓN - TECNICA RIESGO  </v>
      </c>
      <c r="H316" s="50" t="s">
        <v>7114</v>
      </c>
    </row>
    <row r="317" spans="1:8" ht="30" customHeight="1" x14ac:dyDescent="0.25">
      <c r="A317" s="312"/>
      <c r="B317" s="86"/>
      <c r="C317" s="53"/>
      <c r="D317" s="54"/>
      <c r="E317" s="55"/>
      <c r="F317" s="85"/>
      <c r="G317" s="85"/>
      <c r="H317" s="86"/>
    </row>
    <row r="318" spans="1:8" ht="30" customHeight="1" x14ac:dyDescent="0.25">
      <c r="A318" s="312"/>
      <c r="B318" s="86"/>
      <c r="C318" s="53" t="s">
        <v>453</v>
      </c>
      <c r="D318" s="54"/>
      <c r="E318" s="55"/>
      <c r="F318" s="85"/>
      <c r="G318" s="85"/>
      <c r="H318" s="86"/>
    </row>
    <row r="319" spans="1:8" ht="30" customHeight="1" x14ac:dyDescent="0.25">
      <c r="A319" s="312"/>
      <c r="B319" s="86"/>
      <c r="C319" s="53"/>
      <c r="D319" s="54"/>
      <c r="E319" s="55"/>
      <c r="F319" s="85"/>
      <c r="G319" s="85"/>
      <c r="H319" s="86"/>
    </row>
    <row r="320" spans="1:8" ht="30" customHeight="1" x14ac:dyDescent="0.25">
      <c r="A320" s="312"/>
      <c r="B320" s="86"/>
      <c r="C320" s="53" t="s">
        <v>454</v>
      </c>
      <c r="D320" s="54"/>
      <c r="E320" s="55"/>
      <c r="F320" s="85"/>
      <c r="G320" s="85"/>
      <c r="H320" s="86"/>
    </row>
    <row r="321" spans="1:8" ht="30" customHeight="1" x14ac:dyDescent="0.25">
      <c r="A321" s="312"/>
      <c r="B321" s="86"/>
      <c r="C321" s="53"/>
      <c r="D321" s="54"/>
      <c r="E321" s="55"/>
      <c r="F321" s="85"/>
      <c r="G321" s="85"/>
      <c r="H321" s="86"/>
    </row>
    <row r="322" spans="1:8" ht="30" customHeight="1" x14ac:dyDescent="0.25">
      <c r="A322" s="312"/>
      <c r="B322" s="86"/>
      <c r="C322" s="53" t="s">
        <v>455</v>
      </c>
      <c r="D322" s="54"/>
      <c r="E322" s="55"/>
      <c r="F322" s="85"/>
      <c r="G322" s="85"/>
      <c r="H322" s="86"/>
    </row>
    <row r="323" spans="1:8" ht="30" customHeight="1" x14ac:dyDescent="0.25">
      <c r="A323" s="312"/>
      <c r="B323" s="86"/>
      <c r="C323" s="53"/>
      <c r="D323" s="54"/>
      <c r="E323" s="55"/>
      <c r="F323" s="85"/>
      <c r="G323" s="85"/>
      <c r="H323" s="86"/>
    </row>
    <row r="324" spans="1:8" ht="30" customHeight="1" x14ac:dyDescent="0.25">
      <c r="A324" s="312"/>
      <c r="B324" s="86"/>
      <c r="C324" s="53" t="s">
        <v>456</v>
      </c>
      <c r="D324" s="54"/>
      <c r="E324" s="55"/>
      <c r="F324" s="85"/>
      <c r="G324" s="85"/>
      <c r="H324" s="86"/>
    </row>
    <row r="325" spans="1:8" ht="30" customHeight="1" x14ac:dyDescent="0.25">
      <c r="A325" s="312"/>
      <c r="B325" s="86"/>
      <c r="C325" s="53"/>
      <c r="D325" s="54"/>
      <c r="E325" s="55"/>
      <c r="F325" s="85"/>
      <c r="G325" s="85"/>
      <c r="H325" s="86"/>
    </row>
    <row r="326" spans="1:8" ht="30" customHeight="1" thickBot="1" x14ac:dyDescent="0.3">
      <c r="A326" s="83"/>
      <c r="B326" s="91"/>
      <c r="C326" s="88" t="s">
        <v>457</v>
      </c>
      <c r="D326" s="89"/>
      <c r="E326" s="90"/>
      <c r="F326" s="77"/>
      <c r="G326" s="77"/>
      <c r="H326" s="91"/>
    </row>
    <row r="327" spans="1:8" ht="30" customHeight="1" x14ac:dyDescent="0.25">
      <c r="A327" s="76">
        <f>+A316+1</f>
        <v>123</v>
      </c>
      <c r="B327" s="50" t="s">
        <v>319</v>
      </c>
      <c r="C327" s="63" t="s">
        <v>414</v>
      </c>
      <c r="D327" s="64"/>
      <c r="E327" s="65"/>
      <c r="F327" s="84" t="s">
        <v>458</v>
      </c>
      <c r="G327" s="84" t="str">
        <f>+VLOOKUP(123,prueba!$D$2:$E$733,2,FALSE)</f>
        <v>JURÍDICA – ESTRUCTURACIÓN</v>
      </c>
      <c r="H327" s="50" t="s">
        <v>8512</v>
      </c>
    </row>
    <row r="328" spans="1:8" ht="30" customHeight="1" x14ac:dyDescent="0.25">
      <c r="A328" s="312"/>
      <c r="B328" s="86"/>
      <c r="C328" s="53"/>
      <c r="D328" s="54"/>
      <c r="E328" s="55"/>
      <c r="F328" s="85"/>
      <c r="G328" s="85"/>
      <c r="H328" s="86"/>
    </row>
    <row r="329" spans="1:8" ht="30" customHeight="1" x14ac:dyDescent="0.25">
      <c r="A329" s="312"/>
      <c r="B329" s="86"/>
      <c r="C329" s="53" t="s">
        <v>459</v>
      </c>
      <c r="D329" s="54"/>
      <c r="E329" s="55"/>
      <c r="F329" s="85"/>
      <c r="G329" s="85"/>
      <c r="H329" s="86"/>
    </row>
    <row r="330" spans="1:8" ht="30" customHeight="1" x14ac:dyDescent="0.25">
      <c r="A330" s="312"/>
      <c r="B330" s="86"/>
      <c r="C330" s="53"/>
      <c r="D330" s="54"/>
      <c r="E330" s="55"/>
      <c r="F330" s="85"/>
      <c r="G330" s="85"/>
      <c r="H330" s="86"/>
    </row>
    <row r="331" spans="1:8" ht="30" customHeight="1" thickBot="1" x14ac:dyDescent="0.3">
      <c r="A331" s="83"/>
      <c r="B331" s="91"/>
      <c r="C331" s="88" t="s">
        <v>460</v>
      </c>
      <c r="D331" s="89"/>
      <c r="E331" s="90"/>
      <c r="F331" s="77"/>
      <c r="G331" s="77"/>
      <c r="H331" s="91"/>
    </row>
    <row r="332" spans="1:8" ht="30" customHeight="1" x14ac:dyDescent="0.25">
      <c r="A332" s="76">
        <f>+A327+1</f>
        <v>124</v>
      </c>
      <c r="B332" s="50" t="s">
        <v>319</v>
      </c>
      <c r="C332" s="63" t="s">
        <v>414</v>
      </c>
      <c r="D332" s="64"/>
      <c r="E332" s="65"/>
      <c r="F332" s="84" t="s">
        <v>461</v>
      </c>
      <c r="G332" s="84" t="str">
        <f>+VLOOKUP(124,prueba!$D$2:$E$733,2,FALSE)</f>
        <v>FINANCIERA</v>
      </c>
      <c r="H332" s="50" t="s">
        <v>9183</v>
      </c>
    </row>
    <row r="333" spans="1:8" ht="30" customHeight="1" x14ac:dyDescent="0.25">
      <c r="A333" s="312"/>
      <c r="B333" s="86"/>
      <c r="C333" s="53"/>
      <c r="D333" s="54"/>
      <c r="E333" s="55"/>
      <c r="F333" s="85"/>
      <c r="G333" s="85"/>
      <c r="H333" s="86"/>
    </row>
    <row r="334" spans="1:8" ht="30" customHeight="1" x14ac:dyDescent="0.25">
      <c r="A334" s="312"/>
      <c r="B334" s="86"/>
      <c r="C334" s="112" t="s">
        <v>9684</v>
      </c>
      <c r="D334" s="113"/>
      <c r="E334" s="114"/>
      <c r="F334" s="85"/>
      <c r="G334" s="85"/>
      <c r="H334" s="86"/>
    </row>
    <row r="335" spans="1:8" ht="30" customHeight="1" x14ac:dyDescent="0.25">
      <c r="A335" s="312"/>
      <c r="B335" s="86"/>
      <c r="C335" s="53"/>
      <c r="D335" s="54"/>
      <c r="E335" s="55"/>
      <c r="F335" s="85"/>
      <c r="G335" s="85"/>
      <c r="H335" s="86"/>
    </row>
    <row r="336" spans="1:8" ht="30" customHeight="1" thickBot="1" x14ac:dyDescent="0.3">
      <c r="A336" s="83"/>
      <c r="B336" s="91"/>
      <c r="C336" s="88" t="s">
        <v>462</v>
      </c>
      <c r="D336" s="89"/>
      <c r="E336" s="90"/>
      <c r="F336" s="77"/>
      <c r="G336" s="77"/>
      <c r="H336" s="91"/>
    </row>
    <row r="337" spans="1:8" ht="30" customHeight="1" x14ac:dyDescent="0.25">
      <c r="A337" s="76">
        <f>+A332+1</f>
        <v>125</v>
      </c>
      <c r="B337" s="50" t="s">
        <v>319</v>
      </c>
      <c r="C337" s="63" t="s">
        <v>414</v>
      </c>
      <c r="D337" s="64"/>
      <c r="E337" s="65"/>
      <c r="F337" s="84" t="s">
        <v>463</v>
      </c>
      <c r="G337" s="84" t="str">
        <f>+VLOOKUP(125,prueba!$D$2:$E$733,2,FALSE)</f>
        <v>FINANCIERA RIESGOS</v>
      </c>
      <c r="H337" s="50" t="s">
        <v>8604</v>
      </c>
    </row>
    <row r="338" spans="1:8" ht="30" customHeight="1" x14ac:dyDescent="0.25">
      <c r="A338" s="312"/>
      <c r="B338" s="86"/>
      <c r="C338" s="53"/>
      <c r="D338" s="54"/>
      <c r="E338" s="55"/>
      <c r="F338" s="85"/>
      <c r="G338" s="85"/>
      <c r="H338" s="86"/>
    </row>
    <row r="339" spans="1:8" ht="30" customHeight="1" x14ac:dyDescent="0.25">
      <c r="A339" s="312"/>
      <c r="B339" s="86"/>
      <c r="C339" s="53" t="s">
        <v>464</v>
      </c>
      <c r="D339" s="54"/>
      <c r="E339" s="55"/>
      <c r="F339" s="85"/>
      <c r="G339" s="85"/>
      <c r="H339" s="86"/>
    </row>
    <row r="340" spans="1:8" ht="30" customHeight="1" x14ac:dyDescent="0.25">
      <c r="A340" s="312"/>
      <c r="B340" s="86"/>
      <c r="C340" s="53"/>
      <c r="D340" s="54"/>
      <c r="E340" s="55"/>
      <c r="F340" s="85"/>
      <c r="G340" s="85"/>
      <c r="H340" s="86"/>
    </row>
    <row r="341" spans="1:8" ht="30" customHeight="1" x14ac:dyDescent="0.25">
      <c r="A341" s="312"/>
      <c r="B341" s="86"/>
      <c r="C341" s="53" t="s">
        <v>465</v>
      </c>
      <c r="D341" s="54"/>
      <c r="E341" s="55"/>
      <c r="F341" s="85"/>
      <c r="G341" s="85"/>
      <c r="H341" s="86"/>
    </row>
    <row r="342" spans="1:8" ht="30" customHeight="1" x14ac:dyDescent="0.25">
      <c r="A342" s="312"/>
      <c r="B342" s="86"/>
      <c r="C342" s="53"/>
      <c r="D342" s="54"/>
      <c r="E342" s="55"/>
      <c r="F342" s="85"/>
      <c r="G342" s="85"/>
      <c r="H342" s="86"/>
    </row>
    <row r="343" spans="1:8" ht="30" customHeight="1" x14ac:dyDescent="0.25">
      <c r="A343" s="312"/>
      <c r="B343" s="86"/>
      <c r="C343" s="53" t="s">
        <v>466</v>
      </c>
      <c r="D343" s="54"/>
      <c r="E343" s="55"/>
      <c r="F343" s="85"/>
      <c r="G343" s="85"/>
      <c r="H343" s="86"/>
    </row>
    <row r="344" spans="1:8" ht="30" customHeight="1" x14ac:dyDescent="0.25">
      <c r="A344" s="312"/>
      <c r="B344" s="86"/>
      <c r="C344" s="53"/>
      <c r="D344" s="54"/>
      <c r="E344" s="55"/>
      <c r="F344" s="85"/>
      <c r="G344" s="85"/>
      <c r="H344" s="86"/>
    </row>
    <row r="345" spans="1:8" ht="30" customHeight="1" thickBot="1" x14ac:dyDescent="0.3">
      <c r="A345" s="83"/>
      <c r="B345" s="91"/>
      <c r="C345" s="88" t="s">
        <v>467</v>
      </c>
      <c r="D345" s="89"/>
      <c r="E345" s="90"/>
      <c r="F345" s="77"/>
      <c r="G345" s="77"/>
      <c r="H345" s="91"/>
    </row>
    <row r="346" spans="1:8" ht="30" customHeight="1" x14ac:dyDescent="0.25">
      <c r="A346" s="76">
        <f>+A337+1</f>
        <v>126</v>
      </c>
      <c r="B346" s="50" t="s">
        <v>319</v>
      </c>
      <c r="C346" s="63" t="s">
        <v>414</v>
      </c>
      <c r="D346" s="64"/>
      <c r="E346" s="65"/>
      <c r="F346" s="84" t="s">
        <v>468</v>
      </c>
      <c r="G346" s="84" t="str">
        <f>+VLOOKUP(126,prueba!$D$2:$E$733,2,FALSE)</f>
        <v>JURÍDICA – DEFENSA JUDICIAL</v>
      </c>
      <c r="H346" s="50" t="s">
        <v>8111</v>
      </c>
    </row>
    <row r="347" spans="1:8" ht="30" customHeight="1" x14ac:dyDescent="0.25">
      <c r="A347" s="312"/>
      <c r="B347" s="86"/>
      <c r="C347" s="53"/>
      <c r="D347" s="54"/>
      <c r="E347" s="55"/>
      <c r="F347" s="85"/>
      <c r="G347" s="85"/>
      <c r="H347" s="86"/>
    </row>
    <row r="348" spans="1:8" ht="30" customHeight="1" x14ac:dyDescent="0.25">
      <c r="A348" s="312"/>
      <c r="B348" s="86"/>
      <c r="C348" s="53" t="s">
        <v>469</v>
      </c>
      <c r="D348" s="54"/>
      <c r="E348" s="55"/>
      <c r="F348" s="85"/>
      <c r="G348" s="85"/>
      <c r="H348" s="86"/>
    </row>
    <row r="349" spans="1:8" ht="30" customHeight="1" x14ac:dyDescent="0.25">
      <c r="A349" s="312"/>
      <c r="B349" s="86"/>
      <c r="C349" s="53"/>
      <c r="D349" s="54"/>
      <c r="E349" s="55"/>
      <c r="F349" s="85"/>
      <c r="G349" s="85"/>
      <c r="H349" s="86"/>
    </row>
    <row r="350" spans="1:8" ht="30" customHeight="1" x14ac:dyDescent="0.25">
      <c r="A350" s="312"/>
      <c r="B350" s="86"/>
      <c r="C350" s="53" t="s">
        <v>470</v>
      </c>
      <c r="D350" s="54"/>
      <c r="E350" s="55"/>
      <c r="F350" s="85"/>
      <c r="G350" s="85"/>
      <c r="H350" s="86"/>
    </row>
    <row r="351" spans="1:8" ht="30" customHeight="1" x14ac:dyDescent="0.25">
      <c r="A351" s="312"/>
      <c r="B351" s="86"/>
      <c r="C351" s="53"/>
      <c r="D351" s="54"/>
      <c r="E351" s="55"/>
      <c r="F351" s="85"/>
      <c r="G351" s="85"/>
      <c r="H351" s="86"/>
    </row>
    <row r="352" spans="1:8" ht="30" customHeight="1" x14ac:dyDescent="0.25">
      <c r="A352" s="312"/>
      <c r="B352" s="86"/>
      <c r="C352" s="53" t="s">
        <v>471</v>
      </c>
      <c r="D352" s="54"/>
      <c r="E352" s="55"/>
      <c r="F352" s="85"/>
      <c r="G352" s="85"/>
      <c r="H352" s="86"/>
    </row>
    <row r="353" spans="1:8" ht="30" customHeight="1" x14ac:dyDescent="0.25">
      <c r="A353" s="312"/>
      <c r="B353" s="86"/>
      <c r="C353" s="53"/>
      <c r="D353" s="54"/>
      <c r="E353" s="55"/>
      <c r="F353" s="85"/>
      <c r="G353" s="85"/>
      <c r="H353" s="86"/>
    </row>
    <row r="354" spans="1:8" ht="30" customHeight="1" thickBot="1" x14ac:dyDescent="0.3">
      <c r="A354" s="83"/>
      <c r="B354" s="91"/>
      <c r="C354" s="88" t="s">
        <v>472</v>
      </c>
      <c r="D354" s="89"/>
      <c r="E354" s="90"/>
      <c r="F354" s="77"/>
      <c r="G354" s="77"/>
      <c r="H354" s="91"/>
    </row>
    <row r="355" spans="1:8" ht="30" customHeight="1" x14ac:dyDescent="0.25">
      <c r="A355" s="76">
        <f>+A346+1</f>
        <v>127</v>
      </c>
      <c r="B355" s="50" t="s">
        <v>319</v>
      </c>
      <c r="C355" s="63" t="s">
        <v>473</v>
      </c>
      <c r="D355" s="64"/>
      <c r="E355" s="65"/>
      <c r="F355" s="84" t="s">
        <v>474</v>
      </c>
      <c r="G355" s="84" t="str">
        <f>+VLOOKUP(127,prueba!$D$2:$E$733,2,FALSE)</f>
        <v>FINANCIERA</v>
      </c>
      <c r="H355" s="50" t="s">
        <v>9142</v>
      </c>
    </row>
    <row r="356" spans="1:8" ht="30" customHeight="1" x14ac:dyDescent="0.25">
      <c r="A356" s="312"/>
      <c r="B356" s="86"/>
      <c r="C356" s="53"/>
      <c r="D356" s="54"/>
      <c r="E356" s="55"/>
      <c r="F356" s="85"/>
      <c r="G356" s="85"/>
      <c r="H356" s="86"/>
    </row>
    <row r="357" spans="1:8" ht="30" customHeight="1" x14ac:dyDescent="0.25">
      <c r="A357" s="312"/>
      <c r="B357" s="86"/>
      <c r="C357" s="53" t="s">
        <v>475</v>
      </c>
      <c r="D357" s="54"/>
      <c r="E357" s="55"/>
      <c r="F357" s="85"/>
      <c r="G357" s="85"/>
      <c r="H357" s="86"/>
    </row>
    <row r="358" spans="1:8" ht="30" customHeight="1" x14ac:dyDescent="0.25">
      <c r="A358" s="312"/>
      <c r="B358" s="86"/>
      <c r="C358" s="53"/>
      <c r="D358" s="54"/>
      <c r="E358" s="55"/>
      <c r="F358" s="85"/>
      <c r="G358" s="85"/>
      <c r="H358" s="86"/>
    </row>
    <row r="359" spans="1:8" ht="30" customHeight="1" x14ac:dyDescent="0.25">
      <c r="A359" s="312"/>
      <c r="B359" s="86"/>
      <c r="C359" s="115" t="s">
        <v>476</v>
      </c>
      <c r="D359" s="116"/>
      <c r="E359" s="117"/>
      <c r="F359" s="85"/>
      <c r="G359" s="85"/>
      <c r="H359" s="86"/>
    </row>
    <row r="360" spans="1:8" ht="30" customHeight="1" x14ac:dyDescent="0.25">
      <c r="A360" s="312"/>
      <c r="B360" s="86"/>
      <c r="C360" s="115" t="s">
        <v>477</v>
      </c>
      <c r="D360" s="116"/>
      <c r="E360" s="117"/>
      <c r="F360" s="85"/>
      <c r="G360" s="85"/>
      <c r="H360" s="86"/>
    </row>
    <row r="361" spans="1:8" ht="30" customHeight="1" x14ac:dyDescent="0.25">
      <c r="A361" s="312"/>
      <c r="B361" s="86"/>
      <c r="C361" s="115" t="s">
        <v>478</v>
      </c>
      <c r="D361" s="116"/>
      <c r="E361" s="117"/>
      <c r="F361" s="85"/>
      <c r="G361" s="85"/>
      <c r="H361" s="86"/>
    </row>
    <row r="362" spans="1:8" ht="30" customHeight="1" x14ac:dyDescent="0.25">
      <c r="A362" s="312"/>
      <c r="B362" s="86"/>
      <c r="C362" s="115" t="s">
        <v>479</v>
      </c>
      <c r="D362" s="116"/>
      <c r="E362" s="117"/>
      <c r="F362" s="85"/>
      <c r="G362" s="85"/>
      <c r="H362" s="86"/>
    </row>
    <row r="363" spans="1:8" ht="30" customHeight="1" x14ac:dyDescent="0.25">
      <c r="A363" s="312"/>
      <c r="B363" s="86"/>
      <c r="C363" s="115" t="s">
        <v>480</v>
      </c>
      <c r="D363" s="116"/>
      <c r="E363" s="117"/>
      <c r="F363" s="85"/>
      <c r="G363" s="85"/>
      <c r="H363" s="86"/>
    </row>
    <row r="364" spans="1:8" ht="30" customHeight="1" x14ac:dyDescent="0.25">
      <c r="A364" s="312"/>
      <c r="B364" s="86"/>
      <c r="C364" s="53"/>
      <c r="D364" s="54"/>
      <c r="E364" s="55"/>
      <c r="F364" s="85"/>
      <c r="G364" s="85"/>
      <c r="H364" s="86"/>
    </row>
    <row r="365" spans="1:8" ht="30" customHeight="1" x14ac:dyDescent="0.25">
      <c r="A365" s="312"/>
      <c r="B365" s="86"/>
      <c r="C365" s="115" t="s">
        <v>481</v>
      </c>
      <c r="D365" s="116"/>
      <c r="E365" s="117"/>
      <c r="F365" s="85"/>
      <c r="G365" s="85"/>
      <c r="H365" s="86"/>
    </row>
    <row r="366" spans="1:8" ht="30" customHeight="1" x14ac:dyDescent="0.25">
      <c r="A366" s="312"/>
      <c r="B366" s="86"/>
      <c r="C366" s="53"/>
      <c r="D366" s="54"/>
      <c r="E366" s="55"/>
      <c r="F366" s="85"/>
      <c r="G366" s="85"/>
      <c r="H366" s="86"/>
    </row>
    <row r="367" spans="1:8" ht="30" customHeight="1" thickBot="1" x14ac:dyDescent="0.3">
      <c r="A367" s="83"/>
      <c r="B367" s="91"/>
      <c r="C367" s="118" t="s">
        <v>482</v>
      </c>
      <c r="D367" s="119"/>
      <c r="E367" s="120"/>
      <c r="F367" s="77"/>
      <c r="G367" s="77"/>
      <c r="H367" s="91"/>
    </row>
    <row r="368" spans="1:8" ht="30" customHeight="1" x14ac:dyDescent="0.25">
      <c r="A368" s="76">
        <f>+A355+1</f>
        <v>128</v>
      </c>
      <c r="B368" s="50" t="s">
        <v>319</v>
      </c>
      <c r="C368" s="63" t="s">
        <v>483</v>
      </c>
      <c r="D368" s="64"/>
      <c r="E368" s="65"/>
      <c r="F368" s="84" t="s">
        <v>484</v>
      </c>
      <c r="G368" s="84" t="str">
        <f>+VLOOKUP(128,prueba!$D$2:$E$733,2,FALSE)</f>
        <v>FINANCIERA</v>
      </c>
      <c r="H368" s="50" t="s">
        <v>9142</v>
      </c>
    </row>
    <row r="369" spans="1:8" ht="30" customHeight="1" x14ac:dyDescent="0.25">
      <c r="A369" s="312"/>
      <c r="B369" s="86"/>
      <c r="C369" s="53" t="s">
        <v>485</v>
      </c>
      <c r="D369" s="54"/>
      <c r="E369" s="55"/>
      <c r="F369" s="85"/>
      <c r="G369" s="85"/>
      <c r="H369" s="86"/>
    </row>
    <row r="370" spans="1:8" ht="30" customHeight="1" x14ac:dyDescent="0.25">
      <c r="A370" s="312"/>
      <c r="B370" s="86"/>
      <c r="C370" s="53" t="s">
        <v>486</v>
      </c>
      <c r="D370" s="54"/>
      <c r="E370" s="55"/>
      <c r="F370" s="85"/>
      <c r="G370" s="85"/>
      <c r="H370" s="86"/>
    </row>
    <row r="371" spans="1:8" ht="30" customHeight="1" x14ac:dyDescent="0.25">
      <c r="A371" s="312"/>
      <c r="B371" s="86"/>
      <c r="C371" s="53"/>
      <c r="D371" s="54"/>
      <c r="E371" s="55"/>
      <c r="F371" s="85"/>
      <c r="G371" s="85"/>
      <c r="H371" s="86"/>
    </row>
    <row r="372" spans="1:8" ht="30" customHeight="1" x14ac:dyDescent="0.25">
      <c r="A372" s="312"/>
      <c r="B372" s="86"/>
      <c r="C372" s="53" t="s">
        <v>487</v>
      </c>
      <c r="D372" s="54"/>
      <c r="E372" s="55"/>
      <c r="F372" s="85"/>
      <c r="G372" s="85"/>
      <c r="H372" s="86"/>
    </row>
    <row r="373" spans="1:8" ht="30" customHeight="1" x14ac:dyDescent="0.25">
      <c r="A373" s="312"/>
      <c r="B373" s="86"/>
      <c r="C373" s="53" t="s">
        <v>488</v>
      </c>
      <c r="D373" s="54"/>
      <c r="E373" s="55"/>
      <c r="F373" s="85"/>
      <c r="G373" s="85"/>
      <c r="H373" s="86"/>
    </row>
    <row r="374" spans="1:8" ht="30" customHeight="1" x14ac:dyDescent="0.25">
      <c r="A374" s="312"/>
      <c r="B374" s="86"/>
      <c r="C374" s="115" t="s">
        <v>476</v>
      </c>
      <c r="D374" s="116"/>
      <c r="E374" s="117"/>
      <c r="F374" s="85"/>
      <c r="G374" s="85"/>
      <c r="H374" s="86"/>
    </row>
    <row r="375" spans="1:8" ht="30" customHeight="1" x14ac:dyDescent="0.25">
      <c r="A375" s="312"/>
      <c r="B375" s="86"/>
      <c r="C375" s="115" t="s">
        <v>477</v>
      </c>
      <c r="D375" s="116"/>
      <c r="E375" s="117"/>
      <c r="F375" s="85"/>
      <c r="G375" s="85"/>
      <c r="H375" s="86"/>
    </row>
    <row r="376" spans="1:8" ht="30" customHeight="1" x14ac:dyDescent="0.25">
      <c r="A376" s="312"/>
      <c r="B376" s="86"/>
      <c r="C376" s="115" t="s">
        <v>478</v>
      </c>
      <c r="D376" s="116"/>
      <c r="E376" s="117"/>
      <c r="F376" s="85"/>
      <c r="G376" s="85"/>
      <c r="H376" s="86"/>
    </row>
    <row r="377" spans="1:8" ht="30" customHeight="1" x14ac:dyDescent="0.25">
      <c r="A377" s="312"/>
      <c r="B377" s="86"/>
      <c r="C377" s="115" t="s">
        <v>479</v>
      </c>
      <c r="D377" s="116"/>
      <c r="E377" s="117"/>
      <c r="F377" s="85"/>
      <c r="G377" s="85"/>
      <c r="H377" s="86"/>
    </row>
    <row r="378" spans="1:8" ht="30" customHeight="1" x14ac:dyDescent="0.25">
      <c r="A378" s="312"/>
      <c r="B378" s="86"/>
      <c r="C378" s="115" t="s">
        <v>480</v>
      </c>
      <c r="D378" s="116"/>
      <c r="E378" s="117"/>
      <c r="F378" s="85"/>
      <c r="G378" s="85"/>
      <c r="H378" s="86"/>
    </row>
    <row r="379" spans="1:8" ht="30" customHeight="1" x14ac:dyDescent="0.25">
      <c r="A379" s="312"/>
      <c r="B379" s="86"/>
      <c r="C379" s="53"/>
      <c r="D379" s="54"/>
      <c r="E379" s="55"/>
      <c r="F379" s="85"/>
      <c r="G379" s="85"/>
      <c r="H379" s="86"/>
    </row>
    <row r="380" spans="1:8" ht="30" customHeight="1" x14ac:dyDescent="0.25">
      <c r="A380" s="312"/>
      <c r="B380" s="86"/>
      <c r="C380" s="115" t="s">
        <v>481</v>
      </c>
      <c r="D380" s="116"/>
      <c r="E380" s="117"/>
      <c r="F380" s="85"/>
      <c r="G380" s="85"/>
      <c r="H380" s="86"/>
    </row>
    <row r="381" spans="1:8" ht="30" customHeight="1" x14ac:dyDescent="0.25">
      <c r="A381" s="312"/>
      <c r="B381" s="86"/>
      <c r="C381" s="53"/>
      <c r="D381" s="54"/>
      <c r="E381" s="55"/>
      <c r="F381" s="85"/>
      <c r="G381" s="85"/>
      <c r="H381" s="86"/>
    </row>
    <row r="382" spans="1:8" ht="30" customHeight="1" thickBot="1" x14ac:dyDescent="0.3">
      <c r="A382" s="83"/>
      <c r="B382" s="91"/>
      <c r="C382" s="118" t="s">
        <v>489</v>
      </c>
      <c r="D382" s="119"/>
      <c r="E382" s="120"/>
      <c r="F382" s="77"/>
      <c r="G382" s="77"/>
      <c r="H382" s="91"/>
    </row>
    <row r="383" spans="1:8" ht="30" customHeight="1" x14ac:dyDescent="0.25">
      <c r="A383" s="76">
        <f>+A368+1</f>
        <v>129</v>
      </c>
      <c r="B383" s="50" t="s">
        <v>319</v>
      </c>
      <c r="C383" s="63" t="s">
        <v>490</v>
      </c>
      <c r="D383" s="64"/>
      <c r="E383" s="65"/>
      <c r="F383" s="84" t="s">
        <v>491</v>
      </c>
      <c r="G383" s="84" t="str">
        <f>+VLOOKUP(129,prueba!$D$2:$E$733,2,FALSE)</f>
        <v>FINANCIERA</v>
      </c>
      <c r="H383" s="50" t="s">
        <v>9142</v>
      </c>
    </row>
    <row r="384" spans="1:8" ht="30" customHeight="1" x14ac:dyDescent="0.25">
      <c r="A384" s="312"/>
      <c r="B384" s="86"/>
      <c r="C384" s="53"/>
      <c r="D384" s="54"/>
      <c r="E384" s="55"/>
      <c r="F384" s="85"/>
      <c r="G384" s="85"/>
      <c r="H384" s="86"/>
    </row>
    <row r="385" spans="1:8" ht="30" customHeight="1" x14ac:dyDescent="0.25">
      <c r="A385" s="312"/>
      <c r="B385" s="86"/>
      <c r="C385" s="53" t="s">
        <v>492</v>
      </c>
      <c r="D385" s="54"/>
      <c r="E385" s="55"/>
      <c r="F385" s="85"/>
      <c r="G385" s="85"/>
      <c r="H385" s="86"/>
    </row>
    <row r="386" spans="1:8" ht="30" customHeight="1" x14ac:dyDescent="0.25">
      <c r="A386" s="312"/>
      <c r="B386" s="86"/>
      <c r="C386" s="53"/>
      <c r="D386" s="54"/>
      <c r="E386" s="55"/>
      <c r="F386" s="85"/>
      <c r="G386" s="85"/>
      <c r="H386" s="86"/>
    </row>
    <row r="387" spans="1:8" ht="30" customHeight="1" x14ac:dyDescent="0.25">
      <c r="A387" s="312"/>
      <c r="B387" s="86"/>
      <c r="C387" s="53" t="s">
        <v>493</v>
      </c>
      <c r="D387" s="54"/>
      <c r="E387" s="55"/>
      <c r="F387" s="85"/>
      <c r="G387" s="85"/>
      <c r="H387" s="86"/>
    </row>
    <row r="388" spans="1:8" ht="30" customHeight="1" x14ac:dyDescent="0.25">
      <c r="A388" s="312"/>
      <c r="B388" s="86"/>
      <c r="C388" s="53" t="s">
        <v>9685</v>
      </c>
      <c r="D388" s="54"/>
      <c r="E388" s="55"/>
      <c r="F388" s="85"/>
      <c r="G388" s="85"/>
      <c r="H388" s="86"/>
    </row>
    <row r="389" spans="1:8" ht="30" customHeight="1" x14ac:dyDescent="0.25">
      <c r="A389" s="312"/>
      <c r="B389" s="86"/>
      <c r="C389" s="115" t="s">
        <v>477</v>
      </c>
      <c r="D389" s="116"/>
      <c r="E389" s="117"/>
      <c r="F389" s="85"/>
      <c r="G389" s="85"/>
      <c r="H389" s="86"/>
    </row>
    <row r="390" spans="1:8" ht="30" customHeight="1" x14ac:dyDescent="0.25">
      <c r="A390" s="312"/>
      <c r="B390" s="86"/>
      <c r="C390" s="115" t="s">
        <v>478</v>
      </c>
      <c r="D390" s="116"/>
      <c r="E390" s="117"/>
      <c r="F390" s="85"/>
      <c r="G390" s="85"/>
      <c r="H390" s="86"/>
    </row>
    <row r="391" spans="1:8" ht="30" customHeight="1" x14ac:dyDescent="0.25">
      <c r="A391" s="312"/>
      <c r="B391" s="86"/>
      <c r="C391" s="115" t="s">
        <v>479</v>
      </c>
      <c r="D391" s="116"/>
      <c r="E391" s="117"/>
      <c r="F391" s="85"/>
      <c r="G391" s="85"/>
      <c r="H391" s="86"/>
    </row>
    <row r="392" spans="1:8" ht="30" customHeight="1" x14ac:dyDescent="0.25">
      <c r="A392" s="312"/>
      <c r="B392" s="86"/>
      <c r="C392" s="115" t="s">
        <v>480</v>
      </c>
      <c r="D392" s="116"/>
      <c r="E392" s="117"/>
      <c r="F392" s="85"/>
      <c r="G392" s="85"/>
      <c r="H392" s="86"/>
    </row>
    <row r="393" spans="1:8" ht="30" customHeight="1" x14ac:dyDescent="0.25">
      <c r="A393" s="312"/>
      <c r="B393" s="86"/>
      <c r="C393" s="53"/>
      <c r="D393" s="54"/>
      <c r="E393" s="55"/>
      <c r="F393" s="85"/>
      <c r="G393" s="85"/>
      <c r="H393" s="86"/>
    </row>
    <row r="394" spans="1:8" ht="30" customHeight="1" x14ac:dyDescent="0.25">
      <c r="A394" s="312"/>
      <c r="B394" s="86"/>
      <c r="C394" s="115" t="s">
        <v>481</v>
      </c>
      <c r="D394" s="116"/>
      <c r="E394" s="117"/>
      <c r="F394" s="85"/>
      <c r="G394" s="85"/>
      <c r="H394" s="86"/>
    </row>
    <row r="395" spans="1:8" ht="30" customHeight="1" x14ac:dyDescent="0.25">
      <c r="A395" s="312"/>
      <c r="B395" s="86"/>
      <c r="C395" s="53"/>
      <c r="D395" s="54"/>
      <c r="E395" s="55"/>
      <c r="F395" s="85"/>
      <c r="G395" s="85"/>
      <c r="H395" s="86"/>
    </row>
    <row r="396" spans="1:8" ht="30" customHeight="1" thickBot="1" x14ac:dyDescent="0.3">
      <c r="A396" s="83"/>
      <c r="B396" s="91"/>
      <c r="C396" s="118" t="s">
        <v>9686</v>
      </c>
      <c r="D396" s="119"/>
      <c r="E396" s="120"/>
      <c r="F396" s="77"/>
      <c r="G396" s="77"/>
      <c r="H396" s="91"/>
    </row>
    <row r="397" spans="1:8" ht="30" customHeight="1" x14ac:dyDescent="0.25">
      <c r="A397" s="76">
        <f>+A383+1</f>
        <v>130</v>
      </c>
      <c r="B397" s="50" t="s">
        <v>319</v>
      </c>
      <c r="C397" s="63" t="s">
        <v>414</v>
      </c>
      <c r="D397" s="64"/>
      <c r="E397" s="65"/>
      <c r="F397" s="84" t="s">
        <v>494</v>
      </c>
      <c r="G397" s="84" t="str">
        <f>+VLOOKUP(130,prueba!$D$2:$E$733,2,FALSE)</f>
        <v>FINANCIERA JURÍDICA</v>
      </c>
      <c r="H397" s="50" t="s">
        <v>9232</v>
      </c>
    </row>
    <row r="398" spans="1:8" ht="30" customHeight="1" x14ac:dyDescent="0.25">
      <c r="A398" s="312"/>
      <c r="B398" s="86"/>
      <c r="C398" s="53"/>
      <c r="D398" s="54"/>
      <c r="E398" s="55"/>
      <c r="F398" s="85"/>
      <c r="G398" s="85"/>
      <c r="H398" s="86"/>
    </row>
    <row r="399" spans="1:8" ht="30" customHeight="1" x14ac:dyDescent="0.25">
      <c r="A399" s="312"/>
      <c r="B399" s="86"/>
      <c r="C399" s="112" t="s">
        <v>495</v>
      </c>
      <c r="D399" s="113"/>
      <c r="E399" s="114"/>
      <c r="F399" s="85"/>
      <c r="G399" s="85"/>
      <c r="H399" s="86"/>
    </row>
    <row r="400" spans="1:8" ht="30" customHeight="1" x14ac:dyDescent="0.25">
      <c r="A400" s="312"/>
      <c r="B400" s="86"/>
      <c r="C400" s="112" t="s">
        <v>496</v>
      </c>
      <c r="D400" s="113"/>
      <c r="E400" s="114"/>
      <c r="F400" s="85"/>
      <c r="G400" s="85"/>
      <c r="H400" s="86"/>
    </row>
    <row r="401" spans="1:8" ht="30" customHeight="1" x14ac:dyDescent="0.25">
      <c r="A401" s="312"/>
      <c r="B401" s="86"/>
      <c r="C401" s="112" t="s">
        <v>497</v>
      </c>
      <c r="D401" s="113"/>
      <c r="E401" s="114"/>
      <c r="F401" s="85"/>
      <c r="G401" s="85"/>
      <c r="H401" s="86"/>
    </row>
    <row r="402" spans="1:8" ht="30" customHeight="1" x14ac:dyDescent="0.25">
      <c r="A402" s="312"/>
      <c r="B402" s="86"/>
      <c r="C402" s="112" t="s">
        <v>498</v>
      </c>
      <c r="D402" s="113"/>
      <c r="E402" s="114"/>
      <c r="F402" s="85"/>
      <c r="G402" s="85"/>
      <c r="H402" s="86"/>
    </row>
    <row r="403" spans="1:8" ht="30" customHeight="1" x14ac:dyDescent="0.25">
      <c r="A403" s="312"/>
      <c r="B403" s="86"/>
      <c r="C403" s="112" t="s">
        <v>499</v>
      </c>
      <c r="D403" s="113"/>
      <c r="E403" s="114"/>
      <c r="F403" s="85"/>
      <c r="G403" s="85"/>
      <c r="H403" s="86"/>
    </row>
    <row r="404" spans="1:8" ht="30" customHeight="1" x14ac:dyDescent="0.25">
      <c r="A404" s="312"/>
      <c r="B404" s="86"/>
      <c r="C404" s="112" t="s">
        <v>500</v>
      </c>
      <c r="D404" s="113"/>
      <c r="E404" s="114"/>
      <c r="F404" s="85"/>
      <c r="G404" s="85"/>
      <c r="H404" s="86"/>
    </row>
    <row r="405" spans="1:8" ht="30" customHeight="1" x14ac:dyDescent="0.25">
      <c r="A405" s="312"/>
      <c r="B405" s="86"/>
      <c r="C405" s="53"/>
      <c r="D405" s="54"/>
      <c r="E405" s="55"/>
      <c r="F405" s="85"/>
      <c r="G405" s="85"/>
      <c r="H405" s="86"/>
    </row>
    <row r="406" spans="1:8" ht="30" customHeight="1" x14ac:dyDescent="0.25">
      <c r="A406" s="312"/>
      <c r="B406" s="86"/>
      <c r="C406" s="53" t="s">
        <v>501</v>
      </c>
      <c r="D406" s="54"/>
      <c r="E406" s="55"/>
      <c r="F406" s="85"/>
      <c r="G406" s="85"/>
      <c r="H406" s="86"/>
    </row>
    <row r="407" spans="1:8" ht="30" customHeight="1" x14ac:dyDescent="0.25">
      <c r="A407" s="312"/>
      <c r="B407" s="86"/>
      <c r="C407" s="53" t="s">
        <v>502</v>
      </c>
      <c r="D407" s="54"/>
      <c r="E407" s="55"/>
      <c r="F407" s="85"/>
      <c r="G407" s="85"/>
      <c r="H407" s="86"/>
    </row>
    <row r="408" spans="1:8" ht="30" customHeight="1" x14ac:dyDescent="0.25">
      <c r="A408" s="312"/>
      <c r="B408" s="86"/>
      <c r="C408" s="53" t="s">
        <v>503</v>
      </c>
      <c r="D408" s="54"/>
      <c r="E408" s="55"/>
      <c r="F408" s="85"/>
      <c r="G408" s="85"/>
      <c r="H408" s="86"/>
    </row>
    <row r="409" spans="1:8" ht="30" customHeight="1" x14ac:dyDescent="0.25">
      <c r="A409" s="312"/>
      <c r="B409" s="86"/>
      <c r="C409" s="53" t="s">
        <v>504</v>
      </c>
      <c r="D409" s="54"/>
      <c r="E409" s="55"/>
      <c r="F409" s="85"/>
      <c r="G409" s="85"/>
      <c r="H409" s="86"/>
    </row>
    <row r="410" spans="1:8" ht="30" customHeight="1" x14ac:dyDescent="0.25">
      <c r="A410" s="312"/>
      <c r="B410" s="86"/>
      <c r="C410" s="53" t="s">
        <v>505</v>
      </c>
      <c r="D410" s="54"/>
      <c r="E410" s="55"/>
      <c r="F410" s="85"/>
      <c r="G410" s="85"/>
      <c r="H410" s="86"/>
    </row>
    <row r="411" spans="1:8" ht="30" customHeight="1" x14ac:dyDescent="0.25">
      <c r="A411" s="312"/>
      <c r="B411" s="86"/>
      <c r="C411" s="53" t="s">
        <v>506</v>
      </c>
      <c r="D411" s="54"/>
      <c r="E411" s="55"/>
      <c r="F411" s="85"/>
      <c r="G411" s="85"/>
      <c r="H411" s="86"/>
    </row>
    <row r="412" spans="1:8" ht="30" customHeight="1" thickBot="1" x14ac:dyDescent="0.3">
      <c r="A412" s="83"/>
      <c r="B412" s="91"/>
      <c r="C412" s="88" t="s">
        <v>507</v>
      </c>
      <c r="D412" s="89"/>
      <c r="E412" s="90"/>
      <c r="F412" s="77"/>
      <c r="G412" s="77"/>
      <c r="H412" s="91"/>
    </row>
    <row r="413" spans="1:8" ht="30" customHeight="1" x14ac:dyDescent="0.25">
      <c r="A413" s="76">
        <f>+A397+1</f>
        <v>131</v>
      </c>
      <c r="B413" s="50" t="s">
        <v>319</v>
      </c>
      <c r="C413" s="63" t="s">
        <v>414</v>
      </c>
      <c r="D413" s="64"/>
      <c r="E413" s="65"/>
      <c r="F413" s="84" t="s">
        <v>508</v>
      </c>
      <c r="G413" s="84" t="str">
        <f>+VLOOKUP(131,prueba!$D$2:$E$733,2,FALSE)</f>
        <v>JURÍDICA FINANCIERA</v>
      </c>
      <c r="H413" s="50" t="s">
        <v>509</v>
      </c>
    </row>
    <row r="414" spans="1:8" ht="30" customHeight="1" x14ac:dyDescent="0.25">
      <c r="A414" s="312"/>
      <c r="B414" s="86"/>
      <c r="C414" s="53"/>
      <c r="D414" s="54"/>
      <c r="E414" s="55"/>
      <c r="F414" s="85"/>
      <c r="G414" s="85"/>
      <c r="H414" s="86"/>
    </row>
    <row r="415" spans="1:8" ht="30" customHeight="1" x14ac:dyDescent="0.25">
      <c r="A415" s="312"/>
      <c r="B415" s="86"/>
      <c r="C415" s="53" t="s">
        <v>510</v>
      </c>
      <c r="D415" s="54"/>
      <c r="E415" s="55"/>
      <c r="F415" s="85"/>
      <c r="G415" s="85"/>
      <c r="H415" s="86"/>
    </row>
    <row r="416" spans="1:8" ht="30" customHeight="1" x14ac:dyDescent="0.25">
      <c r="A416" s="312"/>
      <c r="B416" s="86"/>
      <c r="C416" s="53"/>
      <c r="D416" s="54"/>
      <c r="E416" s="55"/>
      <c r="F416" s="85"/>
      <c r="G416" s="85"/>
      <c r="H416" s="86"/>
    </row>
    <row r="417" spans="1:8" ht="30" customHeight="1" x14ac:dyDescent="0.25">
      <c r="A417" s="312"/>
      <c r="B417" s="86"/>
      <c r="C417" s="53" t="s">
        <v>511</v>
      </c>
      <c r="D417" s="54"/>
      <c r="E417" s="55"/>
      <c r="F417" s="85"/>
      <c r="G417" s="85"/>
      <c r="H417" s="86"/>
    </row>
    <row r="418" spans="1:8" ht="30" customHeight="1" x14ac:dyDescent="0.25">
      <c r="A418" s="312"/>
      <c r="B418" s="86"/>
      <c r="C418" s="53"/>
      <c r="D418" s="54"/>
      <c r="E418" s="55"/>
      <c r="F418" s="85"/>
      <c r="G418" s="85"/>
      <c r="H418" s="86"/>
    </row>
    <row r="419" spans="1:8" ht="30" customHeight="1" thickBot="1" x14ac:dyDescent="0.3">
      <c r="A419" s="83"/>
      <c r="B419" s="91"/>
      <c r="C419" s="88" t="s">
        <v>512</v>
      </c>
      <c r="D419" s="89"/>
      <c r="E419" s="90"/>
      <c r="F419" s="77"/>
      <c r="G419" s="77"/>
      <c r="H419" s="91"/>
    </row>
    <row r="420" spans="1:8" ht="30" customHeight="1" x14ac:dyDescent="0.25">
      <c r="A420" s="76">
        <f>+A413+1</f>
        <v>132</v>
      </c>
      <c r="B420" s="50" t="s">
        <v>319</v>
      </c>
      <c r="C420" s="63" t="s">
        <v>414</v>
      </c>
      <c r="D420" s="64"/>
      <c r="E420" s="65"/>
      <c r="F420" s="84" t="s">
        <v>513</v>
      </c>
      <c r="G420" s="84" t="str">
        <f>+VLOOKUP(132,prueba!$D$2:$E$733,2,FALSE)</f>
        <v>JURÍDICA FINANCIERA</v>
      </c>
      <c r="H420" s="50" t="s">
        <v>514</v>
      </c>
    </row>
    <row r="421" spans="1:8" ht="30" customHeight="1" x14ac:dyDescent="0.25">
      <c r="A421" s="312"/>
      <c r="B421" s="86"/>
      <c r="C421" s="53"/>
      <c r="D421" s="54"/>
      <c r="E421" s="55"/>
      <c r="F421" s="85"/>
      <c r="G421" s="85"/>
      <c r="H421" s="86"/>
    </row>
    <row r="422" spans="1:8" ht="30" customHeight="1" x14ac:dyDescent="0.25">
      <c r="A422" s="312"/>
      <c r="B422" s="86"/>
      <c r="C422" s="53" t="s">
        <v>515</v>
      </c>
      <c r="D422" s="54"/>
      <c r="E422" s="55"/>
      <c r="F422" s="85"/>
      <c r="G422" s="85"/>
      <c r="H422" s="86"/>
    </row>
    <row r="423" spans="1:8" ht="30" customHeight="1" x14ac:dyDescent="0.25">
      <c r="A423" s="312"/>
      <c r="B423" s="86"/>
      <c r="C423" s="53"/>
      <c r="D423" s="54"/>
      <c r="E423" s="55"/>
      <c r="F423" s="85"/>
      <c r="G423" s="85"/>
      <c r="H423" s="86"/>
    </row>
    <row r="424" spans="1:8" ht="30" customHeight="1" x14ac:dyDescent="0.25">
      <c r="A424" s="312"/>
      <c r="B424" s="86"/>
      <c r="C424" s="53" t="s">
        <v>516</v>
      </c>
      <c r="D424" s="54"/>
      <c r="E424" s="55"/>
      <c r="F424" s="85"/>
      <c r="G424" s="85"/>
      <c r="H424" s="86"/>
    </row>
    <row r="425" spans="1:8" ht="30" customHeight="1" x14ac:dyDescent="0.25">
      <c r="A425" s="312"/>
      <c r="B425" s="86"/>
      <c r="C425" s="53"/>
      <c r="D425" s="54"/>
      <c r="E425" s="55"/>
      <c r="F425" s="85"/>
      <c r="G425" s="85"/>
      <c r="H425" s="86"/>
    </row>
    <row r="426" spans="1:8" ht="30" customHeight="1" thickBot="1" x14ac:dyDescent="0.3">
      <c r="A426" s="83"/>
      <c r="B426" s="91"/>
      <c r="C426" s="88" t="s">
        <v>517</v>
      </c>
      <c r="D426" s="89"/>
      <c r="E426" s="90"/>
      <c r="F426" s="77"/>
      <c r="G426" s="77"/>
      <c r="H426" s="91"/>
    </row>
    <row r="427" spans="1:8" ht="30" customHeight="1" x14ac:dyDescent="0.25">
      <c r="A427" s="76">
        <f>+A420+1</f>
        <v>133</v>
      </c>
      <c r="B427" s="50" t="s">
        <v>319</v>
      </c>
      <c r="C427" s="63" t="s">
        <v>518</v>
      </c>
      <c r="D427" s="64"/>
      <c r="E427" s="65"/>
      <c r="F427" s="84" t="s">
        <v>519</v>
      </c>
      <c r="G427" s="84" t="str">
        <f>+VLOOKUP(133,prueba!$D$2:$E$733,2,FALSE)</f>
        <v>FINANCIERA – RIESGOS TÉCNICA</v>
      </c>
      <c r="H427" s="50" t="s">
        <v>9072</v>
      </c>
    </row>
    <row r="428" spans="1:8" ht="30" customHeight="1" thickBot="1" x14ac:dyDescent="0.3">
      <c r="A428" s="83"/>
      <c r="B428" s="91"/>
      <c r="C428" s="88" t="s">
        <v>9687</v>
      </c>
      <c r="D428" s="89"/>
      <c r="E428" s="90"/>
      <c r="F428" s="77"/>
      <c r="G428" s="77"/>
      <c r="H428" s="91"/>
    </row>
    <row r="429" spans="1:8" ht="30" customHeight="1" thickBot="1" x14ac:dyDescent="0.3">
      <c r="A429" s="313">
        <f>+A427+1</f>
        <v>134</v>
      </c>
      <c r="B429" s="52" t="s">
        <v>319</v>
      </c>
      <c r="C429" s="108" t="s">
        <v>520</v>
      </c>
      <c r="D429" s="109"/>
      <c r="E429" s="110"/>
      <c r="F429" s="78" t="s">
        <v>521</v>
      </c>
      <c r="G429" s="107" t="str">
        <f>+VLOOKUP(134,prueba!$D$2:$E$733,2,FALSE)</f>
        <v>JURÍDICA FINANCIERA</v>
      </c>
      <c r="H429" s="52" t="s">
        <v>7009</v>
      </c>
    </row>
    <row r="430" spans="1:8" ht="30" customHeight="1" x14ac:dyDescent="0.25">
      <c r="A430" s="76">
        <f>+A429+1</f>
        <v>135</v>
      </c>
      <c r="B430" s="50" t="s">
        <v>319</v>
      </c>
      <c r="C430" s="63" t="s">
        <v>522</v>
      </c>
      <c r="D430" s="64"/>
      <c r="E430" s="65"/>
      <c r="F430" s="84" t="s">
        <v>523</v>
      </c>
      <c r="G430" s="84" t="str">
        <f>+VLOOKUP(135,prueba!$D$2:$E$733,2,FALSE)</f>
        <v>JURÍDICA – ESTRUCTURACIÓN</v>
      </c>
      <c r="H430" s="50" t="s">
        <v>8513</v>
      </c>
    </row>
    <row r="431" spans="1:8" ht="30" customHeight="1" thickBot="1" x14ac:dyDescent="0.3">
      <c r="A431" s="83"/>
      <c r="B431" s="91"/>
      <c r="C431" s="88" t="s">
        <v>524</v>
      </c>
      <c r="D431" s="89"/>
      <c r="E431" s="90"/>
      <c r="F431" s="77"/>
      <c r="G431" s="77"/>
      <c r="H431" s="91"/>
    </row>
    <row r="432" spans="1:8" ht="30" customHeight="1" thickBot="1" x14ac:dyDescent="0.3">
      <c r="A432" s="313">
        <f>+A430+1</f>
        <v>136</v>
      </c>
      <c r="B432" s="52" t="s">
        <v>319</v>
      </c>
      <c r="C432" s="108" t="s">
        <v>525</v>
      </c>
      <c r="D432" s="109"/>
      <c r="E432" s="110"/>
      <c r="F432" s="78" t="s">
        <v>526</v>
      </c>
      <c r="G432" s="107" t="str">
        <f>+VLOOKUP(136,prueba!$D$2:$E$733,2,FALSE)</f>
        <v>–JURÍDICA – ESTRUCTURACIÓN</v>
      </c>
      <c r="H432" s="52" t="s">
        <v>9230</v>
      </c>
    </row>
    <row r="433" spans="1:8" ht="30" customHeight="1" thickBot="1" x14ac:dyDescent="0.3">
      <c r="A433" s="313">
        <f t="shared" ref="A433:A441" si="0">+A432+1</f>
        <v>137</v>
      </c>
      <c r="B433" s="52" t="s">
        <v>319</v>
      </c>
      <c r="C433" s="108" t="s">
        <v>527</v>
      </c>
      <c r="D433" s="109"/>
      <c r="E433" s="110"/>
      <c r="F433" s="78" t="s">
        <v>528</v>
      </c>
      <c r="G433" s="107" t="str">
        <f>+VLOOKUP(137,prueba!$D$2:$E$733,2,FALSE)</f>
        <v xml:space="preserve">FINANCIERA – </v>
      </c>
      <c r="H433" s="52" t="s">
        <v>529</v>
      </c>
    </row>
    <row r="434" spans="1:8" ht="30" customHeight="1" thickBot="1" x14ac:dyDescent="0.3">
      <c r="A434" s="313">
        <f t="shared" si="0"/>
        <v>138</v>
      </c>
      <c r="B434" s="52" t="s">
        <v>319</v>
      </c>
      <c r="C434" s="108" t="s">
        <v>530</v>
      </c>
      <c r="D434" s="109"/>
      <c r="E434" s="110"/>
      <c r="F434" s="78" t="s">
        <v>531</v>
      </c>
      <c r="G434" s="107" t="str">
        <f>+VLOOKUP(138,prueba!$D$2:$E$733,2,FALSE)</f>
        <v>FINANCIERA</v>
      </c>
      <c r="H434" s="52" t="s">
        <v>6037</v>
      </c>
    </row>
    <row r="435" spans="1:8" ht="30" customHeight="1" thickBot="1" x14ac:dyDescent="0.3">
      <c r="A435" s="313">
        <f t="shared" si="0"/>
        <v>139</v>
      </c>
      <c r="B435" s="52" t="s">
        <v>319</v>
      </c>
      <c r="C435" s="108" t="s">
        <v>532</v>
      </c>
      <c r="D435" s="109"/>
      <c r="E435" s="110"/>
      <c r="F435" s="78" t="s">
        <v>533</v>
      </c>
      <c r="G435" s="107" t="str">
        <f>+VLOOKUP(139,prueba!$D$2:$E$733,2,FALSE)</f>
        <v>FINANCIERA</v>
      </c>
      <c r="H435" s="52" t="s">
        <v>534</v>
      </c>
    </row>
    <row r="436" spans="1:8" ht="30" customHeight="1" thickBot="1" x14ac:dyDescent="0.3">
      <c r="A436" s="313">
        <f t="shared" si="0"/>
        <v>140</v>
      </c>
      <c r="B436" s="52" t="s">
        <v>319</v>
      </c>
      <c r="C436" s="108" t="s">
        <v>535</v>
      </c>
      <c r="D436" s="109"/>
      <c r="E436" s="110"/>
      <c r="F436" s="78" t="s">
        <v>536</v>
      </c>
      <c r="G436" s="107" t="str">
        <f>+VLOOKUP(140,prueba!$D$2:$E$733,2,FALSE)</f>
        <v>FINANCIERA</v>
      </c>
      <c r="H436" s="52" t="s">
        <v>537</v>
      </c>
    </row>
    <row r="437" spans="1:8" ht="30" customHeight="1" thickBot="1" x14ac:dyDescent="0.3">
      <c r="A437" s="313">
        <f t="shared" si="0"/>
        <v>141</v>
      </c>
      <c r="B437" s="52" t="s">
        <v>319</v>
      </c>
      <c r="C437" s="108" t="s">
        <v>538</v>
      </c>
      <c r="D437" s="109"/>
      <c r="E437" s="110"/>
      <c r="F437" s="78" t="s">
        <v>539</v>
      </c>
      <c r="G437" s="107" t="str">
        <f>+VLOOKUP(141,prueba!$D$2:$E$733,2,FALSE)</f>
        <v>–FINANCIERA</v>
      </c>
      <c r="H437" s="52" t="s">
        <v>7358</v>
      </c>
    </row>
    <row r="438" spans="1:8" ht="30" customHeight="1" thickBot="1" x14ac:dyDescent="0.3">
      <c r="A438" s="313">
        <f t="shared" si="0"/>
        <v>142</v>
      </c>
      <c r="B438" s="52" t="s">
        <v>319</v>
      </c>
      <c r="C438" s="108" t="s">
        <v>540</v>
      </c>
      <c r="D438" s="109"/>
      <c r="E438" s="110"/>
      <c r="F438" s="78" t="s">
        <v>541</v>
      </c>
      <c r="G438" s="107" t="str">
        <f>+VLOOKUP(142,prueba!$D$2:$E$733,2,FALSE)</f>
        <v>JURÍDICIA – DEFENSA JUDICIAL</v>
      </c>
      <c r="H438" s="52" t="s">
        <v>8440</v>
      </c>
    </row>
    <row r="439" spans="1:8" ht="30" customHeight="1" thickBot="1" x14ac:dyDescent="0.3">
      <c r="A439" s="313">
        <f t="shared" si="0"/>
        <v>143</v>
      </c>
      <c r="B439" s="52" t="s">
        <v>319</v>
      </c>
      <c r="C439" s="108" t="s">
        <v>542</v>
      </c>
      <c r="D439" s="109"/>
      <c r="E439" s="110"/>
      <c r="F439" s="78" t="s">
        <v>543</v>
      </c>
      <c r="G439" s="107" t="str">
        <f>+VLOOKUP(143,prueba!$D$2:$E$733,2,FALSE)</f>
        <v>FINANCIERA AMBIENTAL</v>
      </c>
      <c r="H439" s="52" t="s">
        <v>7306</v>
      </c>
    </row>
    <row r="440" spans="1:8" ht="30" customHeight="1" thickBot="1" x14ac:dyDescent="0.3">
      <c r="A440" s="313">
        <f t="shared" si="0"/>
        <v>144</v>
      </c>
      <c r="B440" s="52" t="s">
        <v>319</v>
      </c>
      <c r="C440" s="108" t="s">
        <v>544</v>
      </c>
      <c r="D440" s="109"/>
      <c r="E440" s="110"/>
      <c r="F440" s="78" t="s">
        <v>545</v>
      </c>
      <c r="G440" s="107" t="str">
        <f>+VLOOKUP(144,prueba!$D$2:$E$733,2,FALSE)</f>
        <v>TÉCNICA</v>
      </c>
      <c r="H440" s="52" t="s">
        <v>9243</v>
      </c>
    </row>
    <row r="441" spans="1:8" ht="30" customHeight="1" x14ac:dyDescent="0.25">
      <c r="A441" s="76">
        <f t="shared" si="0"/>
        <v>145</v>
      </c>
      <c r="B441" s="50" t="s">
        <v>319</v>
      </c>
      <c r="C441" s="63" t="s">
        <v>546</v>
      </c>
      <c r="D441" s="64"/>
      <c r="E441" s="65"/>
      <c r="F441" s="84" t="s">
        <v>547</v>
      </c>
      <c r="G441" s="84" t="str">
        <f>+VLOOKUP(145,prueba!$D$2:$E$733,2,FALSE)</f>
        <v>TÉCNICA</v>
      </c>
      <c r="H441" s="50" t="s">
        <v>548</v>
      </c>
    </row>
    <row r="442" spans="1:8" ht="30" customHeight="1" x14ac:dyDescent="0.25">
      <c r="A442" s="312"/>
      <c r="B442" s="86"/>
      <c r="C442" s="53"/>
      <c r="D442" s="54"/>
      <c r="E442" s="55"/>
      <c r="F442" s="85"/>
      <c r="G442" s="85"/>
      <c r="H442" s="86"/>
    </row>
    <row r="443" spans="1:8" ht="30" customHeight="1" thickBot="1" x14ac:dyDescent="0.3">
      <c r="A443" s="83"/>
      <c r="B443" s="91"/>
      <c r="C443" s="88" t="s">
        <v>549</v>
      </c>
      <c r="D443" s="89"/>
      <c r="E443" s="90"/>
      <c r="F443" s="77"/>
      <c r="G443" s="77"/>
      <c r="H443" s="91"/>
    </row>
    <row r="444" spans="1:8" ht="30" customHeight="1" thickBot="1" x14ac:dyDescent="0.3">
      <c r="A444" s="313">
        <f>+A441+1</f>
        <v>146</v>
      </c>
      <c r="B444" s="52" t="s">
        <v>319</v>
      </c>
      <c r="C444" s="108" t="s">
        <v>550</v>
      </c>
      <c r="D444" s="109"/>
      <c r="E444" s="110"/>
      <c r="F444" s="78" t="s">
        <v>551</v>
      </c>
      <c r="G444" s="107" t="str">
        <f>+VLOOKUP(146,prueba!$D$2:$E$733,2,FALSE)</f>
        <v>FINANCIERA</v>
      </c>
      <c r="H444" s="52" t="s">
        <v>6038</v>
      </c>
    </row>
    <row r="445" spans="1:8" ht="30" customHeight="1" thickBot="1" x14ac:dyDescent="0.3">
      <c r="A445" s="313">
        <f t="shared" ref="A445:A450" si="1">+A444+1</f>
        <v>147</v>
      </c>
      <c r="B445" s="52" t="s">
        <v>319</v>
      </c>
      <c r="C445" s="108" t="s">
        <v>552</v>
      </c>
      <c r="D445" s="109"/>
      <c r="E445" s="110"/>
      <c r="F445" s="78" t="s">
        <v>553</v>
      </c>
      <c r="G445" s="107" t="str">
        <f>+VLOOKUP(147,prueba!$D$2:$E$733,2,FALSE)</f>
        <v>FINANCIERA</v>
      </c>
      <c r="H445" s="52" t="s">
        <v>6039</v>
      </c>
    </row>
    <row r="446" spans="1:8" ht="30" customHeight="1" thickBot="1" x14ac:dyDescent="0.3">
      <c r="A446" s="313">
        <f t="shared" si="1"/>
        <v>148</v>
      </c>
      <c r="B446" s="52" t="s">
        <v>319</v>
      </c>
      <c r="C446" s="108" t="s">
        <v>554</v>
      </c>
      <c r="D446" s="109"/>
      <c r="E446" s="110"/>
      <c r="F446" s="78" t="s">
        <v>555</v>
      </c>
      <c r="G446" s="107" t="str">
        <f>+VLOOKUP(148,prueba!$D$2:$E$733,2,FALSE)</f>
        <v>FINANCIERA</v>
      </c>
      <c r="H446" s="52" t="s">
        <v>556</v>
      </c>
    </row>
    <row r="447" spans="1:8" ht="30" customHeight="1" thickBot="1" x14ac:dyDescent="0.3">
      <c r="A447" s="313">
        <f t="shared" si="1"/>
        <v>149</v>
      </c>
      <c r="B447" s="52" t="s">
        <v>319</v>
      </c>
      <c r="C447" s="108" t="s">
        <v>557</v>
      </c>
      <c r="D447" s="109"/>
      <c r="E447" s="110"/>
      <c r="F447" s="78" t="s">
        <v>558</v>
      </c>
      <c r="G447" s="107" t="str">
        <f>+VLOOKUP(149,prueba!$D$2:$E$733,2,FALSE)</f>
        <v>JURÍDICO – SANCIONATORIO</v>
      </c>
      <c r="H447" s="52" t="s">
        <v>559</v>
      </c>
    </row>
    <row r="448" spans="1:8" ht="30" customHeight="1" thickBot="1" x14ac:dyDescent="0.3">
      <c r="A448" s="313">
        <f t="shared" si="1"/>
        <v>150</v>
      </c>
      <c r="B448" s="52" t="s">
        <v>319</v>
      </c>
      <c r="C448" s="108" t="s">
        <v>560</v>
      </c>
      <c r="D448" s="109"/>
      <c r="E448" s="110"/>
      <c r="F448" s="78" t="s">
        <v>561</v>
      </c>
      <c r="G448" s="107" t="str">
        <f>+VLOOKUP(150,prueba!$D$2:$E$733,2,FALSE)</f>
        <v>FINANCIERA – SEGUROS</v>
      </c>
      <c r="H448" s="52" t="s">
        <v>562</v>
      </c>
    </row>
    <row r="449" spans="1:8" ht="30" customHeight="1" thickBot="1" x14ac:dyDescent="0.3">
      <c r="A449" s="313">
        <f t="shared" si="1"/>
        <v>151</v>
      </c>
      <c r="B449" s="52" t="s">
        <v>319</v>
      </c>
      <c r="C449" s="108" t="s">
        <v>563</v>
      </c>
      <c r="D449" s="109"/>
      <c r="E449" s="110"/>
      <c r="F449" s="78" t="s">
        <v>564</v>
      </c>
      <c r="G449" s="107" t="str">
        <f>+VLOOKUP(151,prueba!$D$2:$E$733,2,FALSE)</f>
        <v>FINANCIERA RIESGOS</v>
      </c>
      <c r="H449" s="52" t="s">
        <v>6040</v>
      </c>
    </row>
    <row r="450" spans="1:8" ht="30" customHeight="1" x14ac:dyDescent="0.25">
      <c r="A450" s="76">
        <f t="shared" si="1"/>
        <v>152</v>
      </c>
      <c r="B450" s="50" t="s">
        <v>319</v>
      </c>
      <c r="C450" s="63" t="s">
        <v>566</v>
      </c>
      <c r="D450" s="64"/>
      <c r="E450" s="65"/>
      <c r="F450" s="84" t="s">
        <v>567</v>
      </c>
      <c r="G450" s="84" t="str">
        <f>+VLOOKUP(152,prueba!$D$2:$E$733,2,FALSE)</f>
        <v>FINANCIERA RIESGOS</v>
      </c>
      <c r="H450" s="50" t="s">
        <v>568</v>
      </c>
    </row>
    <row r="451" spans="1:8" ht="30" customHeight="1" x14ac:dyDescent="0.25">
      <c r="A451" s="312"/>
      <c r="B451" s="86"/>
      <c r="C451" s="53"/>
      <c r="D451" s="54"/>
      <c r="E451" s="55"/>
      <c r="F451" s="85"/>
      <c r="G451" s="85"/>
      <c r="H451" s="86"/>
    </row>
    <row r="452" spans="1:8" ht="30" customHeight="1" thickBot="1" x14ac:dyDescent="0.3">
      <c r="A452" s="83"/>
      <c r="B452" s="91"/>
      <c r="C452" s="88" t="s">
        <v>569</v>
      </c>
      <c r="D452" s="89"/>
      <c r="E452" s="90"/>
      <c r="F452" s="77"/>
      <c r="G452" s="77"/>
      <c r="H452" s="91"/>
    </row>
    <row r="453" spans="1:8" ht="30" customHeight="1" x14ac:dyDescent="0.25">
      <c r="A453" s="76">
        <f>+A450+1</f>
        <v>153</v>
      </c>
      <c r="B453" s="50" t="s">
        <v>319</v>
      </c>
      <c r="C453" s="63" t="s">
        <v>570</v>
      </c>
      <c r="D453" s="64"/>
      <c r="E453" s="65"/>
      <c r="F453" s="84" t="s">
        <v>571</v>
      </c>
      <c r="G453" s="84" t="str">
        <f>+VLOOKUP(153,prueba!$D$2:$E$733,2,FALSE)</f>
        <v>TECNICA RIESGOS</v>
      </c>
      <c r="H453" s="50" t="s">
        <v>7528</v>
      </c>
    </row>
    <row r="454" spans="1:8" ht="30" customHeight="1" x14ac:dyDescent="0.25">
      <c r="A454" s="312"/>
      <c r="B454" s="86"/>
      <c r="C454" s="53"/>
      <c r="D454" s="54"/>
      <c r="E454" s="55"/>
      <c r="F454" s="85"/>
      <c r="G454" s="85"/>
      <c r="H454" s="86"/>
    </row>
    <row r="455" spans="1:8" ht="30" customHeight="1" thickBot="1" x14ac:dyDescent="0.3">
      <c r="A455" s="83"/>
      <c r="B455" s="91"/>
      <c r="C455" s="88" t="s">
        <v>573</v>
      </c>
      <c r="D455" s="89"/>
      <c r="E455" s="90"/>
      <c r="F455" s="77"/>
      <c r="G455" s="77"/>
      <c r="H455" s="91"/>
    </row>
    <row r="456" spans="1:8" ht="30" customHeight="1" x14ac:dyDescent="0.25">
      <c r="A456" s="76">
        <f>+A453+1</f>
        <v>154</v>
      </c>
      <c r="B456" s="50" t="s">
        <v>319</v>
      </c>
      <c r="C456" s="121" t="s">
        <v>9225</v>
      </c>
      <c r="D456" s="122"/>
      <c r="E456" s="123"/>
      <c r="F456" s="84" t="s">
        <v>574</v>
      </c>
      <c r="G456" s="84" t="str">
        <f>+VLOOKUP(154,prueba!$D$2:$E$733,2,FALSE)</f>
        <v>FINANCIERA</v>
      </c>
      <c r="H456" s="50" t="s">
        <v>7307</v>
      </c>
    </row>
    <row r="457" spans="1:8" ht="30" customHeight="1" x14ac:dyDescent="0.25">
      <c r="A457" s="312"/>
      <c r="B457" s="86"/>
      <c r="C457" s="124"/>
      <c r="D457" s="125"/>
      <c r="E457" s="126"/>
      <c r="F457" s="85"/>
      <c r="G457" s="85"/>
      <c r="H457" s="86"/>
    </row>
    <row r="458" spans="1:8" ht="30" customHeight="1" x14ac:dyDescent="0.25">
      <c r="A458" s="312"/>
      <c r="B458" s="86"/>
      <c r="C458" s="124"/>
      <c r="D458" s="125"/>
      <c r="E458" s="126"/>
      <c r="F458" s="85"/>
      <c r="G458" s="85"/>
      <c r="H458" s="86"/>
    </row>
    <row r="459" spans="1:8" ht="30" customHeight="1" x14ac:dyDescent="0.25">
      <c r="A459" s="312"/>
      <c r="B459" s="86"/>
      <c r="C459" s="124"/>
      <c r="D459" s="125"/>
      <c r="E459" s="126"/>
      <c r="F459" s="85"/>
      <c r="G459" s="85"/>
      <c r="H459" s="86"/>
    </row>
    <row r="460" spans="1:8" ht="30" customHeight="1" thickBot="1" x14ac:dyDescent="0.3">
      <c r="A460" s="83"/>
      <c r="B460" s="91"/>
      <c r="C460" s="127"/>
      <c r="D460" s="128"/>
      <c r="E460" s="129"/>
      <c r="F460" s="77"/>
      <c r="G460" s="77"/>
      <c r="H460" s="91"/>
    </row>
    <row r="461" spans="1:8" ht="30" customHeight="1" x14ac:dyDescent="0.25">
      <c r="A461" s="76">
        <f>+A456+1</f>
        <v>155</v>
      </c>
      <c r="B461" s="50" t="s">
        <v>319</v>
      </c>
      <c r="C461" s="63" t="s">
        <v>576</v>
      </c>
      <c r="D461" s="64"/>
      <c r="E461" s="65"/>
      <c r="F461" s="84" t="s">
        <v>577</v>
      </c>
      <c r="G461" s="84" t="str">
        <f>+VLOOKUP(155,prueba!$D$2:$E$733,2,FALSE)</f>
        <v>JURIDICA-FINANCIERA</v>
      </c>
      <c r="H461" s="50" t="s">
        <v>7010</v>
      </c>
    </row>
    <row r="462" spans="1:8" ht="30" customHeight="1" x14ac:dyDescent="0.25">
      <c r="A462" s="312"/>
      <c r="B462" s="86"/>
      <c r="C462" s="53"/>
      <c r="D462" s="54"/>
      <c r="E462" s="55"/>
      <c r="F462" s="85"/>
      <c r="G462" s="85"/>
      <c r="H462" s="86"/>
    </row>
    <row r="463" spans="1:8" ht="30" customHeight="1" thickBot="1" x14ac:dyDescent="0.3">
      <c r="A463" s="83"/>
      <c r="B463" s="91"/>
      <c r="C463" s="88" t="s">
        <v>579</v>
      </c>
      <c r="D463" s="89"/>
      <c r="E463" s="90"/>
      <c r="F463" s="77"/>
      <c r="G463" s="77"/>
      <c r="H463" s="91"/>
    </row>
    <row r="464" spans="1:8" ht="30" customHeight="1" thickBot="1" x14ac:dyDescent="0.3">
      <c r="A464" s="313">
        <f>+A461+1</f>
        <v>156</v>
      </c>
      <c r="B464" s="52" t="s">
        <v>319</v>
      </c>
      <c r="C464" s="108" t="s">
        <v>580</v>
      </c>
      <c r="D464" s="109"/>
      <c r="E464" s="110"/>
      <c r="F464" s="78" t="s">
        <v>581</v>
      </c>
      <c r="G464" s="107" t="str">
        <f>+VLOOKUP(156,prueba!$D$2:$E$733,2,FALSE)</f>
        <v>JURIDICA - ESTRUCTURACIÓN</v>
      </c>
      <c r="H464" s="130" t="s">
        <v>582</v>
      </c>
    </row>
    <row r="465" spans="1:8" ht="30" customHeight="1" thickBot="1" x14ac:dyDescent="0.3">
      <c r="A465" s="313">
        <f>+A464+1</f>
        <v>157</v>
      </c>
      <c r="B465" s="52" t="s">
        <v>319</v>
      </c>
      <c r="C465" s="108" t="s">
        <v>583</v>
      </c>
      <c r="D465" s="109"/>
      <c r="E465" s="110"/>
      <c r="F465" s="78" t="s">
        <v>584</v>
      </c>
      <c r="G465" s="107" t="str">
        <f>+VLOOKUP(157,prueba!$D$2:$E$733,2,FALSE)</f>
        <v>FINANCIERA SEGUROS</v>
      </c>
      <c r="H465" s="52" t="s">
        <v>8302</v>
      </c>
    </row>
    <row r="466" spans="1:8" ht="30" customHeight="1" x14ac:dyDescent="0.25">
      <c r="A466" s="76">
        <f>+A465+1</f>
        <v>158</v>
      </c>
      <c r="B466" s="50" t="s">
        <v>319</v>
      </c>
      <c r="C466" s="63" t="s">
        <v>585</v>
      </c>
      <c r="D466" s="64"/>
      <c r="E466" s="65"/>
      <c r="F466" s="84" t="s">
        <v>586</v>
      </c>
      <c r="G466" s="84" t="str">
        <f>+VLOOKUP(158,prueba!$D$2:$E$733,2,FALSE)</f>
        <v>FINANCIERA SEGUROS</v>
      </c>
      <c r="H466" s="50" t="s">
        <v>359</v>
      </c>
    </row>
    <row r="467" spans="1:8" ht="30" customHeight="1" x14ac:dyDescent="0.25">
      <c r="A467" s="312"/>
      <c r="B467" s="86"/>
      <c r="C467" s="53"/>
      <c r="D467" s="54"/>
      <c r="E467" s="55"/>
      <c r="F467" s="85"/>
      <c r="G467" s="85"/>
      <c r="H467" s="86"/>
    </row>
    <row r="468" spans="1:8" ht="30" customHeight="1" x14ac:dyDescent="0.25">
      <c r="A468" s="312"/>
      <c r="B468" s="86"/>
      <c r="C468" s="53" t="s">
        <v>360</v>
      </c>
      <c r="D468" s="54"/>
      <c r="E468" s="55"/>
      <c r="F468" s="85"/>
      <c r="G468" s="85"/>
      <c r="H468" s="86"/>
    </row>
    <row r="469" spans="1:8" ht="30" customHeight="1" x14ac:dyDescent="0.25">
      <c r="A469" s="312"/>
      <c r="B469" s="86"/>
      <c r="C469" s="53"/>
      <c r="D469" s="54"/>
      <c r="E469" s="55"/>
      <c r="F469" s="85"/>
      <c r="G469" s="85"/>
      <c r="H469" s="86"/>
    </row>
    <row r="470" spans="1:8" ht="30" customHeight="1" x14ac:dyDescent="0.25">
      <c r="A470" s="312"/>
      <c r="B470" s="86"/>
      <c r="C470" s="53" t="s">
        <v>361</v>
      </c>
      <c r="D470" s="54"/>
      <c r="E470" s="55"/>
      <c r="F470" s="85"/>
      <c r="G470" s="85"/>
      <c r="H470" s="86"/>
    </row>
    <row r="471" spans="1:8" ht="30" customHeight="1" x14ac:dyDescent="0.25">
      <c r="A471" s="312"/>
      <c r="B471" s="86"/>
      <c r="C471" s="53" t="s">
        <v>362</v>
      </c>
      <c r="D471" s="54"/>
      <c r="E471" s="55"/>
      <c r="F471" s="85"/>
      <c r="G471" s="85"/>
      <c r="H471" s="86"/>
    </row>
    <row r="472" spans="1:8" ht="30" customHeight="1" x14ac:dyDescent="0.25">
      <c r="A472" s="312"/>
      <c r="B472" s="86"/>
      <c r="C472" s="53" t="s">
        <v>363</v>
      </c>
      <c r="D472" s="54"/>
      <c r="E472" s="55"/>
      <c r="F472" s="85"/>
      <c r="G472" s="85"/>
      <c r="H472" s="86"/>
    </row>
    <row r="473" spans="1:8" ht="30" customHeight="1" x14ac:dyDescent="0.25">
      <c r="A473" s="312"/>
      <c r="B473" s="86"/>
      <c r="C473" s="53" t="s">
        <v>364</v>
      </c>
      <c r="D473" s="54"/>
      <c r="E473" s="55"/>
      <c r="F473" s="85"/>
      <c r="G473" s="85"/>
      <c r="H473" s="86"/>
    </row>
    <row r="474" spans="1:8" ht="30" customHeight="1" x14ac:dyDescent="0.25">
      <c r="A474" s="312"/>
      <c r="B474" s="86"/>
      <c r="C474" s="53" t="s">
        <v>365</v>
      </c>
      <c r="D474" s="54"/>
      <c r="E474" s="55"/>
      <c r="F474" s="85"/>
      <c r="G474" s="85"/>
      <c r="H474" s="86"/>
    </row>
    <row r="475" spans="1:8" ht="30" customHeight="1" thickBot="1" x14ac:dyDescent="0.3">
      <c r="A475" s="83"/>
      <c r="B475" s="91"/>
      <c r="C475" s="88" t="s">
        <v>366</v>
      </c>
      <c r="D475" s="89"/>
      <c r="E475" s="90"/>
      <c r="F475" s="77"/>
      <c r="G475" s="77"/>
      <c r="H475" s="91"/>
    </row>
    <row r="476" spans="1:8" ht="30" customHeight="1" x14ac:dyDescent="0.25">
      <c r="A476" s="76">
        <f>+A466+1</f>
        <v>159</v>
      </c>
      <c r="B476" s="50" t="s">
        <v>319</v>
      </c>
      <c r="C476" s="63" t="s">
        <v>587</v>
      </c>
      <c r="D476" s="64"/>
      <c r="E476" s="65"/>
      <c r="F476" s="84" t="s">
        <v>588</v>
      </c>
      <c r="G476" s="84" t="str">
        <f>+VLOOKUP(159,prueba!$D$2:$E$733,2,FALSE)</f>
        <v>FINANCIERA SEGUROS</v>
      </c>
      <c r="H476" s="50" t="s">
        <v>8303</v>
      </c>
    </row>
    <row r="477" spans="1:8" ht="30" customHeight="1" x14ac:dyDescent="0.25">
      <c r="A477" s="312"/>
      <c r="B477" s="86"/>
      <c r="C477" s="53" t="s">
        <v>589</v>
      </c>
      <c r="D477" s="54"/>
      <c r="E477" s="55"/>
      <c r="F477" s="85"/>
      <c r="G477" s="85"/>
      <c r="H477" s="86"/>
    </row>
    <row r="478" spans="1:8" ht="30" customHeight="1" x14ac:dyDescent="0.25">
      <c r="A478" s="312"/>
      <c r="B478" s="86"/>
      <c r="C478" s="53" t="s">
        <v>590</v>
      </c>
      <c r="D478" s="54"/>
      <c r="E478" s="55"/>
      <c r="F478" s="85"/>
      <c r="G478" s="85"/>
      <c r="H478" s="86"/>
    </row>
    <row r="479" spans="1:8" ht="30" customHeight="1" x14ac:dyDescent="0.25">
      <c r="A479" s="312"/>
      <c r="B479" s="86"/>
      <c r="C479" s="53" t="s">
        <v>591</v>
      </c>
      <c r="D479" s="54"/>
      <c r="E479" s="55"/>
      <c r="F479" s="85"/>
      <c r="G479" s="85"/>
      <c r="H479" s="86"/>
    </row>
    <row r="480" spans="1:8" ht="30" customHeight="1" x14ac:dyDescent="0.25">
      <c r="A480" s="312"/>
      <c r="B480" s="86"/>
      <c r="C480" s="53" t="s">
        <v>592</v>
      </c>
      <c r="D480" s="54"/>
      <c r="E480" s="55"/>
      <c r="F480" s="85"/>
      <c r="G480" s="85"/>
      <c r="H480" s="86"/>
    </row>
    <row r="481" spans="1:8" ht="30" customHeight="1" x14ac:dyDescent="0.25">
      <c r="A481" s="312"/>
      <c r="B481" s="86"/>
      <c r="C481" s="53"/>
      <c r="D481" s="54"/>
      <c r="E481" s="55"/>
      <c r="F481" s="85"/>
      <c r="G481" s="85"/>
      <c r="H481" s="86"/>
    </row>
    <row r="482" spans="1:8" ht="30" customHeight="1" thickBot="1" x14ac:dyDescent="0.3">
      <c r="A482" s="83"/>
      <c r="B482" s="91"/>
      <c r="C482" s="88" t="s">
        <v>593</v>
      </c>
      <c r="D482" s="89"/>
      <c r="E482" s="90"/>
      <c r="F482" s="77"/>
      <c r="G482" s="77"/>
      <c r="H482" s="91"/>
    </row>
    <row r="483" spans="1:8" ht="72.75" customHeight="1" thickBot="1" x14ac:dyDescent="0.3">
      <c r="A483" s="313">
        <f>+A476+1</f>
        <v>160</v>
      </c>
      <c r="B483" s="52" t="s">
        <v>319</v>
      </c>
      <c r="C483" s="108" t="s">
        <v>594</v>
      </c>
      <c r="D483" s="109"/>
      <c r="E483" s="110"/>
      <c r="F483" s="78" t="s">
        <v>595</v>
      </c>
      <c r="G483" s="107" t="str">
        <f>+VLOOKUP(160,prueba!$D$2:$E$733,2,FALSE)</f>
        <v>FINANCIERA SEGUROS</v>
      </c>
      <c r="H483" s="52" t="s">
        <v>8304</v>
      </c>
    </row>
    <row r="484" spans="1:8" ht="30" customHeight="1" x14ac:dyDescent="0.25">
      <c r="A484" s="76">
        <f>+A483+1</f>
        <v>161</v>
      </c>
      <c r="B484" s="50" t="s">
        <v>319</v>
      </c>
      <c r="C484" s="63" t="s">
        <v>596</v>
      </c>
      <c r="D484" s="64"/>
      <c r="E484" s="65"/>
      <c r="F484" s="84" t="s">
        <v>597</v>
      </c>
      <c r="G484" s="84" t="str">
        <f>+VLOOKUP(161,prueba!$D$2:$E$733,2,FALSE)</f>
        <v>FINANCIERA SEGUROS</v>
      </c>
      <c r="H484" s="50" t="s">
        <v>8305</v>
      </c>
    </row>
    <row r="485" spans="1:8" ht="30" customHeight="1" x14ac:dyDescent="0.25">
      <c r="A485" s="312"/>
      <c r="B485" s="86"/>
      <c r="C485" s="53"/>
      <c r="D485" s="54"/>
      <c r="E485" s="55"/>
      <c r="F485" s="85"/>
      <c r="G485" s="85"/>
      <c r="H485" s="86"/>
    </row>
    <row r="486" spans="1:8" ht="96" customHeight="1" thickBot="1" x14ac:dyDescent="0.3">
      <c r="A486" s="83"/>
      <c r="B486" s="91"/>
      <c r="C486" s="131" t="s">
        <v>9688</v>
      </c>
      <c r="D486" s="132"/>
      <c r="E486" s="133"/>
      <c r="F486" s="77"/>
      <c r="G486" s="77"/>
      <c r="H486" s="91"/>
    </row>
    <row r="487" spans="1:8" ht="108.75" customHeight="1" thickBot="1" x14ac:dyDescent="0.3">
      <c r="A487" s="313">
        <f>+A484+1</f>
        <v>162</v>
      </c>
      <c r="B487" s="52" t="s">
        <v>319</v>
      </c>
      <c r="C487" s="134" t="s">
        <v>9689</v>
      </c>
      <c r="D487" s="135"/>
      <c r="E487" s="136"/>
      <c r="F487" s="78" t="s">
        <v>598</v>
      </c>
      <c r="G487" s="107" t="str">
        <f>+VLOOKUP(162,prueba!$D$2:$E$733,2,FALSE)</f>
        <v>FINANCIERA SEGUROS</v>
      </c>
      <c r="H487" s="52" t="s">
        <v>8306</v>
      </c>
    </row>
    <row r="488" spans="1:8" ht="30" customHeight="1" thickBot="1" x14ac:dyDescent="0.3">
      <c r="A488" s="313">
        <f t="shared" ref="A488:A494" si="2">+A487+1</f>
        <v>163</v>
      </c>
      <c r="B488" s="52" t="s">
        <v>319</v>
      </c>
      <c r="C488" s="108" t="s">
        <v>599</v>
      </c>
      <c r="D488" s="109"/>
      <c r="E488" s="110"/>
      <c r="F488" s="78" t="s">
        <v>600</v>
      </c>
      <c r="G488" s="107" t="str">
        <f>+VLOOKUP(163,prueba!$D$2:$E$733,2,FALSE)</f>
        <v>FINANCIERA SEGUROS</v>
      </c>
      <c r="H488" s="52" t="s">
        <v>7332</v>
      </c>
    </row>
    <row r="489" spans="1:8" ht="30" customHeight="1" thickBot="1" x14ac:dyDescent="0.3">
      <c r="A489" s="313">
        <f t="shared" si="2"/>
        <v>164</v>
      </c>
      <c r="B489" s="52" t="s">
        <v>319</v>
      </c>
      <c r="C489" s="108" t="s">
        <v>601</v>
      </c>
      <c r="D489" s="109"/>
      <c r="E489" s="110"/>
      <c r="F489" s="78" t="s">
        <v>602</v>
      </c>
      <c r="G489" s="107" t="str">
        <f>+VLOOKUP(164,prueba!$D$2:$E$733,2,FALSE)</f>
        <v> FINANCIERA</v>
      </c>
      <c r="H489" s="52" t="s">
        <v>1739</v>
      </c>
    </row>
    <row r="490" spans="1:8" ht="30" customHeight="1" thickBot="1" x14ac:dyDescent="0.3">
      <c r="A490" s="313">
        <f t="shared" si="2"/>
        <v>165</v>
      </c>
      <c r="B490" s="52" t="s">
        <v>319</v>
      </c>
      <c r="C490" s="108" t="s">
        <v>603</v>
      </c>
      <c r="D490" s="109"/>
      <c r="E490" s="110"/>
      <c r="F490" s="78" t="s">
        <v>604</v>
      </c>
      <c r="G490" s="107" t="str">
        <f>+VLOOKUP(165,prueba!$D$2:$E$733,2,FALSE)</f>
        <v>FINANCIERA</v>
      </c>
      <c r="H490" s="52" t="s">
        <v>605</v>
      </c>
    </row>
    <row r="491" spans="1:8" ht="30" customHeight="1" thickBot="1" x14ac:dyDescent="0.3">
      <c r="A491" s="313">
        <f t="shared" si="2"/>
        <v>166</v>
      </c>
      <c r="B491" s="52" t="s">
        <v>319</v>
      </c>
      <c r="C491" s="108" t="s">
        <v>606</v>
      </c>
      <c r="D491" s="109"/>
      <c r="E491" s="110"/>
      <c r="F491" s="78" t="s">
        <v>607</v>
      </c>
      <c r="G491" s="107" t="str">
        <f>+VLOOKUP(166,prueba!$D$2:$E$733,2,FALSE)</f>
        <v>FINANCIERA</v>
      </c>
      <c r="H491" s="52" t="s">
        <v>8610</v>
      </c>
    </row>
    <row r="492" spans="1:8" ht="30" customHeight="1" thickBot="1" x14ac:dyDescent="0.3">
      <c r="A492" s="313">
        <f t="shared" si="2"/>
        <v>167</v>
      </c>
      <c r="B492" s="52" t="s">
        <v>319</v>
      </c>
      <c r="C492" s="108" t="s">
        <v>608</v>
      </c>
      <c r="D492" s="109"/>
      <c r="E492" s="110"/>
      <c r="F492" s="78" t="s">
        <v>609</v>
      </c>
      <c r="G492" s="107" t="str">
        <f>+VLOOKUP(167,prueba!$D$2:$E$733,2,FALSE)</f>
        <v>FINANCIERA</v>
      </c>
      <c r="H492" s="52" t="s">
        <v>610</v>
      </c>
    </row>
    <row r="493" spans="1:8" ht="30" customHeight="1" thickBot="1" x14ac:dyDescent="0.3">
      <c r="A493" s="313">
        <f t="shared" si="2"/>
        <v>168</v>
      </c>
      <c r="B493" s="52" t="s">
        <v>319</v>
      </c>
      <c r="C493" s="108" t="s">
        <v>9690</v>
      </c>
      <c r="D493" s="109"/>
      <c r="E493" s="110"/>
      <c r="F493" s="78" t="s">
        <v>611</v>
      </c>
      <c r="G493" s="107" t="str">
        <f>+VLOOKUP(168,prueba!$D$2:$E$733,2,FALSE)</f>
        <v xml:space="preserve">FINANCIERA </v>
      </c>
      <c r="H493" s="52" t="s">
        <v>6041</v>
      </c>
    </row>
    <row r="494" spans="1:8" ht="30" customHeight="1" x14ac:dyDescent="0.25">
      <c r="A494" s="76">
        <f t="shared" si="2"/>
        <v>169</v>
      </c>
      <c r="B494" s="50" t="s">
        <v>319</v>
      </c>
      <c r="C494" s="63" t="s">
        <v>612</v>
      </c>
      <c r="D494" s="64"/>
      <c r="E494" s="65"/>
      <c r="F494" s="84" t="s">
        <v>613</v>
      </c>
      <c r="G494" s="84" t="str">
        <f>+VLOOKUP(169,prueba!$D$2:$E$733,2,FALSE)</f>
        <v>JURÍDICA – ESTRUCTURACIÓN</v>
      </c>
      <c r="H494" s="50" t="s">
        <v>6014</v>
      </c>
    </row>
    <row r="495" spans="1:8" ht="30" customHeight="1" x14ac:dyDescent="0.25">
      <c r="A495" s="312"/>
      <c r="B495" s="86"/>
      <c r="C495" s="53"/>
      <c r="D495" s="54"/>
      <c r="E495" s="55"/>
      <c r="F495" s="85"/>
      <c r="G495" s="85"/>
      <c r="H495" s="86"/>
    </row>
    <row r="496" spans="1:8" ht="30" customHeight="1" thickBot="1" x14ac:dyDescent="0.3">
      <c r="A496" s="83"/>
      <c r="B496" s="91"/>
      <c r="C496" s="88" t="s">
        <v>614</v>
      </c>
      <c r="D496" s="89"/>
      <c r="E496" s="90"/>
      <c r="F496" s="77"/>
      <c r="G496" s="77"/>
      <c r="H496" s="91"/>
    </row>
    <row r="497" spans="1:8" ht="30" customHeight="1" thickBot="1" x14ac:dyDescent="0.3">
      <c r="A497" s="313">
        <f>+A494+1</f>
        <v>170</v>
      </c>
      <c r="B497" s="52" t="s">
        <v>319</v>
      </c>
      <c r="C497" s="108" t="s">
        <v>615</v>
      </c>
      <c r="D497" s="109"/>
      <c r="E497" s="110"/>
      <c r="F497" s="78" t="s">
        <v>616</v>
      </c>
      <c r="G497" s="107" t="str">
        <f>+VLOOKUP(170,prueba!$D$2:$E$733,2,FALSE)</f>
        <v>JURÍDICA – ESTRUCTURACIÓN</v>
      </c>
      <c r="H497" s="52" t="s">
        <v>617</v>
      </c>
    </row>
    <row r="498" spans="1:8" ht="30" customHeight="1" x14ac:dyDescent="0.25">
      <c r="A498" s="76">
        <f>+A497+1</f>
        <v>171</v>
      </c>
      <c r="B498" s="50" t="s">
        <v>319</v>
      </c>
      <c r="C498" s="63" t="s">
        <v>618</v>
      </c>
      <c r="D498" s="64"/>
      <c r="E498" s="65"/>
      <c r="F498" s="84" t="s">
        <v>619</v>
      </c>
      <c r="G498" s="84" t="str">
        <f>+VLOOKUP(171,prueba!$D$2:$E$733,2,FALSE)</f>
        <v>TÉCNICA</v>
      </c>
      <c r="H498" s="50" t="s">
        <v>620</v>
      </c>
    </row>
    <row r="499" spans="1:8" ht="30" customHeight="1" x14ac:dyDescent="0.25">
      <c r="A499" s="312"/>
      <c r="B499" s="86"/>
      <c r="C499" s="53"/>
      <c r="D499" s="54"/>
      <c r="E499" s="55"/>
      <c r="F499" s="85"/>
      <c r="G499" s="85"/>
      <c r="H499" s="86"/>
    </row>
    <row r="500" spans="1:8" ht="30" customHeight="1" x14ac:dyDescent="0.25">
      <c r="A500" s="312"/>
      <c r="B500" s="86"/>
      <c r="C500" s="53" t="s">
        <v>621</v>
      </c>
      <c r="D500" s="54"/>
      <c r="E500" s="55"/>
      <c r="F500" s="85"/>
      <c r="G500" s="85"/>
      <c r="H500" s="86"/>
    </row>
    <row r="501" spans="1:8" ht="30" customHeight="1" x14ac:dyDescent="0.25">
      <c r="A501" s="312"/>
      <c r="B501" s="86"/>
      <c r="C501" s="53" t="s">
        <v>622</v>
      </c>
      <c r="D501" s="54"/>
      <c r="E501" s="55"/>
      <c r="F501" s="85"/>
      <c r="G501" s="85"/>
      <c r="H501" s="86"/>
    </row>
    <row r="502" spans="1:8" ht="30" customHeight="1" x14ac:dyDescent="0.25">
      <c r="A502" s="312"/>
      <c r="B502" s="86"/>
      <c r="C502" s="53" t="s">
        <v>623</v>
      </c>
      <c r="D502" s="54"/>
      <c r="E502" s="55"/>
      <c r="F502" s="85"/>
      <c r="G502" s="85"/>
      <c r="H502" s="86"/>
    </row>
    <row r="503" spans="1:8" ht="30" customHeight="1" x14ac:dyDescent="0.25">
      <c r="A503" s="312"/>
      <c r="B503" s="86"/>
      <c r="C503" s="53"/>
      <c r="D503" s="54"/>
      <c r="E503" s="55"/>
      <c r="F503" s="85"/>
      <c r="G503" s="85"/>
      <c r="H503" s="86"/>
    </row>
    <row r="504" spans="1:8" ht="30" customHeight="1" thickBot="1" x14ac:dyDescent="0.3">
      <c r="A504" s="83"/>
      <c r="B504" s="91"/>
      <c r="C504" s="88" t="s">
        <v>624</v>
      </c>
      <c r="D504" s="89"/>
      <c r="E504" s="90"/>
      <c r="F504" s="77"/>
      <c r="G504" s="77"/>
      <c r="H504" s="91"/>
    </row>
    <row r="505" spans="1:8" ht="30" customHeight="1" x14ac:dyDescent="0.25">
      <c r="A505" s="76">
        <f>+A498+1</f>
        <v>172</v>
      </c>
      <c r="B505" s="50" t="s">
        <v>319</v>
      </c>
      <c r="C505" s="63" t="s">
        <v>618</v>
      </c>
      <c r="D505" s="64"/>
      <c r="E505" s="65"/>
      <c r="F505" s="84" t="s">
        <v>625</v>
      </c>
      <c r="G505" s="84" t="str">
        <f>+VLOOKUP(172,prueba!$D$2:$E$733,2,FALSE)</f>
        <v xml:space="preserve">JURÍDICA ESTRUCTURACIÓN-TÉCNICA </v>
      </c>
      <c r="H505" s="50" t="s">
        <v>626</v>
      </c>
    </row>
    <row r="506" spans="1:8" ht="30" customHeight="1" x14ac:dyDescent="0.25">
      <c r="A506" s="312"/>
      <c r="B506" s="86"/>
      <c r="C506" s="53"/>
      <c r="D506" s="54"/>
      <c r="E506" s="55"/>
      <c r="F506" s="85"/>
      <c r="G506" s="85"/>
      <c r="H506" s="86"/>
    </row>
    <row r="507" spans="1:8" ht="30" customHeight="1" x14ac:dyDescent="0.25">
      <c r="A507" s="312"/>
      <c r="B507" s="86"/>
      <c r="C507" s="53" t="s">
        <v>627</v>
      </c>
      <c r="D507" s="54"/>
      <c r="E507" s="55"/>
      <c r="F507" s="85"/>
      <c r="G507" s="85"/>
      <c r="H507" s="86"/>
    </row>
    <row r="508" spans="1:8" ht="30" customHeight="1" x14ac:dyDescent="0.25">
      <c r="A508" s="312"/>
      <c r="B508" s="86"/>
      <c r="C508" s="53" t="s">
        <v>628</v>
      </c>
      <c r="D508" s="54"/>
      <c r="E508" s="55"/>
      <c r="F508" s="85"/>
      <c r="G508" s="85"/>
      <c r="H508" s="86"/>
    </row>
    <row r="509" spans="1:8" ht="30" customHeight="1" x14ac:dyDescent="0.25">
      <c r="A509" s="312"/>
      <c r="B509" s="86"/>
      <c r="C509" s="53" t="s">
        <v>629</v>
      </c>
      <c r="D509" s="54"/>
      <c r="E509" s="55"/>
      <c r="F509" s="85"/>
      <c r="G509" s="85"/>
      <c r="H509" s="86"/>
    </row>
    <row r="510" spans="1:8" ht="30" customHeight="1" x14ac:dyDescent="0.25">
      <c r="A510" s="312"/>
      <c r="B510" s="86"/>
      <c r="C510" s="53"/>
      <c r="D510" s="54"/>
      <c r="E510" s="55"/>
      <c r="F510" s="85"/>
      <c r="G510" s="85"/>
      <c r="H510" s="86"/>
    </row>
    <row r="511" spans="1:8" ht="30" customHeight="1" x14ac:dyDescent="0.25">
      <c r="A511" s="312"/>
      <c r="B511" s="86"/>
      <c r="C511" s="53" t="s">
        <v>630</v>
      </c>
      <c r="D511" s="54"/>
      <c r="E511" s="55"/>
      <c r="F511" s="85"/>
      <c r="G511" s="85"/>
      <c r="H511" s="86"/>
    </row>
    <row r="512" spans="1:8" ht="30" customHeight="1" x14ac:dyDescent="0.25">
      <c r="A512" s="312"/>
      <c r="B512" s="86"/>
      <c r="C512" s="53"/>
      <c r="D512" s="54"/>
      <c r="E512" s="55"/>
      <c r="F512" s="85"/>
      <c r="G512" s="85"/>
      <c r="H512" s="86"/>
    </row>
    <row r="513" spans="1:8" ht="30" customHeight="1" thickBot="1" x14ac:dyDescent="0.3">
      <c r="A513" s="83"/>
      <c r="B513" s="91"/>
      <c r="C513" s="88" t="s">
        <v>631</v>
      </c>
      <c r="D513" s="89"/>
      <c r="E513" s="90"/>
      <c r="F513" s="77"/>
      <c r="G513" s="77"/>
      <c r="H513" s="91"/>
    </row>
    <row r="514" spans="1:8" ht="30" customHeight="1" x14ac:dyDescent="0.25">
      <c r="A514" s="76">
        <f>+A505+1</f>
        <v>173</v>
      </c>
      <c r="B514" s="50" t="s">
        <v>319</v>
      </c>
      <c r="C514" s="63" t="s">
        <v>618</v>
      </c>
      <c r="D514" s="64"/>
      <c r="E514" s="65"/>
      <c r="F514" s="84" t="s">
        <v>632</v>
      </c>
      <c r="G514" s="84" t="str">
        <f>+VLOOKUP(173,prueba!$D$2:$E$733,2,FALSE)</f>
        <v>TECNICA</v>
      </c>
      <c r="H514" s="50" t="s">
        <v>633</v>
      </c>
    </row>
    <row r="515" spans="1:8" ht="30" customHeight="1" x14ac:dyDescent="0.25">
      <c r="A515" s="312"/>
      <c r="B515" s="86"/>
      <c r="C515" s="53"/>
      <c r="D515" s="54"/>
      <c r="E515" s="55"/>
      <c r="F515" s="85"/>
      <c r="G515" s="85"/>
      <c r="H515" s="86"/>
    </row>
    <row r="516" spans="1:8" ht="30" customHeight="1" x14ac:dyDescent="0.25">
      <c r="A516" s="312"/>
      <c r="B516" s="86"/>
      <c r="C516" s="53" t="s">
        <v>634</v>
      </c>
      <c r="D516" s="54"/>
      <c r="E516" s="55"/>
      <c r="F516" s="85"/>
      <c r="G516" s="85"/>
      <c r="H516" s="86"/>
    </row>
    <row r="517" spans="1:8" ht="30" customHeight="1" x14ac:dyDescent="0.25">
      <c r="A517" s="312"/>
      <c r="B517" s="86"/>
      <c r="C517" s="53"/>
      <c r="D517" s="54"/>
      <c r="E517" s="55"/>
      <c r="F517" s="85"/>
      <c r="G517" s="85"/>
      <c r="H517" s="86"/>
    </row>
    <row r="518" spans="1:8" ht="30" customHeight="1" x14ac:dyDescent="0.25">
      <c r="A518" s="312"/>
      <c r="B518" s="86"/>
      <c r="C518" s="53" t="s">
        <v>635</v>
      </c>
      <c r="D518" s="54"/>
      <c r="E518" s="55"/>
      <c r="F518" s="85"/>
      <c r="G518" s="85"/>
      <c r="H518" s="86"/>
    </row>
    <row r="519" spans="1:8" ht="30" customHeight="1" x14ac:dyDescent="0.25">
      <c r="A519" s="312"/>
      <c r="B519" s="86"/>
      <c r="C519" s="53"/>
      <c r="D519" s="54"/>
      <c r="E519" s="55"/>
      <c r="F519" s="85"/>
      <c r="G519" s="85"/>
      <c r="H519" s="86"/>
    </row>
    <row r="520" spans="1:8" ht="30" customHeight="1" x14ac:dyDescent="0.25">
      <c r="A520" s="312"/>
      <c r="B520" s="86"/>
      <c r="C520" s="53" t="s">
        <v>636</v>
      </c>
      <c r="D520" s="54"/>
      <c r="E520" s="55"/>
      <c r="F520" s="85"/>
      <c r="G520" s="85"/>
      <c r="H520" s="86"/>
    </row>
    <row r="521" spans="1:8" ht="30" customHeight="1" x14ac:dyDescent="0.25">
      <c r="A521" s="312"/>
      <c r="B521" s="86"/>
      <c r="C521" s="53"/>
      <c r="D521" s="54"/>
      <c r="E521" s="55"/>
      <c r="F521" s="85"/>
      <c r="G521" s="85"/>
      <c r="H521" s="86"/>
    </row>
    <row r="522" spans="1:8" ht="30" customHeight="1" thickBot="1" x14ac:dyDescent="0.3">
      <c r="A522" s="83"/>
      <c r="B522" s="91"/>
      <c r="C522" s="88" t="s">
        <v>637</v>
      </c>
      <c r="D522" s="89"/>
      <c r="E522" s="90"/>
      <c r="F522" s="77"/>
      <c r="G522" s="77"/>
      <c r="H522" s="91"/>
    </row>
    <row r="523" spans="1:8" ht="30" customHeight="1" x14ac:dyDescent="0.25">
      <c r="A523" s="76">
        <f>+A514+1</f>
        <v>174</v>
      </c>
      <c r="B523" s="50" t="s">
        <v>319</v>
      </c>
      <c r="C523" s="63" t="s">
        <v>618</v>
      </c>
      <c r="D523" s="64"/>
      <c r="E523" s="65"/>
      <c r="F523" s="84" t="s">
        <v>638</v>
      </c>
      <c r="G523" s="84" t="str">
        <f>+VLOOKUP(174,prueba!$D$2:$E$733,2,FALSE)</f>
        <v>JURÍDICA TÉCNICA</v>
      </c>
      <c r="H523" s="50" t="s">
        <v>8415</v>
      </c>
    </row>
    <row r="524" spans="1:8" ht="30" customHeight="1" x14ac:dyDescent="0.25">
      <c r="A524" s="312"/>
      <c r="B524" s="86"/>
      <c r="C524" s="53"/>
      <c r="D524" s="54"/>
      <c r="E524" s="55"/>
      <c r="F524" s="85"/>
      <c r="G524" s="85"/>
      <c r="H524" s="86"/>
    </row>
    <row r="525" spans="1:8" ht="30" customHeight="1" x14ac:dyDescent="0.25">
      <c r="A525" s="312"/>
      <c r="B525" s="86"/>
      <c r="C525" s="53" t="s">
        <v>639</v>
      </c>
      <c r="D525" s="54"/>
      <c r="E525" s="55"/>
      <c r="F525" s="85"/>
      <c r="G525" s="85"/>
      <c r="H525" s="86"/>
    </row>
    <row r="526" spans="1:8" ht="30" customHeight="1" x14ac:dyDescent="0.25">
      <c r="A526" s="312"/>
      <c r="B526" s="86"/>
      <c r="C526" s="53"/>
      <c r="D526" s="54"/>
      <c r="E526" s="55"/>
      <c r="F526" s="85"/>
      <c r="G526" s="85"/>
      <c r="H526" s="86"/>
    </row>
    <row r="527" spans="1:8" ht="30" customHeight="1" thickBot="1" x14ac:dyDescent="0.3">
      <c r="A527" s="83"/>
      <c r="B527" s="91"/>
      <c r="C527" s="88" t="s">
        <v>640</v>
      </c>
      <c r="D527" s="89"/>
      <c r="E527" s="90"/>
      <c r="F527" s="77"/>
      <c r="G527" s="77"/>
      <c r="H527" s="91"/>
    </row>
    <row r="528" spans="1:8" ht="30" customHeight="1" x14ac:dyDescent="0.25">
      <c r="A528" s="76">
        <f>+A523+1</f>
        <v>175</v>
      </c>
      <c r="B528" s="50" t="s">
        <v>319</v>
      </c>
      <c r="C528" s="63" t="s">
        <v>641</v>
      </c>
      <c r="D528" s="64"/>
      <c r="E528" s="65"/>
      <c r="F528" s="84" t="s">
        <v>642</v>
      </c>
      <c r="G528" s="84" t="str">
        <f>+VLOOKUP(175,prueba!$D$2:$E$733,2,FALSE)</f>
        <v>TÉCNICA FINANCIERA</v>
      </c>
      <c r="H528" s="50" t="s">
        <v>643</v>
      </c>
    </row>
    <row r="529" spans="1:8" ht="30" customHeight="1" x14ac:dyDescent="0.25">
      <c r="A529" s="312"/>
      <c r="B529" s="86"/>
      <c r="C529" s="53"/>
      <c r="D529" s="54"/>
      <c r="E529" s="55"/>
      <c r="F529" s="85"/>
      <c r="G529" s="85"/>
      <c r="H529" s="86"/>
    </row>
    <row r="530" spans="1:8" ht="30" customHeight="1" x14ac:dyDescent="0.25">
      <c r="A530" s="312"/>
      <c r="B530" s="86"/>
      <c r="C530" s="53" t="s">
        <v>644</v>
      </c>
      <c r="D530" s="54"/>
      <c r="E530" s="55"/>
      <c r="F530" s="85"/>
      <c r="G530" s="85"/>
      <c r="H530" s="86"/>
    </row>
    <row r="531" spans="1:8" ht="30" customHeight="1" x14ac:dyDescent="0.25">
      <c r="A531" s="312"/>
      <c r="B531" s="86"/>
      <c r="C531" s="53"/>
      <c r="D531" s="54"/>
      <c r="E531" s="55"/>
      <c r="F531" s="85"/>
      <c r="G531" s="85"/>
      <c r="H531" s="86"/>
    </row>
    <row r="532" spans="1:8" ht="30" customHeight="1" thickBot="1" x14ac:dyDescent="0.3">
      <c r="A532" s="83"/>
      <c r="B532" s="91"/>
      <c r="C532" s="88" t="s">
        <v>645</v>
      </c>
      <c r="D532" s="89"/>
      <c r="E532" s="90"/>
      <c r="F532" s="77"/>
      <c r="G532" s="77"/>
      <c r="H532" s="91"/>
    </row>
    <row r="533" spans="1:8" ht="30" customHeight="1" thickBot="1" x14ac:dyDescent="0.3">
      <c r="A533" s="313">
        <f>+A528+1</f>
        <v>176</v>
      </c>
      <c r="B533" s="52" t="s">
        <v>319</v>
      </c>
      <c r="C533" s="108" t="s">
        <v>646</v>
      </c>
      <c r="D533" s="109"/>
      <c r="E533" s="110"/>
      <c r="F533" s="78" t="s">
        <v>647</v>
      </c>
      <c r="G533" s="107" t="str">
        <f>+VLOOKUP(176,prueba!$D$2:$E$733,2,FALSE)</f>
        <v>–JURÍDICA - ESTRUCTURACIÓN</v>
      </c>
      <c r="H533" s="52" t="s">
        <v>648</v>
      </c>
    </row>
    <row r="534" spans="1:8" ht="30" customHeight="1" thickBot="1" x14ac:dyDescent="0.3">
      <c r="A534" s="313">
        <f t="shared" ref="A534:A540" si="3">+A533+1</f>
        <v>177</v>
      </c>
      <c r="B534" s="52" t="s">
        <v>319</v>
      </c>
      <c r="C534" s="108" t="s">
        <v>649</v>
      </c>
      <c r="D534" s="109"/>
      <c r="E534" s="110"/>
      <c r="F534" s="78" t="s">
        <v>650</v>
      </c>
      <c r="G534" s="107" t="str">
        <f>+VLOOKUP(177,prueba!$D$2:$E$733,2,FALSE)</f>
        <v>FINANCIERA</v>
      </c>
      <c r="H534" s="52" t="s">
        <v>651</v>
      </c>
    </row>
    <row r="535" spans="1:8" ht="30" customHeight="1" thickBot="1" x14ac:dyDescent="0.3">
      <c r="A535" s="313">
        <f t="shared" si="3"/>
        <v>178</v>
      </c>
      <c r="B535" s="52" t="s">
        <v>319</v>
      </c>
      <c r="C535" s="108" t="s">
        <v>652</v>
      </c>
      <c r="D535" s="109"/>
      <c r="E535" s="110"/>
      <c r="F535" s="78" t="s">
        <v>653</v>
      </c>
      <c r="G535" s="107" t="str">
        <f>+VLOOKUP(178,prueba!$D$2:$E$733,2,FALSE)</f>
        <v>–JURÍDICO –SANCIONATORIO</v>
      </c>
      <c r="H535" s="52" t="s">
        <v>8416</v>
      </c>
    </row>
    <row r="536" spans="1:8" ht="30" customHeight="1" thickBot="1" x14ac:dyDescent="0.3">
      <c r="A536" s="313">
        <f t="shared" si="3"/>
        <v>179</v>
      </c>
      <c r="B536" s="52" t="s">
        <v>319</v>
      </c>
      <c r="C536" s="108" t="s">
        <v>654</v>
      </c>
      <c r="D536" s="109"/>
      <c r="E536" s="110"/>
      <c r="F536" s="78" t="s">
        <v>655</v>
      </c>
      <c r="G536" s="107" t="str">
        <f>+VLOOKUP(179,prueba!$D$2:$E$733,2,FALSE)</f>
        <v>TÉCNICA</v>
      </c>
      <c r="H536" s="52" t="s">
        <v>656</v>
      </c>
    </row>
    <row r="537" spans="1:8" ht="30" customHeight="1" thickBot="1" x14ac:dyDescent="0.3">
      <c r="A537" s="313">
        <f t="shared" si="3"/>
        <v>180</v>
      </c>
      <c r="B537" s="52" t="s">
        <v>319</v>
      </c>
      <c r="C537" s="108" t="s">
        <v>657</v>
      </c>
      <c r="D537" s="109"/>
      <c r="E537" s="110"/>
      <c r="F537" s="78" t="s">
        <v>658</v>
      </c>
      <c r="G537" s="107" t="str">
        <f>+VLOOKUP(180,prueba!$D$2:$E$733,2,FALSE)</f>
        <v>FINANCIERA</v>
      </c>
      <c r="H537" s="52" t="s">
        <v>659</v>
      </c>
    </row>
    <row r="538" spans="1:8" ht="30" customHeight="1" thickBot="1" x14ac:dyDescent="0.3">
      <c r="A538" s="313">
        <f t="shared" si="3"/>
        <v>181</v>
      </c>
      <c r="B538" s="52" t="s">
        <v>319</v>
      </c>
      <c r="C538" s="108" t="s">
        <v>660</v>
      </c>
      <c r="D538" s="109"/>
      <c r="E538" s="110"/>
      <c r="F538" s="78" t="s">
        <v>661</v>
      </c>
      <c r="G538" s="107" t="str">
        <f>+VLOOKUP(181,prueba!$D$2:$E$733,2,FALSE)</f>
        <v>FINANCIERA</v>
      </c>
      <c r="H538" s="52" t="s">
        <v>9035</v>
      </c>
    </row>
    <row r="539" spans="1:8" ht="30" customHeight="1" thickBot="1" x14ac:dyDescent="0.3">
      <c r="A539" s="313">
        <f t="shared" si="3"/>
        <v>182</v>
      </c>
      <c r="B539" s="52" t="s">
        <v>319</v>
      </c>
      <c r="C539" s="108" t="s">
        <v>662</v>
      </c>
      <c r="D539" s="109"/>
      <c r="E539" s="110"/>
      <c r="F539" s="78" t="s">
        <v>663</v>
      </c>
      <c r="G539" s="107" t="str">
        <f>+VLOOKUP(182,prueba!$D$2:$E$733,2,FALSE)</f>
        <v>FINANCIERA</v>
      </c>
      <c r="H539" s="52" t="s">
        <v>664</v>
      </c>
    </row>
    <row r="540" spans="1:8" ht="30" customHeight="1" x14ac:dyDescent="0.25">
      <c r="A540" s="76">
        <f t="shared" si="3"/>
        <v>183</v>
      </c>
      <c r="B540" s="50" t="s">
        <v>319</v>
      </c>
      <c r="C540" s="63" t="s">
        <v>665</v>
      </c>
      <c r="D540" s="64"/>
      <c r="E540" s="65"/>
      <c r="F540" s="84" t="s">
        <v>666</v>
      </c>
      <c r="G540" s="84" t="str">
        <f>+VLOOKUP(183,prueba!$D$2:$E$733,2,FALSE)</f>
        <v>–TÉCNICA</v>
      </c>
      <c r="H540" s="50" t="s">
        <v>8188</v>
      </c>
    </row>
    <row r="541" spans="1:8" ht="30" customHeight="1" thickBot="1" x14ac:dyDescent="0.3">
      <c r="A541" s="83"/>
      <c r="B541" s="91"/>
      <c r="C541" s="88" t="s">
        <v>667</v>
      </c>
      <c r="D541" s="89"/>
      <c r="E541" s="90"/>
      <c r="F541" s="77"/>
      <c r="G541" s="77"/>
      <c r="H541" s="91"/>
    </row>
    <row r="542" spans="1:8" ht="30" customHeight="1" x14ac:dyDescent="0.25">
      <c r="A542" s="76">
        <f>+A540+1</f>
        <v>184</v>
      </c>
      <c r="B542" s="50" t="s">
        <v>319</v>
      </c>
      <c r="C542" s="63" t="s">
        <v>668</v>
      </c>
      <c r="D542" s="64"/>
      <c r="E542" s="65"/>
      <c r="F542" s="84" t="s">
        <v>669</v>
      </c>
      <c r="G542" s="84" t="str">
        <f>+VLOOKUP(184,prueba!$D$2:$E$733,2,FALSE)</f>
        <v>JURÍDICA – ESTRUCTURACIÓN FINANCIERA SEGUROS</v>
      </c>
      <c r="H542" s="50" t="s">
        <v>9231</v>
      </c>
    </row>
    <row r="543" spans="1:8" ht="30" customHeight="1" x14ac:dyDescent="0.25">
      <c r="A543" s="312"/>
      <c r="B543" s="86"/>
      <c r="C543" s="53"/>
      <c r="D543" s="54"/>
      <c r="E543" s="55"/>
      <c r="F543" s="85"/>
      <c r="G543" s="85"/>
      <c r="H543" s="86"/>
    </row>
    <row r="544" spans="1:8" ht="30" customHeight="1" thickBot="1" x14ac:dyDescent="0.3">
      <c r="A544" s="83"/>
      <c r="B544" s="91"/>
      <c r="C544" s="88" t="s">
        <v>670</v>
      </c>
      <c r="D544" s="89"/>
      <c r="E544" s="90"/>
      <c r="F544" s="77"/>
      <c r="G544" s="77"/>
      <c r="H544" s="91"/>
    </row>
    <row r="545" spans="1:8" ht="30" customHeight="1" thickBot="1" x14ac:dyDescent="0.3">
      <c r="A545" s="313">
        <f>+A542+1</f>
        <v>185</v>
      </c>
      <c r="B545" s="52" t="s">
        <v>319</v>
      </c>
      <c r="C545" s="108" t="s">
        <v>671</v>
      </c>
      <c r="D545" s="109"/>
      <c r="E545" s="110"/>
      <c r="F545" s="78" t="s">
        <v>672</v>
      </c>
      <c r="G545" s="107" t="str">
        <f>+VLOOKUP(185,prueba!$D$2:$E$733,2,FALSE)</f>
        <v>FINANCIERA SEGUROS</v>
      </c>
      <c r="H545" s="52" t="s">
        <v>7347</v>
      </c>
    </row>
    <row r="546" spans="1:8" ht="30" customHeight="1" x14ac:dyDescent="0.25">
      <c r="A546" s="76">
        <f>+A545+1</f>
        <v>186</v>
      </c>
      <c r="B546" s="50" t="s">
        <v>319</v>
      </c>
      <c r="C546" s="63" t="s">
        <v>673</v>
      </c>
      <c r="D546" s="64"/>
      <c r="E546" s="65"/>
      <c r="F546" s="84" t="s">
        <v>674</v>
      </c>
      <c r="G546" s="84" t="str">
        <f>+VLOOKUP(186,prueba!$D$2:$E$733,2,FALSE)</f>
        <v>FINANCIERA SEGUROS</v>
      </c>
      <c r="H546" s="50" t="s">
        <v>7347</v>
      </c>
    </row>
    <row r="547" spans="1:8" ht="30" customHeight="1" thickBot="1" x14ac:dyDescent="0.3">
      <c r="A547" s="83"/>
      <c r="B547" s="91"/>
      <c r="C547" s="88" t="s">
        <v>675</v>
      </c>
      <c r="D547" s="89"/>
      <c r="E547" s="90"/>
      <c r="F547" s="77"/>
      <c r="G547" s="77"/>
      <c r="H547" s="91"/>
    </row>
    <row r="548" spans="1:8" ht="30" customHeight="1" x14ac:dyDescent="0.25">
      <c r="A548" s="76">
        <f>+A546+1</f>
        <v>187</v>
      </c>
      <c r="B548" s="50" t="s">
        <v>319</v>
      </c>
      <c r="C548" s="63" t="s">
        <v>676</v>
      </c>
      <c r="D548" s="64"/>
      <c r="E548" s="65"/>
      <c r="F548" s="84" t="s">
        <v>677</v>
      </c>
      <c r="G548" s="84" t="str">
        <f>+VLOOKUP(187,prueba!$D$2:$E$733,2,FALSE)</f>
        <v>FINANCIERA SEGUROS</v>
      </c>
      <c r="H548" s="50" t="s">
        <v>678</v>
      </c>
    </row>
    <row r="549" spans="1:8" ht="30" customHeight="1" x14ac:dyDescent="0.25">
      <c r="A549" s="312"/>
      <c r="B549" s="86"/>
      <c r="C549" s="53"/>
      <c r="D549" s="54"/>
      <c r="E549" s="55"/>
      <c r="F549" s="85"/>
      <c r="G549" s="85"/>
      <c r="H549" s="86"/>
    </row>
    <row r="550" spans="1:8" ht="30" customHeight="1" x14ac:dyDescent="0.25">
      <c r="A550" s="312"/>
      <c r="B550" s="86"/>
      <c r="C550" s="53" t="s">
        <v>679</v>
      </c>
      <c r="D550" s="54"/>
      <c r="E550" s="55"/>
      <c r="F550" s="85"/>
      <c r="G550" s="85"/>
      <c r="H550" s="86"/>
    </row>
    <row r="551" spans="1:8" ht="30" customHeight="1" x14ac:dyDescent="0.25">
      <c r="A551" s="312"/>
      <c r="B551" s="86"/>
      <c r="C551" s="53"/>
      <c r="D551" s="54"/>
      <c r="E551" s="55"/>
      <c r="F551" s="85"/>
      <c r="G551" s="85"/>
      <c r="H551" s="86"/>
    </row>
    <row r="552" spans="1:8" ht="30" customHeight="1" x14ac:dyDescent="0.25">
      <c r="A552" s="312"/>
      <c r="B552" s="86"/>
      <c r="C552" s="53" t="s">
        <v>680</v>
      </c>
      <c r="D552" s="54"/>
      <c r="E552" s="55"/>
      <c r="F552" s="85"/>
      <c r="G552" s="85"/>
      <c r="H552" s="86"/>
    </row>
    <row r="553" spans="1:8" ht="30" customHeight="1" x14ac:dyDescent="0.25">
      <c r="A553" s="312"/>
      <c r="B553" s="86"/>
      <c r="C553" s="53"/>
      <c r="D553" s="54"/>
      <c r="E553" s="55"/>
      <c r="F553" s="85"/>
      <c r="G553" s="85"/>
      <c r="H553" s="86"/>
    </row>
    <row r="554" spans="1:8" ht="30" customHeight="1" x14ac:dyDescent="0.25">
      <c r="A554" s="312"/>
      <c r="B554" s="86"/>
      <c r="C554" s="53" t="s">
        <v>681</v>
      </c>
      <c r="D554" s="54"/>
      <c r="E554" s="55"/>
      <c r="F554" s="85"/>
      <c r="G554" s="85"/>
      <c r="H554" s="86"/>
    </row>
    <row r="555" spans="1:8" ht="30" customHeight="1" x14ac:dyDescent="0.25">
      <c r="A555" s="312"/>
      <c r="B555" s="86"/>
      <c r="C555" s="53"/>
      <c r="D555" s="54"/>
      <c r="E555" s="55"/>
      <c r="F555" s="85"/>
      <c r="G555" s="85"/>
      <c r="H555" s="86"/>
    </row>
    <row r="556" spans="1:8" ht="30" customHeight="1" thickBot="1" x14ac:dyDescent="0.3">
      <c r="A556" s="83"/>
      <c r="B556" s="91"/>
      <c r="C556" s="88" t="s">
        <v>682</v>
      </c>
      <c r="D556" s="89"/>
      <c r="E556" s="90"/>
      <c r="F556" s="77"/>
      <c r="G556" s="77"/>
      <c r="H556" s="91"/>
    </row>
    <row r="557" spans="1:8" ht="30" customHeight="1" x14ac:dyDescent="0.25">
      <c r="A557" s="76">
        <f>+A548+1</f>
        <v>188</v>
      </c>
      <c r="B557" s="50" t="s">
        <v>319</v>
      </c>
      <c r="C557" s="137" t="s">
        <v>676</v>
      </c>
      <c r="D557" s="138"/>
      <c r="E557" s="139"/>
      <c r="F557" s="84" t="s">
        <v>683</v>
      </c>
      <c r="G557" s="84" t="str">
        <f>+VLOOKUP(188,prueba!$D$2:$E$733,2,FALSE)</f>
        <v>FINANCIERA SEGUROS</v>
      </c>
      <c r="H557" s="50" t="s">
        <v>678</v>
      </c>
    </row>
    <row r="558" spans="1:8" ht="30" customHeight="1" x14ac:dyDescent="0.25">
      <c r="A558" s="312"/>
      <c r="B558" s="86"/>
      <c r="C558" s="53"/>
      <c r="D558" s="54"/>
      <c r="E558" s="55"/>
      <c r="F558" s="85"/>
      <c r="G558" s="85"/>
      <c r="H558" s="86"/>
    </row>
    <row r="559" spans="1:8" ht="30" customHeight="1" x14ac:dyDescent="0.25">
      <c r="A559" s="312"/>
      <c r="B559" s="86"/>
      <c r="C559" s="112" t="s">
        <v>679</v>
      </c>
      <c r="D559" s="113"/>
      <c r="E559" s="114"/>
      <c r="F559" s="85"/>
      <c r="G559" s="85"/>
      <c r="H559" s="86"/>
    </row>
    <row r="560" spans="1:8" ht="30" customHeight="1" x14ac:dyDescent="0.25">
      <c r="A560" s="312"/>
      <c r="B560" s="86"/>
      <c r="C560" s="53"/>
      <c r="D560" s="54"/>
      <c r="E560" s="55"/>
      <c r="F560" s="85"/>
      <c r="G560" s="85"/>
      <c r="H560" s="86"/>
    </row>
    <row r="561" spans="1:8" ht="30" customHeight="1" x14ac:dyDescent="0.25">
      <c r="A561" s="312"/>
      <c r="B561" s="86"/>
      <c r="C561" s="112" t="s">
        <v>680</v>
      </c>
      <c r="D561" s="113"/>
      <c r="E561" s="114"/>
      <c r="F561" s="85"/>
      <c r="G561" s="85"/>
      <c r="H561" s="86"/>
    </row>
    <row r="562" spans="1:8" ht="30" customHeight="1" x14ac:dyDescent="0.25">
      <c r="A562" s="312"/>
      <c r="B562" s="86"/>
      <c r="C562" s="53"/>
      <c r="D562" s="54"/>
      <c r="E562" s="55"/>
      <c r="F562" s="85"/>
      <c r="G562" s="85"/>
      <c r="H562" s="86"/>
    </row>
    <row r="563" spans="1:8" ht="30" customHeight="1" x14ac:dyDescent="0.25">
      <c r="A563" s="312"/>
      <c r="B563" s="86"/>
      <c r="C563" s="112" t="s">
        <v>681</v>
      </c>
      <c r="D563" s="113"/>
      <c r="E563" s="114"/>
      <c r="F563" s="85"/>
      <c r="G563" s="85"/>
      <c r="H563" s="86"/>
    </row>
    <row r="564" spans="1:8" ht="30" customHeight="1" x14ac:dyDescent="0.25">
      <c r="A564" s="312"/>
      <c r="B564" s="86"/>
      <c r="C564" s="53"/>
      <c r="D564" s="54"/>
      <c r="E564" s="55"/>
      <c r="F564" s="85"/>
      <c r="G564" s="85"/>
      <c r="H564" s="86"/>
    </row>
    <row r="565" spans="1:8" ht="30" customHeight="1" thickBot="1" x14ac:dyDescent="0.3">
      <c r="A565" s="83"/>
      <c r="B565" s="91"/>
      <c r="C565" s="131" t="s">
        <v>682</v>
      </c>
      <c r="D565" s="132"/>
      <c r="E565" s="133"/>
      <c r="F565" s="77"/>
      <c r="G565" s="77"/>
      <c r="H565" s="91"/>
    </row>
    <row r="566" spans="1:8" ht="30" customHeight="1" x14ac:dyDescent="0.25">
      <c r="A566" s="76">
        <f>+A557+1</f>
        <v>189</v>
      </c>
      <c r="B566" s="50" t="s">
        <v>319</v>
      </c>
      <c r="C566" s="63" t="s">
        <v>684</v>
      </c>
      <c r="D566" s="64"/>
      <c r="E566" s="65"/>
      <c r="F566" s="84" t="s">
        <v>685</v>
      </c>
      <c r="G566" s="84" t="str">
        <f>+VLOOKUP(189,prueba!$D$2:$E$733,2,FALSE)</f>
        <v xml:space="preserve">JURÍDICA – ESTRUCTURACIÓN Y CONTRATACIÓN </v>
      </c>
      <c r="H566" s="50" t="s">
        <v>686</v>
      </c>
    </row>
    <row r="567" spans="1:8" ht="30" customHeight="1" x14ac:dyDescent="0.25">
      <c r="A567" s="312"/>
      <c r="B567" s="86"/>
      <c r="C567" s="53"/>
      <c r="D567" s="54"/>
      <c r="E567" s="55"/>
      <c r="F567" s="85"/>
      <c r="G567" s="85"/>
      <c r="H567" s="86"/>
    </row>
    <row r="568" spans="1:8" ht="30" customHeight="1" x14ac:dyDescent="0.25">
      <c r="A568" s="312"/>
      <c r="B568" s="86"/>
      <c r="C568" s="112" t="s">
        <v>687</v>
      </c>
      <c r="D568" s="113"/>
      <c r="E568" s="114"/>
      <c r="F568" s="85"/>
      <c r="G568" s="85"/>
      <c r="H568" s="86"/>
    </row>
    <row r="569" spans="1:8" ht="30" customHeight="1" x14ac:dyDescent="0.25">
      <c r="A569" s="312"/>
      <c r="B569" s="86"/>
      <c r="C569" s="53"/>
      <c r="D569" s="54"/>
      <c r="E569" s="55"/>
      <c r="F569" s="85"/>
      <c r="G569" s="85"/>
      <c r="H569" s="86"/>
    </row>
    <row r="570" spans="1:8" ht="30" customHeight="1" thickBot="1" x14ac:dyDescent="0.3">
      <c r="A570" s="83"/>
      <c r="B570" s="91"/>
      <c r="C570" s="88" t="s">
        <v>688</v>
      </c>
      <c r="D570" s="89"/>
      <c r="E570" s="90"/>
      <c r="F570" s="77"/>
      <c r="G570" s="77"/>
      <c r="H570" s="91"/>
    </row>
    <row r="571" spans="1:8" ht="30" customHeight="1" thickBot="1" x14ac:dyDescent="0.3">
      <c r="A571" s="313">
        <f>+A566+1</f>
        <v>190</v>
      </c>
      <c r="B571" s="52" t="s">
        <v>319</v>
      </c>
      <c r="C571" s="108" t="s">
        <v>689</v>
      </c>
      <c r="D571" s="109"/>
      <c r="E571" s="110"/>
      <c r="F571" s="78" t="s">
        <v>690</v>
      </c>
      <c r="G571" s="107" t="str">
        <f>+VLOOKUP(190,prueba!$D$2:$E$733,2,FALSE)</f>
        <v>JURÍDICA – ESTRUCTURACIÓN Y CONTRATACIÓN</v>
      </c>
      <c r="H571" s="52" t="s">
        <v>691</v>
      </c>
    </row>
    <row r="572" spans="1:8" ht="30" customHeight="1" thickBot="1" x14ac:dyDescent="0.3">
      <c r="A572" s="313">
        <f>+A571+1</f>
        <v>191</v>
      </c>
      <c r="B572" s="52" t="s">
        <v>319</v>
      </c>
      <c r="C572" s="108" t="s">
        <v>692</v>
      </c>
      <c r="D572" s="109"/>
      <c r="E572" s="110"/>
      <c r="F572" s="78" t="s">
        <v>693</v>
      </c>
      <c r="G572" s="107" t="str">
        <f>+VLOOKUP(191,prueba!$D$2:$E$733,2,FALSE)</f>
        <v>JURÍDICA – ESTRUCTURACIÓN Y CONTRATACIÓN</v>
      </c>
      <c r="H572" s="52" t="s">
        <v>694</v>
      </c>
    </row>
    <row r="573" spans="1:8" ht="30" customHeight="1" x14ac:dyDescent="0.25">
      <c r="A573" s="76">
        <f>+A572+1</f>
        <v>192</v>
      </c>
      <c r="B573" s="50" t="s">
        <v>319</v>
      </c>
      <c r="C573" s="63" t="s">
        <v>695</v>
      </c>
      <c r="D573" s="64"/>
      <c r="E573" s="65"/>
      <c r="F573" s="84" t="s">
        <v>696</v>
      </c>
      <c r="G573" s="84" t="str">
        <f>+VLOOKUP(192,prueba!$D$2:$E$733,2,FALSE)</f>
        <v>JURÍDICA – ESTRUCTURACIÓN</v>
      </c>
      <c r="H573" s="50" t="s">
        <v>697</v>
      </c>
    </row>
    <row r="574" spans="1:8" ht="30" customHeight="1" x14ac:dyDescent="0.25">
      <c r="A574" s="312"/>
      <c r="B574" s="86"/>
      <c r="C574" s="53"/>
      <c r="D574" s="54"/>
      <c r="E574" s="55"/>
      <c r="F574" s="85"/>
      <c r="G574" s="85"/>
      <c r="H574" s="86"/>
    </row>
    <row r="575" spans="1:8" ht="30" customHeight="1" thickBot="1" x14ac:dyDescent="0.3">
      <c r="A575" s="83"/>
      <c r="B575" s="91"/>
      <c r="C575" s="88" t="s">
        <v>698</v>
      </c>
      <c r="D575" s="89"/>
      <c r="E575" s="90"/>
      <c r="F575" s="77"/>
      <c r="G575" s="77"/>
      <c r="H575" s="91"/>
    </row>
    <row r="576" spans="1:8" ht="30" customHeight="1" x14ac:dyDescent="0.25">
      <c r="A576" s="76">
        <f>+A573+1</f>
        <v>193</v>
      </c>
      <c r="B576" s="50" t="s">
        <v>319</v>
      </c>
      <c r="C576" s="63" t="s">
        <v>699</v>
      </c>
      <c r="D576" s="64"/>
      <c r="E576" s="65"/>
      <c r="F576" s="84" t="s">
        <v>700</v>
      </c>
      <c r="G576" s="84" t="str">
        <f>+VLOOKUP(193,prueba!$D$2:$E$733,2,FALSE)</f>
        <v>JURÍDICA – ESTRUCTURACIÓN</v>
      </c>
      <c r="H576" s="50" t="s">
        <v>701</v>
      </c>
    </row>
    <row r="577" spans="1:8" ht="30" customHeight="1" x14ac:dyDescent="0.25">
      <c r="A577" s="312"/>
      <c r="B577" s="86"/>
      <c r="C577" s="53"/>
      <c r="D577" s="54"/>
      <c r="E577" s="55"/>
      <c r="F577" s="85"/>
      <c r="G577" s="85"/>
      <c r="H577" s="86"/>
    </row>
    <row r="578" spans="1:8" ht="30" customHeight="1" thickBot="1" x14ac:dyDescent="0.3">
      <c r="A578" s="83"/>
      <c r="B578" s="91"/>
      <c r="C578" s="88" t="s">
        <v>702</v>
      </c>
      <c r="D578" s="89"/>
      <c r="E578" s="90"/>
      <c r="F578" s="77"/>
      <c r="G578" s="77"/>
      <c r="H578" s="91"/>
    </row>
    <row r="579" spans="1:8" ht="30" customHeight="1" x14ac:dyDescent="0.25">
      <c r="A579" s="76">
        <f>+A576+1</f>
        <v>194</v>
      </c>
      <c r="B579" s="50" t="s">
        <v>319</v>
      </c>
      <c r="C579" s="63" t="s">
        <v>703</v>
      </c>
      <c r="D579" s="64"/>
      <c r="E579" s="65"/>
      <c r="F579" s="84" t="s">
        <v>704</v>
      </c>
      <c r="G579" s="84" t="str">
        <f>+VLOOKUP(194,prueba!$D$2:$E$733,2,FALSE)</f>
        <v xml:space="preserve">JURÍDICA – ESTRUCTURACIÓN </v>
      </c>
      <c r="H579" s="50" t="s">
        <v>697</v>
      </c>
    </row>
    <row r="580" spans="1:8" ht="30" customHeight="1" x14ac:dyDescent="0.25">
      <c r="A580" s="312"/>
      <c r="B580" s="86"/>
      <c r="C580" s="53"/>
      <c r="D580" s="54"/>
      <c r="E580" s="55"/>
      <c r="F580" s="85"/>
      <c r="G580" s="85"/>
      <c r="H580" s="86"/>
    </row>
    <row r="581" spans="1:8" ht="30" customHeight="1" thickBot="1" x14ac:dyDescent="0.3">
      <c r="A581" s="83"/>
      <c r="B581" s="91"/>
      <c r="C581" s="88" t="s">
        <v>705</v>
      </c>
      <c r="D581" s="89"/>
      <c r="E581" s="90"/>
      <c r="F581" s="77"/>
      <c r="G581" s="77"/>
      <c r="H581" s="91"/>
    </row>
    <row r="582" spans="1:8" ht="30" customHeight="1" thickBot="1" x14ac:dyDescent="0.3">
      <c r="A582" s="313">
        <f>+A579+1</f>
        <v>195</v>
      </c>
      <c r="B582" s="52" t="s">
        <v>319</v>
      </c>
      <c r="C582" s="108" t="s">
        <v>706</v>
      </c>
      <c r="D582" s="109"/>
      <c r="E582" s="110"/>
      <c r="F582" s="78" t="s">
        <v>707</v>
      </c>
      <c r="G582" s="107" t="str">
        <f>+VLOOKUP(195,prueba!$D$2:$E$733,2,FALSE)</f>
        <v xml:space="preserve"> JURÍDICA – ESTRUCTURACIÓN </v>
      </c>
      <c r="H582" s="52" t="s">
        <v>708</v>
      </c>
    </row>
    <row r="583" spans="1:8" ht="30" customHeight="1" x14ac:dyDescent="0.25">
      <c r="A583" s="76">
        <f>+A582+1</f>
        <v>196</v>
      </c>
      <c r="B583" s="50" t="s">
        <v>319</v>
      </c>
      <c r="C583" s="63" t="s">
        <v>709</v>
      </c>
      <c r="D583" s="64"/>
      <c r="E583" s="65"/>
      <c r="F583" s="84" t="s">
        <v>710</v>
      </c>
      <c r="G583" s="84" t="str">
        <f>+VLOOKUP(196,prueba!$D$2:$E$733,2,FALSE)</f>
        <v>JURÍDICA – ESTRUCTURACIÓN Y CONTRATACIÓN</v>
      </c>
      <c r="H583" s="50" t="s">
        <v>8417</v>
      </c>
    </row>
    <row r="584" spans="1:8" ht="30" customHeight="1" x14ac:dyDescent="0.25">
      <c r="A584" s="312"/>
      <c r="B584" s="86"/>
      <c r="C584" s="53"/>
      <c r="D584" s="54"/>
      <c r="E584" s="55"/>
      <c r="F584" s="85"/>
      <c r="G584" s="85"/>
      <c r="H584" s="86"/>
    </row>
    <row r="585" spans="1:8" ht="30" customHeight="1" x14ac:dyDescent="0.25">
      <c r="A585" s="312"/>
      <c r="B585" s="86"/>
      <c r="C585" s="112" t="s">
        <v>711</v>
      </c>
      <c r="D585" s="113"/>
      <c r="E585" s="114"/>
      <c r="F585" s="85"/>
      <c r="G585" s="85"/>
      <c r="H585" s="86"/>
    </row>
    <row r="586" spans="1:8" ht="30" customHeight="1" x14ac:dyDescent="0.25">
      <c r="A586" s="312"/>
      <c r="B586" s="86"/>
      <c r="C586" s="53"/>
      <c r="D586" s="54"/>
      <c r="E586" s="55"/>
      <c r="F586" s="85"/>
      <c r="G586" s="85"/>
      <c r="H586" s="86"/>
    </row>
    <row r="587" spans="1:8" ht="30" customHeight="1" x14ac:dyDescent="0.25">
      <c r="A587" s="312"/>
      <c r="B587" s="86"/>
      <c r="C587" s="112" t="s">
        <v>712</v>
      </c>
      <c r="D587" s="113"/>
      <c r="E587" s="114"/>
      <c r="F587" s="85"/>
      <c r="G587" s="85"/>
      <c r="H587" s="86"/>
    </row>
    <row r="588" spans="1:8" ht="30" customHeight="1" x14ac:dyDescent="0.25">
      <c r="A588" s="312"/>
      <c r="B588" s="86"/>
      <c r="C588" s="53"/>
      <c r="D588" s="54"/>
      <c r="E588" s="55"/>
      <c r="F588" s="85"/>
      <c r="G588" s="85"/>
      <c r="H588" s="86"/>
    </row>
    <row r="589" spans="1:8" ht="30" customHeight="1" thickBot="1" x14ac:dyDescent="0.3">
      <c r="A589" s="83"/>
      <c r="B589" s="91"/>
      <c r="C589" s="131" t="s">
        <v>713</v>
      </c>
      <c r="D589" s="132"/>
      <c r="E589" s="133"/>
      <c r="F589" s="77"/>
      <c r="G589" s="77"/>
      <c r="H589" s="91"/>
    </row>
    <row r="590" spans="1:8" ht="30" customHeight="1" x14ac:dyDescent="0.25">
      <c r="A590" s="76">
        <f>+A583+1</f>
        <v>197</v>
      </c>
      <c r="B590" s="50" t="s">
        <v>319</v>
      </c>
      <c r="C590" s="63" t="s">
        <v>714</v>
      </c>
      <c r="D590" s="64"/>
      <c r="E590" s="65"/>
      <c r="F590" s="84" t="s">
        <v>715</v>
      </c>
      <c r="G590" s="84" t="str">
        <f>+VLOOKUP(197,prueba!$D$2:$E$733,2,FALSE)</f>
        <v>JURÍDICA – ESTRUCTURACIÓN Y CONTRATACIÓN</v>
      </c>
      <c r="H590" s="50" t="s">
        <v>8255</v>
      </c>
    </row>
    <row r="591" spans="1:8" ht="30" customHeight="1" x14ac:dyDescent="0.25">
      <c r="A591" s="312"/>
      <c r="B591" s="86"/>
      <c r="C591" s="53"/>
      <c r="D591" s="54"/>
      <c r="E591" s="55"/>
      <c r="F591" s="85"/>
      <c r="G591" s="85"/>
      <c r="H591" s="86"/>
    </row>
    <row r="592" spans="1:8" ht="30" customHeight="1" x14ac:dyDescent="0.25">
      <c r="A592" s="312"/>
      <c r="B592" s="86"/>
      <c r="C592" s="112" t="s">
        <v>716</v>
      </c>
      <c r="D592" s="113"/>
      <c r="E592" s="114"/>
      <c r="F592" s="85"/>
      <c r="G592" s="85"/>
      <c r="H592" s="86"/>
    </row>
    <row r="593" spans="1:8" ht="30" customHeight="1" x14ac:dyDescent="0.25">
      <c r="A593" s="312"/>
      <c r="B593" s="86"/>
      <c r="C593" s="53"/>
      <c r="D593" s="54"/>
      <c r="E593" s="55"/>
      <c r="F593" s="85"/>
      <c r="G593" s="85"/>
      <c r="H593" s="86"/>
    </row>
    <row r="594" spans="1:8" ht="30" customHeight="1" thickBot="1" x14ac:dyDescent="0.3">
      <c r="A594" s="83"/>
      <c r="B594" s="91"/>
      <c r="C594" s="88" t="s">
        <v>717</v>
      </c>
      <c r="D594" s="89"/>
      <c r="E594" s="90"/>
      <c r="F594" s="77"/>
      <c r="G594" s="77"/>
      <c r="H594" s="91"/>
    </row>
    <row r="595" spans="1:8" ht="30" customHeight="1" x14ac:dyDescent="0.25">
      <c r="A595" s="76">
        <f>+A590+1</f>
        <v>198</v>
      </c>
      <c r="B595" s="50" t="s">
        <v>319</v>
      </c>
      <c r="C595" s="63" t="s">
        <v>714</v>
      </c>
      <c r="D595" s="64"/>
      <c r="E595" s="65"/>
      <c r="F595" s="84" t="s">
        <v>718</v>
      </c>
      <c r="G595" s="84" t="str">
        <f>+VLOOKUP(198,prueba!$D$2:$E$733,2,FALSE)</f>
        <v xml:space="preserve">JURÍDICA – </v>
      </c>
      <c r="H595" s="50" t="s">
        <v>719</v>
      </c>
    </row>
    <row r="596" spans="1:8" ht="30" customHeight="1" x14ac:dyDescent="0.25">
      <c r="A596" s="312"/>
      <c r="B596" s="86"/>
      <c r="C596" s="53"/>
      <c r="D596" s="54"/>
      <c r="E596" s="55"/>
      <c r="F596" s="85"/>
      <c r="G596" s="85"/>
      <c r="H596" s="86"/>
    </row>
    <row r="597" spans="1:8" ht="30" customHeight="1" x14ac:dyDescent="0.25">
      <c r="A597" s="312"/>
      <c r="B597" s="86"/>
      <c r="C597" s="112" t="s">
        <v>720</v>
      </c>
      <c r="D597" s="113"/>
      <c r="E597" s="114"/>
      <c r="F597" s="85"/>
      <c r="G597" s="85"/>
      <c r="H597" s="86"/>
    </row>
    <row r="598" spans="1:8" ht="30" customHeight="1" x14ac:dyDescent="0.25">
      <c r="A598" s="312"/>
      <c r="B598" s="86"/>
      <c r="C598" s="53"/>
      <c r="D598" s="54"/>
      <c r="E598" s="55"/>
      <c r="F598" s="85"/>
      <c r="G598" s="85"/>
      <c r="H598" s="86"/>
    </row>
    <row r="599" spans="1:8" ht="30" customHeight="1" thickBot="1" x14ac:dyDescent="0.3">
      <c r="A599" s="83"/>
      <c r="B599" s="91"/>
      <c r="C599" s="88" t="s">
        <v>721</v>
      </c>
      <c r="D599" s="89"/>
      <c r="E599" s="90"/>
      <c r="F599" s="77"/>
      <c r="G599" s="77"/>
      <c r="H599" s="91"/>
    </row>
    <row r="600" spans="1:8" ht="30" customHeight="1" thickBot="1" x14ac:dyDescent="0.3">
      <c r="A600" s="313">
        <f>+A595+1</f>
        <v>199</v>
      </c>
      <c r="B600" s="52" t="s">
        <v>319</v>
      </c>
      <c r="C600" s="108" t="s">
        <v>722</v>
      </c>
      <c r="D600" s="109"/>
      <c r="E600" s="110"/>
      <c r="F600" s="78" t="s">
        <v>723</v>
      </c>
      <c r="G600" s="107" t="str">
        <f>+VLOOKUP(199,prueba!$D$2:$E$733,2,FALSE)</f>
        <v>JURÍDICA – ESTRUCTURACIÓN Y CONTRATACIÓN</v>
      </c>
      <c r="H600" s="52" t="s">
        <v>724</v>
      </c>
    </row>
    <row r="601" spans="1:8" ht="30" customHeight="1" thickBot="1" x14ac:dyDescent="0.3">
      <c r="A601" s="313">
        <f t="shared" ref="A601:A610" si="4">+A600+1</f>
        <v>200</v>
      </c>
      <c r="B601" s="52" t="s">
        <v>319</v>
      </c>
      <c r="C601" s="108" t="s">
        <v>725</v>
      </c>
      <c r="D601" s="109"/>
      <c r="E601" s="110"/>
      <c r="F601" s="78" t="s">
        <v>726</v>
      </c>
      <c r="G601" s="107" t="str">
        <f>+VLOOKUP(200,prueba!$D$2:$E$733,2,FALSE)</f>
        <v>FINANCIERA SEGUROS</v>
      </c>
      <c r="H601" s="52" t="s">
        <v>8307</v>
      </c>
    </row>
    <row r="602" spans="1:8" ht="30" customHeight="1" thickBot="1" x14ac:dyDescent="0.3">
      <c r="A602" s="313">
        <f t="shared" si="4"/>
        <v>201</v>
      </c>
      <c r="B602" s="52" t="s">
        <v>319</v>
      </c>
      <c r="C602" s="108" t="s">
        <v>727</v>
      </c>
      <c r="D602" s="109"/>
      <c r="E602" s="110"/>
      <c r="F602" s="78" t="s">
        <v>728</v>
      </c>
      <c r="G602" s="107" t="str">
        <f>+VLOOKUP(201,prueba!$D$2:$E$733,2,FALSE)</f>
        <v>TÉCNICA</v>
      </c>
      <c r="H602" s="52" t="s">
        <v>729</v>
      </c>
    </row>
    <row r="603" spans="1:8" ht="30" customHeight="1" thickBot="1" x14ac:dyDescent="0.3">
      <c r="A603" s="313">
        <f t="shared" si="4"/>
        <v>202</v>
      </c>
      <c r="B603" s="52" t="s">
        <v>319</v>
      </c>
      <c r="C603" s="108" t="s">
        <v>730</v>
      </c>
      <c r="D603" s="109"/>
      <c r="E603" s="110"/>
      <c r="F603" s="78" t="s">
        <v>731</v>
      </c>
      <c r="G603" s="107" t="str">
        <f>+VLOOKUP(202,prueba!$D$2:$E$733,2,FALSE)</f>
        <v>TÉCNICA</v>
      </c>
      <c r="H603" s="52" t="s">
        <v>732</v>
      </c>
    </row>
    <row r="604" spans="1:8" ht="30" customHeight="1" thickBot="1" x14ac:dyDescent="0.3">
      <c r="A604" s="313">
        <f t="shared" si="4"/>
        <v>203</v>
      </c>
      <c r="B604" s="52" t="s">
        <v>319</v>
      </c>
      <c r="C604" s="108" t="s">
        <v>733</v>
      </c>
      <c r="D604" s="109"/>
      <c r="E604" s="110"/>
      <c r="F604" s="78" t="s">
        <v>728</v>
      </c>
      <c r="G604" s="107" t="str">
        <f>+VLOOKUP(203,prueba!$D$2:$E$733,2,FALSE)</f>
        <v>TÉCNICA</v>
      </c>
      <c r="H604" s="52" t="s">
        <v>734</v>
      </c>
    </row>
    <row r="605" spans="1:8" ht="30" customHeight="1" thickBot="1" x14ac:dyDescent="0.3">
      <c r="A605" s="313">
        <f t="shared" si="4"/>
        <v>204</v>
      </c>
      <c r="B605" s="52" t="s">
        <v>319</v>
      </c>
      <c r="C605" s="108" t="s">
        <v>735</v>
      </c>
      <c r="D605" s="109"/>
      <c r="E605" s="110"/>
      <c r="F605" s="78" t="s">
        <v>736</v>
      </c>
      <c r="G605" s="107" t="str">
        <f>+VLOOKUP(204,prueba!$D$2:$E$733,2,FALSE)</f>
        <v>TÉCNICA</v>
      </c>
      <c r="H605" s="52" t="s">
        <v>737</v>
      </c>
    </row>
    <row r="606" spans="1:8" ht="30" customHeight="1" thickBot="1" x14ac:dyDescent="0.3">
      <c r="A606" s="313">
        <f t="shared" si="4"/>
        <v>205</v>
      </c>
      <c r="B606" s="52" t="s">
        <v>319</v>
      </c>
      <c r="C606" s="108" t="s">
        <v>738</v>
      </c>
      <c r="D606" s="109"/>
      <c r="E606" s="110"/>
      <c r="F606" s="78" t="s">
        <v>739</v>
      </c>
      <c r="G606" s="107" t="str">
        <f>+VLOOKUP(205,prueba!$D$2:$E$733,2,FALSE)</f>
        <v>TÉCNICA</v>
      </c>
      <c r="H606" s="52" t="s">
        <v>740</v>
      </c>
    </row>
    <row r="607" spans="1:8" ht="30" customHeight="1" thickBot="1" x14ac:dyDescent="0.3">
      <c r="A607" s="313">
        <f t="shared" si="4"/>
        <v>206</v>
      </c>
      <c r="B607" s="52" t="s">
        <v>319</v>
      </c>
      <c r="C607" s="108" t="s">
        <v>741</v>
      </c>
      <c r="D607" s="109"/>
      <c r="E607" s="110"/>
      <c r="F607" s="78" t="s">
        <v>742</v>
      </c>
      <c r="G607" s="107" t="str">
        <f>+VLOOKUP(206,prueba!$D$2:$E$733,2,FALSE)</f>
        <v>TÉCNICA</v>
      </c>
      <c r="H607" s="52" t="s">
        <v>743</v>
      </c>
    </row>
    <row r="608" spans="1:8" ht="30" customHeight="1" thickBot="1" x14ac:dyDescent="0.3">
      <c r="A608" s="313">
        <f t="shared" si="4"/>
        <v>207</v>
      </c>
      <c r="B608" s="52" t="s">
        <v>319</v>
      </c>
      <c r="C608" s="108" t="s">
        <v>744</v>
      </c>
      <c r="D608" s="109"/>
      <c r="E608" s="110"/>
      <c r="F608" s="78" t="s">
        <v>742</v>
      </c>
      <c r="G608" s="107" t="str">
        <f>+VLOOKUP(207,prueba!$D$2:$E$733,2,FALSE)</f>
        <v>TÉCNICA</v>
      </c>
      <c r="H608" s="52" t="s">
        <v>745</v>
      </c>
    </row>
    <row r="609" spans="1:8" ht="30" customHeight="1" thickBot="1" x14ac:dyDescent="0.3">
      <c r="A609" s="313">
        <f t="shared" si="4"/>
        <v>208</v>
      </c>
      <c r="B609" s="52" t="s">
        <v>319</v>
      </c>
      <c r="C609" s="108" t="s">
        <v>746</v>
      </c>
      <c r="D609" s="109"/>
      <c r="E609" s="110"/>
      <c r="F609" s="78" t="s">
        <v>742</v>
      </c>
      <c r="G609" s="107" t="str">
        <f>+VLOOKUP(208,prueba!$D$2:$E$733,2,FALSE)</f>
        <v>TÉCNICA</v>
      </c>
      <c r="H609" s="52" t="s">
        <v>745</v>
      </c>
    </row>
    <row r="610" spans="1:8" ht="30" customHeight="1" x14ac:dyDescent="0.25">
      <c r="A610" s="76">
        <f t="shared" si="4"/>
        <v>209</v>
      </c>
      <c r="B610" s="50" t="s">
        <v>319</v>
      </c>
      <c r="C610" s="63" t="s">
        <v>747</v>
      </c>
      <c r="D610" s="64"/>
      <c r="E610" s="65"/>
      <c r="F610" s="56" t="s">
        <v>748</v>
      </c>
      <c r="G610" s="84" t="str">
        <f>+VLOOKUP(209,prueba!$D$2:$E$733,2,FALSE)</f>
        <v>TÉCNICA</v>
      </c>
      <c r="H610" s="50" t="s">
        <v>8189</v>
      </c>
    </row>
    <row r="611" spans="1:8" ht="30" customHeight="1" thickBot="1" x14ac:dyDescent="0.3">
      <c r="A611" s="83"/>
      <c r="B611" s="91"/>
      <c r="C611" s="88"/>
      <c r="D611" s="89"/>
      <c r="E611" s="90"/>
      <c r="F611" s="78" t="s">
        <v>749</v>
      </c>
      <c r="G611" s="77"/>
      <c r="H611" s="91"/>
    </row>
    <row r="612" spans="1:8" ht="30" customHeight="1" thickBot="1" x14ac:dyDescent="0.3">
      <c r="A612" s="313">
        <f>+A610+1</f>
        <v>210</v>
      </c>
      <c r="B612" s="52" t="s">
        <v>319</v>
      </c>
      <c r="C612" s="108" t="s">
        <v>750</v>
      </c>
      <c r="D612" s="109"/>
      <c r="E612" s="110"/>
      <c r="F612" s="78" t="s">
        <v>751</v>
      </c>
      <c r="G612" s="107" t="str">
        <f>+VLOOKUP(210,prueba!$D$2:$E$733,2,FALSE)</f>
        <v>TECNICA</v>
      </c>
      <c r="H612" s="52" t="s">
        <v>752</v>
      </c>
    </row>
    <row r="613" spans="1:8" ht="30" customHeight="1" thickBot="1" x14ac:dyDescent="0.3">
      <c r="A613" s="313">
        <f t="shared" ref="A613:A627" si="5">+A612+1</f>
        <v>211</v>
      </c>
      <c r="B613" s="52" t="s">
        <v>319</v>
      </c>
      <c r="C613" s="108" t="s">
        <v>753</v>
      </c>
      <c r="D613" s="109"/>
      <c r="E613" s="110"/>
      <c r="F613" s="78" t="s">
        <v>754</v>
      </c>
      <c r="G613" s="107" t="str">
        <f>+VLOOKUP(211,prueba!$D$2:$E$733,2,FALSE)</f>
        <v>TÉCNICA</v>
      </c>
      <c r="H613" s="52" t="s">
        <v>8190</v>
      </c>
    </row>
    <row r="614" spans="1:8" ht="30" customHeight="1" thickBot="1" x14ac:dyDescent="0.3">
      <c r="A614" s="313">
        <f t="shared" si="5"/>
        <v>212</v>
      </c>
      <c r="B614" s="52" t="s">
        <v>319</v>
      </c>
      <c r="C614" s="108" t="s">
        <v>755</v>
      </c>
      <c r="D614" s="109"/>
      <c r="E614" s="110"/>
      <c r="F614" s="78" t="s">
        <v>756</v>
      </c>
      <c r="G614" s="107" t="str">
        <f>+VLOOKUP(212,prueba!$D$2:$E$733,2,FALSE)</f>
        <v xml:space="preserve"> TÉCNICA</v>
      </c>
      <c r="H614" s="52" t="s">
        <v>757</v>
      </c>
    </row>
    <row r="615" spans="1:8" ht="30" customHeight="1" thickBot="1" x14ac:dyDescent="0.3">
      <c r="A615" s="313">
        <f t="shared" si="5"/>
        <v>213</v>
      </c>
      <c r="B615" s="52" t="s">
        <v>319</v>
      </c>
      <c r="C615" s="108" t="s">
        <v>758</v>
      </c>
      <c r="D615" s="109"/>
      <c r="E615" s="110"/>
      <c r="F615" s="78" t="s">
        <v>759</v>
      </c>
      <c r="G615" s="107" t="str">
        <f>+VLOOKUP(213,prueba!$D$2:$E$733,2,FALSE)</f>
        <v xml:space="preserve">  TÉCNICA</v>
      </c>
      <c r="H615" s="52" t="s">
        <v>760</v>
      </c>
    </row>
    <row r="616" spans="1:8" ht="30" customHeight="1" thickBot="1" x14ac:dyDescent="0.3">
      <c r="A616" s="313">
        <f t="shared" si="5"/>
        <v>214</v>
      </c>
      <c r="B616" s="52" t="s">
        <v>319</v>
      </c>
      <c r="C616" s="108" t="s">
        <v>761</v>
      </c>
      <c r="D616" s="109"/>
      <c r="E616" s="110"/>
      <c r="F616" s="78" t="s">
        <v>759</v>
      </c>
      <c r="G616" s="107" t="str">
        <f>+VLOOKUP(214,prueba!$D$2:$E$733,2,FALSE)</f>
        <v>TÉCNICA</v>
      </c>
      <c r="H616" s="52" t="s">
        <v>8191</v>
      </c>
    </row>
    <row r="617" spans="1:8" ht="30" customHeight="1" thickBot="1" x14ac:dyDescent="0.3">
      <c r="A617" s="313">
        <f t="shared" si="5"/>
        <v>215</v>
      </c>
      <c r="B617" s="52" t="s">
        <v>319</v>
      </c>
      <c r="C617" s="108" t="s">
        <v>762</v>
      </c>
      <c r="D617" s="109"/>
      <c r="E617" s="110"/>
      <c r="F617" s="78" t="s">
        <v>759</v>
      </c>
      <c r="G617" s="107" t="str">
        <f>+VLOOKUP(215,prueba!$D$2:$E$733,2,FALSE)</f>
        <v xml:space="preserve"> TÉCNICA</v>
      </c>
      <c r="H617" s="52" t="s">
        <v>8192</v>
      </c>
    </row>
    <row r="618" spans="1:8" ht="30" customHeight="1" thickBot="1" x14ac:dyDescent="0.3">
      <c r="A618" s="313">
        <f t="shared" si="5"/>
        <v>216</v>
      </c>
      <c r="B618" s="52" t="s">
        <v>319</v>
      </c>
      <c r="C618" s="108" t="s">
        <v>763</v>
      </c>
      <c r="D618" s="109"/>
      <c r="E618" s="110"/>
      <c r="F618" s="78" t="s">
        <v>759</v>
      </c>
      <c r="G618" s="107" t="str">
        <f>+VLOOKUP(216,prueba!$D$2:$E$733,2,FALSE)</f>
        <v xml:space="preserve"> TÉCNICA</v>
      </c>
      <c r="H618" s="52" t="s">
        <v>764</v>
      </c>
    </row>
    <row r="619" spans="1:8" ht="30" customHeight="1" thickBot="1" x14ac:dyDescent="0.3">
      <c r="A619" s="313">
        <f t="shared" si="5"/>
        <v>217</v>
      </c>
      <c r="B619" s="52" t="s">
        <v>319</v>
      </c>
      <c r="C619" s="108" t="s">
        <v>765</v>
      </c>
      <c r="D619" s="109"/>
      <c r="E619" s="110"/>
      <c r="F619" s="78" t="s">
        <v>766</v>
      </c>
      <c r="G619" s="107" t="str">
        <f>+VLOOKUP(217,prueba!$D$2:$E$733,2,FALSE)</f>
        <v xml:space="preserve"> TÉCNICA</v>
      </c>
      <c r="H619" s="52" t="s">
        <v>767</v>
      </c>
    </row>
    <row r="620" spans="1:8" ht="30" customHeight="1" thickBot="1" x14ac:dyDescent="0.3">
      <c r="A620" s="313">
        <f t="shared" si="5"/>
        <v>218</v>
      </c>
      <c r="B620" s="52" t="s">
        <v>319</v>
      </c>
      <c r="C620" s="108" t="s">
        <v>768</v>
      </c>
      <c r="D620" s="109"/>
      <c r="E620" s="110"/>
      <c r="F620" s="78" t="s">
        <v>769</v>
      </c>
      <c r="G620" s="107" t="str">
        <f>+VLOOKUP(218,prueba!$D$2:$E$733,2,FALSE)</f>
        <v xml:space="preserve"> TÉCNICA</v>
      </c>
      <c r="H620" s="52" t="s">
        <v>770</v>
      </c>
    </row>
    <row r="621" spans="1:8" ht="30" customHeight="1" thickBot="1" x14ac:dyDescent="0.3">
      <c r="A621" s="313">
        <f t="shared" si="5"/>
        <v>219</v>
      </c>
      <c r="B621" s="52" t="s">
        <v>319</v>
      </c>
      <c r="C621" s="108" t="s">
        <v>771</v>
      </c>
      <c r="D621" s="109"/>
      <c r="E621" s="110"/>
      <c r="F621" s="78" t="s">
        <v>772</v>
      </c>
      <c r="G621" s="107" t="str">
        <f>+VLOOKUP(219,prueba!$D$2:$E$733,2,FALSE)</f>
        <v xml:space="preserve"> TÉCNICA</v>
      </c>
      <c r="H621" s="52" t="s">
        <v>9244</v>
      </c>
    </row>
    <row r="622" spans="1:8" ht="30" customHeight="1" thickBot="1" x14ac:dyDescent="0.3">
      <c r="A622" s="313">
        <f t="shared" si="5"/>
        <v>220</v>
      </c>
      <c r="B622" s="52" t="s">
        <v>319</v>
      </c>
      <c r="C622" s="108" t="s">
        <v>773</v>
      </c>
      <c r="D622" s="109"/>
      <c r="E622" s="110"/>
      <c r="F622" s="78" t="s">
        <v>772</v>
      </c>
      <c r="G622" s="107" t="str">
        <f>+VLOOKUP(220,prueba!$D$2:$E$733,2,FALSE)</f>
        <v xml:space="preserve"> TÉCNICA</v>
      </c>
      <c r="H622" s="52" t="s">
        <v>9245</v>
      </c>
    </row>
    <row r="623" spans="1:8" ht="30" customHeight="1" thickBot="1" x14ac:dyDescent="0.3">
      <c r="A623" s="313">
        <f t="shared" si="5"/>
        <v>221</v>
      </c>
      <c r="B623" s="52" t="s">
        <v>319</v>
      </c>
      <c r="C623" s="108" t="s">
        <v>774</v>
      </c>
      <c r="D623" s="109"/>
      <c r="E623" s="110"/>
      <c r="F623" s="78" t="s">
        <v>775</v>
      </c>
      <c r="G623" s="107" t="str">
        <f>+VLOOKUP(221,prueba!$D$2:$E$733,2,FALSE)</f>
        <v xml:space="preserve"> TÉCNICA</v>
      </c>
      <c r="H623" s="52" t="s">
        <v>8193</v>
      </c>
    </row>
    <row r="624" spans="1:8" ht="30" customHeight="1" thickBot="1" x14ac:dyDescent="0.3">
      <c r="A624" s="313">
        <f t="shared" si="5"/>
        <v>222</v>
      </c>
      <c r="B624" s="52" t="s">
        <v>319</v>
      </c>
      <c r="C624" s="108" t="s">
        <v>776</v>
      </c>
      <c r="D624" s="109"/>
      <c r="E624" s="110"/>
      <c r="F624" s="78" t="s">
        <v>777</v>
      </c>
      <c r="G624" s="107" t="str">
        <f>+VLOOKUP(222,prueba!$D$2:$E$733,2,FALSE)</f>
        <v>TÉCNICA</v>
      </c>
      <c r="H624" s="52" t="s">
        <v>778</v>
      </c>
    </row>
    <row r="625" spans="1:8" ht="30" customHeight="1" thickBot="1" x14ac:dyDescent="0.3">
      <c r="A625" s="313">
        <f t="shared" si="5"/>
        <v>223</v>
      </c>
      <c r="B625" s="52" t="s">
        <v>319</v>
      </c>
      <c r="C625" s="108" t="s">
        <v>779</v>
      </c>
      <c r="D625" s="109"/>
      <c r="E625" s="110"/>
      <c r="F625" s="78" t="s">
        <v>780</v>
      </c>
      <c r="G625" s="107" t="str">
        <f>+VLOOKUP(223,prueba!$D$2:$E$733,2,FALSE)</f>
        <v xml:space="preserve"> TÉCNICA</v>
      </c>
      <c r="H625" s="52" t="s">
        <v>781</v>
      </c>
    </row>
    <row r="626" spans="1:8" ht="30" customHeight="1" thickBot="1" x14ac:dyDescent="0.3">
      <c r="A626" s="313">
        <f t="shared" si="5"/>
        <v>224</v>
      </c>
      <c r="B626" s="52" t="s">
        <v>319</v>
      </c>
      <c r="C626" s="108" t="s">
        <v>782</v>
      </c>
      <c r="D626" s="109"/>
      <c r="E626" s="110"/>
      <c r="F626" s="78" t="s">
        <v>783</v>
      </c>
      <c r="G626" s="107" t="str">
        <f>+VLOOKUP(224,prueba!$D$2:$E$733,2,FALSE)</f>
        <v xml:space="preserve"> TÉCNICA</v>
      </c>
      <c r="H626" s="52" t="s">
        <v>784</v>
      </c>
    </row>
    <row r="627" spans="1:8" ht="30" customHeight="1" x14ac:dyDescent="0.25">
      <c r="A627" s="76">
        <f t="shared" si="5"/>
        <v>225</v>
      </c>
      <c r="B627" s="50" t="s">
        <v>319</v>
      </c>
      <c r="C627" s="63" t="s">
        <v>785</v>
      </c>
      <c r="D627" s="64"/>
      <c r="E627" s="65"/>
      <c r="F627" s="84" t="s">
        <v>786</v>
      </c>
      <c r="G627" s="84" t="str">
        <f>+VLOOKUP(225,prueba!$D$2:$E$733,2,FALSE)</f>
        <v xml:space="preserve"> TÉCNICA</v>
      </c>
      <c r="H627" s="50" t="s">
        <v>7712</v>
      </c>
    </row>
    <row r="628" spans="1:8" ht="30" customHeight="1" x14ac:dyDescent="0.25">
      <c r="A628" s="312"/>
      <c r="B628" s="86"/>
      <c r="C628" s="53"/>
      <c r="D628" s="54"/>
      <c r="E628" s="55"/>
      <c r="F628" s="85"/>
      <c r="G628" s="85"/>
      <c r="H628" s="86"/>
    </row>
    <row r="629" spans="1:8" ht="30" customHeight="1" x14ac:dyDescent="0.25">
      <c r="A629" s="312"/>
      <c r="B629" s="86"/>
      <c r="C629" s="53" t="s">
        <v>787</v>
      </c>
      <c r="D629" s="54"/>
      <c r="E629" s="55"/>
      <c r="F629" s="85"/>
      <c r="G629" s="85"/>
      <c r="H629" s="86"/>
    </row>
    <row r="630" spans="1:8" ht="30" customHeight="1" x14ac:dyDescent="0.25">
      <c r="A630" s="312"/>
      <c r="B630" s="86"/>
      <c r="C630" s="53"/>
      <c r="D630" s="54"/>
      <c r="E630" s="55"/>
      <c r="F630" s="85"/>
      <c r="G630" s="85"/>
      <c r="H630" s="86"/>
    </row>
    <row r="631" spans="1:8" ht="30" customHeight="1" thickBot="1" x14ac:dyDescent="0.3">
      <c r="A631" s="83"/>
      <c r="B631" s="91"/>
      <c r="C631" s="88" t="s">
        <v>788</v>
      </c>
      <c r="D631" s="89"/>
      <c r="E631" s="90"/>
      <c r="F631" s="77"/>
      <c r="G631" s="77"/>
      <c r="H631" s="91"/>
    </row>
    <row r="632" spans="1:8" ht="30" customHeight="1" x14ac:dyDescent="0.25">
      <c r="A632" s="76">
        <f>+A627+1</f>
        <v>226</v>
      </c>
      <c r="B632" s="50" t="s">
        <v>319</v>
      </c>
      <c r="C632" s="63" t="s">
        <v>789</v>
      </c>
      <c r="D632" s="64"/>
      <c r="E632" s="65"/>
      <c r="F632" s="56" t="s">
        <v>790</v>
      </c>
      <c r="G632" s="84" t="str">
        <f>+VLOOKUP(226,prueba!$D$2:$E$733,2,FALSE)</f>
        <v xml:space="preserve"> TÉCNICA</v>
      </c>
      <c r="H632" s="50" t="s">
        <v>791</v>
      </c>
    </row>
    <row r="633" spans="1:8" ht="30" customHeight="1" x14ac:dyDescent="0.25">
      <c r="A633" s="312"/>
      <c r="B633" s="86"/>
      <c r="C633" s="53"/>
      <c r="D633" s="54"/>
      <c r="E633" s="55"/>
      <c r="F633" s="56" t="s">
        <v>792</v>
      </c>
      <c r="G633" s="85"/>
      <c r="H633" s="86"/>
    </row>
    <row r="634" spans="1:8" ht="30" customHeight="1" thickBot="1" x14ac:dyDescent="0.3">
      <c r="A634" s="83"/>
      <c r="B634" s="91"/>
      <c r="C634" s="88" t="s">
        <v>793</v>
      </c>
      <c r="D634" s="89"/>
      <c r="E634" s="90"/>
      <c r="F634" s="62"/>
      <c r="G634" s="77"/>
      <c r="H634" s="91"/>
    </row>
    <row r="635" spans="1:8" ht="30" customHeight="1" x14ac:dyDescent="0.25">
      <c r="A635" s="76">
        <f>+A632+1</f>
        <v>227</v>
      </c>
      <c r="B635" s="50" t="s">
        <v>319</v>
      </c>
      <c r="C635" s="63" t="s">
        <v>794</v>
      </c>
      <c r="D635" s="64"/>
      <c r="E635" s="65"/>
      <c r="F635" s="84" t="s">
        <v>795</v>
      </c>
      <c r="G635" s="84" t="str">
        <f>+VLOOKUP(227,prueba!$D$2:$E$733,2,FALSE)</f>
        <v xml:space="preserve"> TÉCNICA</v>
      </c>
      <c r="H635" s="50" t="s">
        <v>796</v>
      </c>
    </row>
    <row r="636" spans="1:8" ht="30" customHeight="1" x14ac:dyDescent="0.25">
      <c r="A636" s="312"/>
      <c r="B636" s="86"/>
      <c r="C636" s="53"/>
      <c r="D636" s="54"/>
      <c r="E636" s="55"/>
      <c r="F636" s="85"/>
      <c r="G636" s="85"/>
      <c r="H636" s="86"/>
    </row>
    <row r="637" spans="1:8" ht="30" customHeight="1" x14ac:dyDescent="0.25">
      <c r="A637" s="312"/>
      <c r="B637" s="86"/>
      <c r="C637" s="53" t="s">
        <v>797</v>
      </c>
      <c r="D637" s="54"/>
      <c r="E637" s="55"/>
      <c r="F637" s="85"/>
      <c r="G637" s="85"/>
      <c r="H637" s="86"/>
    </row>
    <row r="638" spans="1:8" ht="30" customHeight="1" x14ac:dyDescent="0.25">
      <c r="A638" s="312"/>
      <c r="B638" s="86"/>
      <c r="C638" s="53"/>
      <c r="D638" s="54"/>
      <c r="E638" s="55"/>
      <c r="F638" s="85"/>
      <c r="G638" s="85"/>
      <c r="H638" s="86"/>
    </row>
    <row r="639" spans="1:8" ht="30" customHeight="1" thickBot="1" x14ac:dyDescent="0.3">
      <c r="A639" s="83"/>
      <c r="B639" s="91"/>
      <c r="C639" s="88" t="s">
        <v>798</v>
      </c>
      <c r="D639" s="89"/>
      <c r="E639" s="90"/>
      <c r="F639" s="77"/>
      <c r="G639" s="77"/>
      <c r="H639" s="91"/>
    </row>
    <row r="640" spans="1:8" ht="30" customHeight="1" x14ac:dyDescent="0.25">
      <c r="A640" s="76">
        <f>+A635+1</f>
        <v>228</v>
      </c>
      <c r="B640" s="50" t="s">
        <v>319</v>
      </c>
      <c r="C640" s="63" t="s">
        <v>799</v>
      </c>
      <c r="D640" s="64"/>
      <c r="E640" s="65"/>
      <c r="F640" s="84" t="s">
        <v>800</v>
      </c>
      <c r="G640" s="84" t="str">
        <f>+VLOOKUP(228,prueba!$D$2:$E$733,2,FALSE)</f>
        <v xml:space="preserve"> TÉCNICA</v>
      </c>
      <c r="H640" s="50" t="s">
        <v>8194</v>
      </c>
    </row>
    <row r="641" spans="1:8" ht="30" customHeight="1" x14ac:dyDescent="0.25">
      <c r="A641" s="312"/>
      <c r="B641" s="86"/>
      <c r="C641" s="53"/>
      <c r="D641" s="54"/>
      <c r="E641" s="55"/>
      <c r="F641" s="85"/>
      <c r="G641" s="85"/>
      <c r="H641" s="86"/>
    </row>
    <row r="642" spans="1:8" ht="30" customHeight="1" x14ac:dyDescent="0.25">
      <c r="A642" s="312"/>
      <c r="B642" s="86"/>
      <c r="C642" s="53" t="s">
        <v>801</v>
      </c>
      <c r="D642" s="54"/>
      <c r="E642" s="55"/>
      <c r="F642" s="85"/>
      <c r="G642" s="85"/>
      <c r="H642" s="86"/>
    </row>
    <row r="643" spans="1:8" ht="30" customHeight="1" x14ac:dyDescent="0.25">
      <c r="A643" s="312"/>
      <c r="B643" s="86"/>
      <c r="C643" s="53"/>
      <c r="D643" s="54"/>
      <c r="E643" s="55"/>
      <c r="F643" s="85"/>
      <c r="G643" s="85"/>
      <c r="H643" s="86"/>
    </row>
    <row r="644" spans="1:8" ht="30" customHeight="1" thickBot="1" x14ac:dyDescent="0.3">
      <c r="A644" s="83"/>
      <c r="B644" s="91"/>
      <c r="C644" s="88" t="s">
        <v>802</v>
      </c>
      <c r="D644" s="89"/>
      <c r="E644" s="90"/>
      <c r="F644" s="77"/>
      <c r="G644" s="77"/>
      <c r="H644" s="91"/>
    </row>
    <row r="645" spans="1:8" ht="30" customHeight="1" x14ac:dyDescent="0.25">
      <c r="A645" s="76">
        <f>+A640+1</f>
        <v>229</v>
      </c>
      <c r="B645" s="50" t="s">
        <v>319</v>
      </c>
      <c r="C645" s="63" t="s">
        <v>803</v>
      </c>
      <c r="D645" s="64"/>
      <c r="E645" s="65"/>
      <c r="F645" s="84" t="s">
        <v>804</v>
      </c>
      <c r="G645" s="84" t="str">
        <f>+VLOOKUP(229,prueba!$D$2:$E$733,2,FALSE)</f>
        <v xml:space="preserve"> TÉCNICA</v>
      </c>
      <c r="H645" s="50" t="s">
        <v>8194</v>
      </c>
    </row>
    <row r="646" spans="1:8" ht="30" customHeight="1" x14ac:dyDescent="0.25">
      <c r="A646" s="312"/>
      <c r="B646" s="86"/>
      <c r="C646" s="53"/>
      <c r="D646" s="54"/>
      <c r="E646" s="55"/>
      <c r="F646" s="85"/>
      <c r="G646" s="85"/>
      <c r="H646" s="86"/>
    </row>
    <row r="647" spans="1:8" ht="30" customHeight="1" x14ac:dyDescent="0.25">
      <c r="A647" s="312"/>
      <c r="B647" s="86"/>
      <c r="C647" s="53" t="s">
        <v>805</v>
      </c>
      <c r="D647" s="54"/>
      <c r="E647" s="55"/>
      <c r="F647" s="85"/>
      <c r="G647" s="85"/>
      <c r="H647" s="86"/>
    </row>
    <row r="648" spans="1:8" ht="30" customHeight="1" x14ac:dyDescent="0.25">
      <c r="A648" s="312"/>
      <c r="B648" s="86"/>
      <c r="C648" s="53"/>
      <c r="D648" s="54"/>
      <c r="E648" s="55"/>
      <c r="F648" s="85"/>
      <c r="G648" s="85"/>
      <c r="H648" s="86"/>
    </row>
    <row r="649" spans="1:8" ht="30" customHeight="1" thickBot="1" x14ac:dyDescent="0.3">
      <c r="A649" s="83"/>
      <c r="B649" s="91"/>
      <c r="C649" s="88" t="s">
        <v>806</v>
      </c>
      <c r="D649" s="89"/>
      <c r="E649" s="90"/>
      <c r="F649" s="77"/>
      <c r="G649" s="77"/>
      <c r="H649" s="91"/>
    </row>
    <row r="650" spans="1:8" ht="30" customHeight="1" thickBot="1" x14ac:dyDescent="0.3">
      <c r="A650" s="313">
        <f>+A645+1</f>
        <v>230</v>
      </c>
      <c r="B650" s="52" t="s">
        <v>319</v>
      </c>
      <c r="C650" s="108" t="s">
        <v>807</v>
      </c>
      <c r="D650" s="109"/>
      <c r="E650" s="110"/>
      <c r="F650" s="78" t="s">
        <v>808</v>
      </c>
      <c r="G650" s="107" t="str">
        <f>+VLOOKUP(230,prueba!$D$2:$E$733,2,FALSE)</f>
        <v xml:space="preserve"> TÉCNICA</v>
      </c>
      <c r="H650" s="52" t="s">
        <v>809</v>
      </c>
    </row>
    <row r="651" spans="1:8" ht="30" customHeight="1" thickBot="1" x14ac:dyDescent="0.3">
      <c r="A651" s="313">
        <f t="shared" ref="A651:A660" si="6">+A650+1</f>
        <v>231</v>
      </c>
      <c r="B651" s="52" t="s">
        <v>319</v>
      </c>
      <c r="C651" s="108" t="s">
        <v>810</v>
      </c>
      <c r="D651" s="109"/>
      <c r="E651" s="110"/>
      <c r="F651" s="78" t="s">
        <v>811</v>
      </c>
      <c r="G651" s="107" t="str">
        <f>+VLOOKUP(231,prueba!$D$2:$E$733,2,FALSE)</f>
        <v xml:space="preserve"> TÉCNICA</v>
      </c>
      <c r="H651" s="52" t="s">
        <v>334</v>
      </c>
    </row>
    <row r="652" spans="1:8" ht="30" customHeight="1" thickBot="1" x14ac:dyDescent="0.3">
      <c r="A652" s="313">
        <f t="shared" si="6"/>
        <v>232</v>
      </c>
      <c r="B652" s="52" t="s">
        <v>319</v>
      </c>
      <c r="C652" s="108" t="s">
        <v>812</v>
      </c>
      <c r="D652" s="109"/>
      <c r="E652" s="110"/>
      <c r="F652" s="78" t="s">
        <v>739</v>
      </c>
      <c r="G652" s="107" t="str">
        <f>+VLOOKUP(232,prueba!$D$2:$E$733,2,FALSE)</f>
        <v xml:space="preserve"> TÉCNICA</v>
      </c>
      <c r="H652" s="52" t="s">
        <v>734</v>
      </c>
    </row>
    <row r="653" spans="1:8" ht="30" customHeight="1" thickBot="1" x14ac:dyDescent="0.3">
      <c r="A653" s="313">
        <f t="shared" si="6"/>
        <v>233</v>
      </c>
      <c r="B653" s="52" t="s">
        <v>319</v>
      </c>
      <c r="C653" s="108" t="s">
        <v>813</v>
      </c>
      <c r="D653" s="109"/>
      <c r="E653" s="110"/>
      <c r="F653" s="78" t="s">
        <v>814</v>
      </c>
      <c r="G653" s="107" t="str">
        <f>+VLOOKUP(233,prueba!$D$2:$E$733,2,FALSE)</f>
        <v>TÉCNICA</v>
      </c>
      <c r="H653" s="52" t="s">
        <v>8195</v>
      </c>
    </row>
    <row r="654" spans="1:8" ht="30" customHeight="1" thickBot="1" x14ac:dyDescent="0.3">
      <c r="A654" s="313">
        <f t="shared" si="6"/>
        <v>234</v>
      </c>
      <c r="B654" s="52" t="s">
        <v>319</v>
      </c>
      <c r="C654" s="108" t="s">
        <v>815</v>
      </c>
      <c r="D654" s="109"/>
      <c r="E654" s="110"/>
      <c r="F654" s="78" t="s">
        <v>816</v>
      </c>
      <c r="G654" s="107" t="str">
        <f>+VLOOKUP(234,prueba!$D$2:$E$733,2,FALSE)</f>
        <v>TÉCNICA</v>
      </c>
      <c r="H654" s="52" t="s">
        <v>334</v>
      </c>
    </row>
    <row r="655" spans="1:8" ht="30" customHeight="1" thickBot="1" x14ac:dyDescent="0.3">
      <c r="A655" s="313">
        <f t="shared" si="6"/>
        <v>235</v>
      </c>
      <c r="B655" s="52" t="s">
        <v>319</v>
      </c>
      <c r="C655" s="108" t="s">
        <v>817</v>
      </c>
      <c r="D655" s="109"/>
      <c r="E655" s="110"/>
      <c r="F655" s="78" t="s">
        <v>742</v>
      </c>
      <c r="G655" s="107" t="str">
        <f>+VLOOKUP(235,prueba!$D$2:$E$733,2,FALSE)</f>
        <v xml:space="preserve"> TÉCNICA</v>
      </c>
      <c r="H655" s="52" t="s">
        <v>334</v>
      </c>
    </row>
    <row r="656" spans="1:8" ht="30" customHeight="1" thickBot="1" x14ac:dyDescent="0.3">
      <c r="A656" s="313">
        <f t="shared" si="6"/>
        <v>236</v>
      </c>
      <c r="B656" s="52" t="s">
        <v>319</v>
      </c>
      <c r="C656" s="108" t="s">
        <v>818</v>
      </c>
      <c r="D656" s="109"/>
      <c r="E656" s="110"/>
      <c r="F656" s="78" t="s">
        <v>819</v>
      </c>
      <c r="G656" s="107" t="str">
        <f>+VLOOKUP(236,prueba!$D$2:$E$733,2,FALSE)</f>
        <v>TÉCNICA</v>
      </c>
      <c r="H656" s="52" t="s">
        <v>820</v>
      </c>
    </row>
    <row r="657" spans="1:8" ht="30" customHeight="1" thickBot="1" x14ac:dyDescent="0.3">
      <c r="A657" s="313">
        <f t="shared" si="6"/>
        <v>237</v>
      </c>
      <c r="B657" s="52" t="s">
        <v>319</v>
      </c>
      <c r="C657" s="108" t="s">
        <v>821</v>
      </c>
      <c r="D657" s="109"/>
      <c r="E657" s="110"/>
      <c r="F657" s="78" t="s">
        <v>822</v>
      </c>
      <c r="G657" s="107" t="str">
        <f>+VLOOKUP(237,prueba!$D$2:$E$733,2,FALSE)</f>
        <v xml:space="preserve"> TÉCNICA</v>
      </c>
      <c r="H657" s="52" t="s">
        <v>7115</v>
      </c>
    </row>
    <row r="658" spans="1:8" ht="30" customHeight="1" thickBot="1" x14ac:dyDescent="0.3">
      <c r="A658" s="313">
        <f t="shared" si="6"/>
        <v>238</v>
      </c>
      <c r="B658" s="52" t="s">
        <v>319</v>
      </c>
      <c r="C658" s="108" t="s">
        <v>823</v>
      </c>
      <c r="D658" s="109"/>
      <c r="E658" s="110"/>
      <c r="F658" s="78" t="s">
        <v>824</v>
      </c>
      <c r="G658" s="107" t="str">
        <f>+VLOOKUP(238,prueba!$D$2:$E$733,2,FALSE)</f>
        <v xml:space="preserve"> TÉCNICA</v>
      </c>
      <c r="H658" s="52" t="s">
        <v>7116</v>
      </c>
    </row>
    <row r="659" spans="1:8" ht="30" customHeight="1" thickBot="1" x14ac:dyDescent="0.3">
      <c r="A659" s="313">
        <f t="shared" si="6"/>
        <v>239</v>
      </c>
      <c r="B659" s="52" t="s">
        <v>319</v>
      </c>
      <c r="C659" s="108" t="s">
        <v>825</v>
      </c>
      <c r="D659" s="109"/>
      <c r="E659" s="110"/>
      <c r="F659" s="78" t="s">
        <v>826</v>
      </c>
      <c r="G659" s="107" t="str">
        <f>+VLOOKUP(239,prueba!$D$2:$E$733,2,FALSE)</f>
        <v xml:space="preserve"> TÉCNICA</v>
      </c>
      <c r="H659" s="52" t="s">
        <v>827</v>
      </c>
    </row>
    <row r="660" spans="1:8" ht="30" customHeight="1" x14ac:dyDescent="0.25">
      <c r="A660" s="76">
        <f t="shared" si="6"/>
        <v>240</v>
      </c>
      <c r="B660" s="50" t="s">
        <v>319</v>
      </c>
      <c r="C660" s="63" t="s">
        <v>828</v>
      </c>
      <c r="D660" s="64"/>
      <c r="E660" s="65"/>
      <c r="F660" s="84" t="s">
        <v>829</v>
      </c>
      <c r="G660" s="84" t="str">
        <f>+VLOOKUP(240,prueba!$D$2:$E$733,2,FALSE)</f>
        <v>TÉCNICA</v>
      </c>
      <c r="H660" s="50" t="s">
        <v>8196</v>
      </c>
    </row>
    <row r="661" spans="1:8" ht="30" customHeight="1" x14ac:dyDescent="0.25">
      <c r="A661" s="312"/>
      <c r="B661" s="86"/>
      <c r="C661" s="53"/>
      <c r="D661" s="54"/>
      <c r="E661" s="55"/>
      <c r="F661" s="85"/>
      <c r="G661" s="85"/>
      <c r="H661" s="86"/>
    </row>
    <row r="662" spans="1:8" ht="30" customHeight="1" thickBot="1" x14ac:dyDescent="0.3">
      <c r="A662" s="83"/>
      <c r="B662" s="91"/>
      <c r="C662" s="88" t="s">
        <v>830</v>
      </c>
      <c r="D662" s="89"/>
      <c r="E662" s="90"/>
      <c r="F662" s="77"/>
      <c r="G662" s="77"/>
      <c r="H662" s="91"/>
    </row>
    <row r="663" spans="1:8" ht="30" customHeight="1" x14ac:dyDescent="0.25">
      <c r="A663" s="76">
        <f>+A660+1</f>
        <v>241</v>
      </c>
      <c r="B663" s="50" t="s">
        <v>319</v>
      </c>
      <c r="C663" s="63" t="s">
        <v>831</v>
      </c>
      <c r="D663" s="64"/>
      <c r="E663" s="65"/>
      <c r="F663" s="84" t="s">
        <v>829</v>
      </c>
      <c r="G663" s="84" t="str">
        <f>+VLOOKUP(241,prueba!$D$2:$E$733,2,FALSE)</f>
        <v>TÉCNICA</v>
      </c>
      <c r="H663" s="50" t="s">
        <v>8197</v>
      </c>
    </row>
    <row r="664" spans="1:8" ht="30" customHeight="1" x14ac:dyDescent="0.25">
      <c r="A664" s="312"/>
      <c r="B664" s="86"/>
      <c r="C664" s="53"/>
      <c r="D664" s="54"/>
      <c r="E664" s="55"/>
      <c r="F664" s="85"/>
      <c r="G664" s="85"/>
      <c r="H664" s="86"/>
    </row>
    <row r="665" spans="1:8" ht="30" customHeight="1" thickBot="1" x14ac:dyDescent="0.3">
      <c r="A665" s="83"/>
      <c r="B665" s="91"/>
      <c r="C665" s="88" t="s">
        <v>832</v>
      </c>
      <c r="D665" s="89"/>
      <c r="E665" s="90"/>
      <c r="F665" s="77"/>
      <c r="G665" s="77"/>
      <c r="H665" s="91"/>
    </row>
    <row r="666" spans="1:8" ht="30" customHeight="1" x14ac:dyDescent="0.25">
      <c r="A666" s="76">
        <f>+A663+1</f>
        <v>242</v>
      </c>
      <c r="B666" s="50" t="s">
        <v>319</v>
      </c>
      <c r="C666" s="63" t="s">
        <v>833</v>
      </c>
      <c r="D666" s="64"/>
      <c r="E666" s="65"/>
      <c r="F666" s="84" t="s">
        <v>829</v>
      </c>
      <c r="G666" s="84" t="str">
        <f>+VLOOKUP(242,prueba!$D$2:$E$733,2,FALSE)</f>
        <v>TÉCNICA</v>
      </c>
      <c r="H666" s="50" t="s">
        <v>8198</v>
      </c>
    </row>
    <row r="667" spans="1:8" ht="30" customHeight="1" x14ac:dyDescent="0.25">
      <c r="A667" s="312"/>
      <c r="B667" s="86"/>
      <c r="C667" s="53"/>
      <c r="D667" s="54"/>
      <c r="E667" s="55"/>
      <c r="F667" s="85"/>
      <c r="G667" s="85"/>
      <c r="H667" s="86"/>
    </row>
    <row r="668" spans="1:8" ht="30" customHeight="1" x14ac:dyDescent="0.25">
      <c r="A668" s="312"/>
      <c r="B668" s="86"/>
      <c r="C668" s="53" t="s">
        <v>834</v>
      </c>
      <c r="D668" s="54"/>
      <c r="E668" s="55"/>
      <c r="F668" s="85"/>
      <c r="G668" s="85"/>
      <c r="H668" s="86"/>
    </row>
    <row r="669" spans="1:8" ht="30" customHeight="1" x14ac:dyDescent="0.25">
      <c r="A669" s="312"/>
      <c r="B669" s="86"/>
      <c r="C669" s="53"/>
      <c r="D669" s="54"/>
      <c r="E669" s="55"/>
      <c r="F669" s="85"/>
      <c r="G669" s="85"/>
      <c r="H669" s="86"/>
    </row>
    <row r="670" spans="1:8" ht="30" customHeight="1" thickBot="1" x14ac:dyDescent="0.3">
      <c r="A670" s="83"/>
      <c r="B670" s="91"/>
      <c r="C670" s="88" t="s">
        <v>835</v>
      </c>
      <c r="D670" s="89"/>
      <c r="E670" s="90"/>
      <c r="F670" s="77"/>
      <c r="G670" s="77"/>
      <c r="H670" s="91"/>
    </row>
    <row r="671" spans="1:8" ht="30" customHeight="1" x14ac:dyDescent="0.25">
      <c r="A671" s="76">
        <f>+A666+1</f>
        <v>243</v>
      </c>
      <c r="B671" s="50" t="s">
        <v>319</v>
      </c>
      <c r="C671" s="63" t="s">
        <v>836</v>
      </c>
      <c r="D671" s="64"/>
      <c r="E671" s="65"/>
      <c r="F671" s="84" t="s">
        <v>829</v>
      </c>
      <c r="G671" s="84" t="str">
        <f>+VLOOKUP(243,prueba!$D$2:$E$733,2,FALSE)</f>
        <v>TÉCNICA</v>
      </c>
      <c r="H671" s="50" t="s">
        <v>8199</v>
      </c>
    </row>
    <row r="672" spans="1:8" ht="30" customHeight="1" x14ac:dyDescent="0.25">
      <c r="A672" s="312"/>
      <c r="B672" s="86"/>
      <c r="C672" s="53"/>
      <c r="D672" s="54"/>
      <c r="E672" s="55"/>
      <c r="F672" s="85"/>
      <c r="G672" s="85"/>
      <c r="H672" s="86"/>
    </row>
    <row r="673" spans="1:8" ht="30" customHeight="1" thickBot="1" x14ac:dyDescent="0.3">
      <c r="A673" s="83"/>
      <c r="B673" s="91"/>
      <c r="C673" s="88" t="s">
        <v>837</v>
      </c>
      <c r="D673" s="89"/>
      <c r="E673" s="90"/>
      <c r="F673" s="77"/>
      <c r="G673" s="77"/>
      <c r="H673" s="91"/>
    </row>
    <row r="674" spans="1:8" ht="30" customHeight="1" thickBot="1" x14ac:dyDescent="0.3">
      <c r="A674" s="313">
        <f>+A671+1</f>
        <v>244</v>
      </c>
      <c r="B674" s="52" t="s">
        <v>319</v>
      </c>
      <c r="C674" s="108" t="s">
        <v>838</v>
      </c>
      <c r="D674" s="109"/>
      <c r="E674" s="110"/>
      <c r="F674" s="78" t="s">
        <v>839</v>
      </c>
      <c r="G674" s="107" t="str">
        <f>+VLOOKUP(244,prueba!$D$2:$E$733,2,FALSE)</f>
        <v>TÉCNICA</v>
      </c>
      <c r="H674" s="52" t="s">
        <v>8200</v>
      </c>
    </row>
    <row r="675" spans="1:8" ht="30" customHeight="1" thickBot="1" x14ac:dyDescent="0.3">
      <c r="A675" s="313">
        <f>+A674+1</f>
        <v>245</v>
      </c>
      <c r="B675" s="52" t="s">
        <v>319</v>
      </c>
      <c r="C675" s="108" t="s">
        <v>840</v>
      </c>
      <c r="D675" s="109"/>
      <c r="E675" s="110"/>
      <c r="F675" s="78" t="s">
        <v>841</v>
      </c>
      <c r="G675" s="107" t="str">
        <f>+VLOOKUP(245,prueba!$D$2:$E$733,2,FALSE)</f>
        <v>TÉCNICA</v>
      </c>
      <c r="H675" s="52" t="s">
        <v>8151</v>
      </c>
    </row>
    <row r="676" spans="1:8" ht="30" customHeight="1" x14ac:dyDescent="0.25">
      <c r="A676" s="76">
        <f>+A675+1</f>
        <v>246</v>
      </c>
      <c r="B676" s="50" t="s">
        <v>319</v>
      </c>
      <c r="C676" s="63" t="s">
        <v>842</v>
      </c>
      <c r="D676" s="64"/>
      <c r="E676" s="65"/>
      <c r="F676" s="84" t="s">
        <v>843</v>
      </c>
      <c r="G676" s="84" t="str">
        <f>+VLOOKUP(246,prueba!$D$2:$E$733,2,FALSE)</f>
        <v>TÉCNICA</v>
      </c>
      <c r="H676" s="50" t="s">
        <v>8201</v>
      </c>
    </row>
    <row r="677" spans="1:8" ht="30" customHeight="1" x14ac:dyDescent="0.25">
      <c r="A677" s="312"/>
      <c r="B677" s="86"/>
      <c r="C677" s="53"/>
      <c r="D677" s="54"/>
      <c r="E677" s="55"/>
      <c r="F677" s="85"/>
      <c r="G677" s="85"/>
      <c r="H677" s="86"/>
    </row>
    <row r="678" spans="1:8" ht="30" customHeight="1" x14ac:dyDescent="0.25">
      <c r="A678" s="312"/>
      <c r="B678" s="86"/>
      <c r="C678" s="53" t="s">
        <v>844</v>
      </c>
      <c r="D678" s="54"/>
      <c r="E678" s="55"/>
      <c r="F678" s="85"/>
      <c r="G678" s="85"/>
      <c r="H678" s="86"/>
    </row>
    <row r="679" spans="1:8" ht="30" customHeight="1" thickBot="1" x14ac:dyDescent="0.3">
      <c r="A679" s="83"/>
      <c r="B679" s="91"/>
      <c r="C679" s="88" t="s">
        <v>845</v>
      </c>
      <c r="D679" s="89"/>
      <c r="E679" s="90"/>
      <c r="F679" s="77"/>
      <c r="G679" s="77"/>
      <c r="H679" s="91"/>
    </row>
    <row r="680" spans="1:8" ht="30" customHeight="1" thickBot="1" x14ac:dyDescent="0.3">
      <c r="A680" s="313">
        <f>+A676+1</f>
        <v>247</v>
      </c>
      <c r="B680" s="52" t="s">
        <v>319</v>
      </c>
      <c r="C680" s="108" t="s">
        <v>846</v>
      </c>
      <c r="D680" s="109"/>
      <c r="E680" s="110"/>
      <c r="F680" s="78" t="s">
        <v>847</v>
      </c>
      <c r="G680" s="107" t="str">
        <f>+VLOOKUP(247,prueba!$D$2:$E$733,2,FALSE)</f>
        <v>TÉCNICA</v>
      </c>
      <c r="H680" s="52" t="s">
        <v>8202</v>
      </c>
    </row>
    <row r="681" spans="1:8" ht="30" customHeight="1" thickBot="1" x14ac:dyDescent="0.3">
      <c r="A681" s="313">
        <f t="shared" ref="A681:A704" si="7">+A680+1</f>
        <v>248</v>
      </c>
      <c r="B681" s="52" t="s">
        <v>319</v>
      </c>
      <c r="C681" s="108" t="s">
        <v>848</v>
      </c>
      <c r="D681" s="109"/>
      <c r="E681" s="110"/>
      <c r="F681" s="78" t="s">
        <v>849</v>
      </c>
      <c r="G681" s="107" t="str">
        <f>+VLOOKUP(248,prueba!$D$2:$E$733,2,FALSE)</f>
        <v>TÉCNICA</v>
      </c>
      <c r="H681" s="52" t="s">
        <v>734</v>
      </c>
    </row>
    <row r="682" spans="1:8" ht="30" customHeight="1" thickBot="1" x14ac:dyDescent="0.3">
      <c r="A682" s="313">
        <f t="shared" si="7"/>
        <v>249</v>
      </c>
      <c r="B682" s="52" t="s">
        <v>319</v>
      </c>
      <c r="C682" s="108" t="s">
        <v>850</v>
      </c>
      <c r="D682" s="109"/>
      <c r="E682" s="110"/>
      <c r="F682" s="78" t="s">
        <v>851</v>
      </c>
      <c r="G682" s="107" t="str">
        <f>+VLOOKUP(249,prueba!$D$2:$E$733,2,FALSE)</f>
        <v>TÉCNICA</v>
      </c>
      <c r="H682" s="52" t="s">
        <v>8203</v>
      </c>
    </row>
    <row r="683" spans="1:8" ht="30" customHeight="1" thickBot="1" x14ac:dyDescent="0.3">
      <c r="A683" s="313">
        <f t="shared" si="7"/>
        <v>250</v>
      </c>
      <c r="B683" s="52" t="s">
        <v>319</v>
      </c>
      <c r="C683" s="108" t="s">
        <v>852</v>
      </c>
      <c r="D683" s="109"/>
      <c r="E683" s="110"/>
      <c r="F683" s="78" t="s">
        <v>853</v>
      </c>
      <c r="G683" s="107" t="str">
        <f>+VLOOKUP(250,prueba!$D$2:$E$733,2,FALSE)</f>
        <v>TÉCNICA</v>
      </c>
      <c r="H683" s="52" t="s">
        <v>8204</v>
      </c>
    </row>
    <row r="684" spans="1:8" ht="30" customHeight="1" thickBot="1" x14ac:dyDescent="0.3">
      <c r="A684" s="313">
        <f t="shared" si="7"/>
        <v>251</v>
      </c>
      <c r="B684" s="52" t="s">
        <v>319</v>
      </c>
      <c r="C684" s="108" t="s">
        <v>854</v>
      </c>
      <c r="D684" s="109"/>
      <c r="E684" s="110"/>
      <c r="F684" s="78" t="s">
        <v>853</v>
      </c>
      <c r="G684" s="107" t="str">
        <f>+VLOOKUP(251,prueba!$D$2:$E$733,2,FALSE)</f>
        <v>TÉCNICA</v>
      </c>
      <c r="H684" s="52" t="s">
        <v>8205</v>
      </c>
    </row>
    <row r="685" spans="1:8" ht="30" customHeight="1" thickBot="1" x14ac:dyDescent="0.3">
      <c r="A685" s="313">
        <f t="shared" si="7"/>
        <v>252</v>
      </c>
      <c r="B685" s="52" t="s">
        <v>319</v>
      </c>
      <c r="C685" s="108" t="s">
        <v>855</v>
      </c>
      <c r="D685" s="109"/>
      <c r="E685" s="110"/>
      <c r="F685" s="78" t="s">
        <v>853</v>
      </c>
      <c r="G685" s="107" t="str">
        <f>+VLOOKUP(252,prueba!$D$2:$E$733,2,FALSE)</f>
        <v>TÉCNICA</v>
      </c>
      <c r="H685" s="52" t="s">
        <v>8206</v>
      </c>
    </row>
    <row r="686" spans="1:8" ht="30" customHeight="1" thickBot="1" x14ac:dyDescent="0.3">
      <c r="A686" s="313">
        <f t="shared" si="7"/>
        <v>253</v>
      </c>
      <c r="B686" s="52" t="s">
        <v>319</v>
      </c>
      <c r="C686" s="108" t="s">
        <v>856</v>
      </c>
      <c r="D686" s="109"/>
      <c r="E686" s="110"/>
      <c r="F686" s="78" t="s">
        <v>847</v>
      </c>
      <c r="G686" s="107" t="str">
        <f>+VLOOKUP(253,prueba!$D$2:$E$733,2,FALSE)</f>
        <v>TÉCNICA</v>
      </c>
      <c r="H686" s="52" t="s">
        <v>8287</v>
      </c>
    </row>
    <row r="687" spans="1:8" ht="30" customHeight="1" thickBot="1" x14ac:dyDescent="0.3">
      <c r="A687" s="313">
        <f t="shared" si="7"/>
        <v>254</v>
      </c>
      <c r="B687" s="52" t="s">
        <v>319</v>
      </c>
      <c r="C687" s="108" t="s">
        <v>857</v>
      </c>
      <c r="D687" s="109"/>
      <c r="E687" s="110"/>
      <c r="F687" s="78" t="s">
        <v>858</v>
      </c>
      <c r="G687" s="107" t="str">
        <f>+VLOOKUP(254,prueba!$D$2:$E$733,2,FALSE)</f>
        <v>TÉCNICA</v>
      </c>
      <c r="H687" s="52" t="s">
        <v>859</v>
      </c>
    </row>
    <row r="688" spans="1:8" ht="30" customHeight="1" thickBot="1" x14ac:dyDescent="0.3">
      <c r="A688" s="313">
        <f t="shared" si="7"/>
        <v>255</v>
      </c>
      <c r="B688" s="52" t="s">
        <v>319</v>
      </c>
      <c r="C688" s="108" t="s">
        <v>860</v>
      </c>
      <c r="D688" s="109"/>
      <c r="E688" s="110"/>
      <c r="F688" s="78" t="s">
        <v>861</v>
      </c>
      <c r="G688" s="107" t="str">
        <f>+VLOOKUP(255,prueba!$D$2:$E$733,2,FALSE)</f>
        <v>TÉCNICA</v>
      </c>
      <c r="H688" s="52" t="s">
        <v>862</v>
      </c>
    </row>
    <row r="689" spans="1:8" ht="30" customHeight="1" thickBot="1" x14ac:dyDescent="0.3">
      <c r="A689" s="313">
        <f t="shared" si="7"/>
        <v>256</v>
      </c>
      <c r="B689" s="52" t="s">
        <v>319</v>
      </c>
      <c r="C689" s="108" t="s">
        <v>863</v>
      </c>
      <c r="D689" s="109"/>
      <c r="E689" s="110"/>
      <c r="F689" s="78" t="s">
        <v>864</v>
      </c>
      <c r="G689" s="107" t="str">
        <f>+VLOOKUP(256,prueba!$D$2:$E$733,2,FALSE)</f>
        <v>TÉCNICA</v>
      </c>
      <c r="H689" s="52" t="s">
        <v>8207</v>
      </c>
    </row>
    <row r="690" spans="1:8" ht="30" customHeight="1" thickBot="1" x14ac:dyDescent="0.3">
      <c r="A690" s="313">
        <f t="shared" si="7"/>
        <v>257</v>
      </c>
      <c r="B690" s="52" t="s">
        <v>319</v>
      </c>
      <c r="C690" s="108" t="s">
        <v>865</v>
      </c>
      <c r="D690" s="109"/>
      <c r="E690" s="110"/>
      <c r="F690" s="78" t="s">
        <v>866</v>
      </c>
      <c r="G690" s="107" t="str">
        <f>+VLOOKUP(257,prueba!$D$2:$E$733,2,FALSE)</f>
        <v>TÉCNICA</v>
      </c>
      <c r="H690" s="52" t="s">
        <v>8208</v>
      </c>
    </row>
    <row r="691" spans="1:8" ht="30" customHeight="1" thickBot="1" x14ac:dyDescent="0.3">
      <c r="A691" s="313">
        <f t="shared" si="7"/>
        <v>258</v>
      </c>
      <c r="B691" s="52" t="s">
        <v>319</v>
      </c>
      <c r="C691" s="108" t="s">
        <v>867</v>
      </c>
      <c r="D691" s="109"/>
      <c r="E691" s="110"/>
      <c r="F691" s="78" t="s">
        <v>868</v>
      </c>
      <c r="G691" s="107" t="str">
        <f>+VLOOKUP(258,prueba!$D$2:$E$733,2,FALSE)</f>
        <v>TÉCNICA</v>
      </c>
      <c r="H691" s="52" t="s">
        <v>8209</v>
      </c>
    </row>
    <row r="692" spans="1:8" ht="30" customHeight="1" thickBot="1" x14ac:dyDescent="0.3">
      <c r="A692" s="313">
        <f t="shared" si="7"/>
        <v>259</v>
      </c>
      <c r="B692" s="52" t="s">
        <v>319</v>
      </c>
      <c r="C692" s="108" t="s">
        <v>869</v>
      </c>
      <c r="D692" s="109"/>
      <c r="E692" s="110"/>
      <c r="F692" s="78" t="s">
        <v>868</v>
      </c>
      <c r="G692" s="107" t="str">
        <f>+VLOOKUP(259,prueba!$D$2:$E$733,2,FALSE)</f>
        <v xml:space="preserve"> TÉCNICA</v>
      </c>
      <c r="H692" s="52" t="s">
        <v>8210</v>
      </c>
    </row>
    <row r="693" spans="1:8" ht="30" customHeight="1" thickBot="1" x14ac:dyDescent="0.3">
      <c r="A693" s="313">
        <f t="shared" si="7"/>
        <v>260</v>
      </c>
      <c r="B693" s="52" t="s">
        <v>319</v>
      </c>
      <c r="C693" s="108" t="s">
        <v>870</v>
      </c>
      <c r="D693" s="109"/>
      <c r="E693" s="110"/>
      <c r="F693" s="78" t="s">
        <v>871</v>
      </c>
      <c r="G693" s="107" t="str">
        <f>+VLOOKUP(260,prueba!$D$2:$E$733,2,FALSE)</f>
        <v xml:space="preserve"> TÉCNICA</v>
      </c>
      <c r="H693" s="52" t="s">
        <v>8211</v>
      </c>
    </row>
    <row r="694" spans="1:8" ht="30" customHeight="1" thickBot="1" x14ac:dyDescent="0.3">
      <c r="A694" s="313">
        <f t="shared" si="7"/>
        <v>261</v>
      </c>
      <c r="B694" s="52" t="s">
        <v>319</v>
      </c>
      <c r="C694" s="108" t="s">
        <v>872</v>
      </c>
      <c r="D694" s="109"/>
      <c r="E694" s="110"/>
      <c r="F694" s="78" t="s">
        <v>873</v>
      </c>
      <c r="G694" s="107" t="str">
        <f>+VLOOKUP(261,prueba!$D$2:$E$733,2,FALSE)</f>
        <v>TÉCNICA</v>
      </c>
      <c r="H694" s="52" t="s">
        <v>874</v>
      </c>
    </row>
    <row r="695" spans="1:8" ht="30" customHeight="1" thickBot="1" x14ac:dyDescent="0.3">
      <c r="A695" s="313">
        <f t="shared" si="7"/>
        <v>262</v>
      </c>
      <c r="B695" s="52" t="s">
        <v>319</v>
      </c>
      <c r="C695" s="108" t="s">
        <v>875</v>
      </c>
      <c r="D695" s="109"/>
      <c r="E695" s="110"/>
      <c r="F695" s="78" t="s">
        <v>876</v>
      </c>
      <c r="G695" s="107" t="str">
        <f>+VLOOKUP(262,prueba!$D$2:$E$733,2,FALSE)</f>
        <v>TÉCNICA</v>
      </c>
      <c r="H695" s="52" t="s">
        <v>877</v>
      </c>
    </row>
    <row r="696" spans="1:8" ht="30" customHeight="1" thickBot="1" x14ac:dyDescent="0.3">
      <c r="A696" s="313">
        <f t="shared" si="7"/>
        <v>263</v>
      </c>
      <c r="B696" s="52" t="s">
        <v>319</v>
      </c>
      <c r="C696" s="108" t="s">
        <v>878</v>
      </c>
      <c r="D696" s="109"/>
      <c r="E696" s="110"/>
      <c r="F696" s="78" t="s">
        <v>879</v>
      </c>
      <c r="G696" s="107" t="str">
        <f>+VLOOKUP(263,prueba!$D$2:$E$733,2,FALSE)</f>
        <v>TÉCNICA</v>
      </c>
      <c r="H696" s="52" t="s">
        <v>8212</v>
      </c>
    </row>
    <row r="697" spans="1:8" ht="30" customHeight="1" thickBot="1" x14ac:dyDescent="0.3">
      <c r="A697" s="313">
        <f t="shared" si="7"/>
        <v>264</v>
      </c>
      <c r="B697" s="52" t="s">
        <v>319</v>
      </c>
      <c r="C697" s="108" t="s">
        <v>880</v>
      </c>
      <c r="D697" s="109"/>
      <c r="E697" s="110"/>
      <c r="F697" s="78" t="s">
        <v>881</v>
      </c>
      <c r="G697" s="107" t="str">
        <f>+VLOOKUP(264,prueba!$D$2:$E$733,2,FALSE)</f>
        <v>TÉCNICA</v>
      </c>
      <c r="H697" s="52" t="s">
        <v>8213</v>
      </c>
    </row>
    <row r="698" spans="1:8" ht="30" customHeight="1" thickBot="1" x14ac:dyDescent="0.3">
      <c r="A698" s="313">
        <f t="shared" si="7"/>
        <v>265</v>
      </c>
      <c r="B698" s="52" t="s">
        <v>319</v>
      </c>
      <c r="C698" s="108" t="s">
        <v>882</v>
      </c>
      <c r="D698" s="109"/>
      <c r="E698" s="110"/>
      <c r="F698" s="78" t="s">
        <v>883</v>
      </c>
      <c r="G698" s="107" t="str">
        <f>+VLOOKUP(265,prueba!$D$2:$E$733,2,FALSE)</f>
        <v>TÉCNICA</v>
      </c>
      <c r="H698" s="52" t="s">
        <v>8288</v>
      </c>
    </row>
    <row r="699" spans="1:8" ht="30" customHeight="1" thickBot="1" x14ac:dyDescent="0.3">
      <c r="A699" s="313">
        <f t="shared" si="7"/>
        <v>266</v>
      </c>
      <c r="B699" s="52" t="s">
        <v>319</v>
      </c>
      <c r="C699" s="108" t="s">
        <v>884</v>
      </c>
      <c r="D699" s="109"/>
      <c r="E699" s="110"/>
      <c r="F699" s="78" t="s">
        <v>885</v>
      </c>
      <c r="G699" s="107" t="str">
        <f>+VLOOKUP(266,prueba!$D$2:$E$733,2,FALSE)</f>
        <v xml:space="preserve"> TÉCNICA</v>
      </c>
      <c r="H699" s="52" t="s">
        <v>8214</v>
      </c>
    </row>
    <row r="700" spans="1:8" ht="30" customHeight="1" thickBot="1" x14ac:dyDescent="0.3">
      <c r="A700" s="313">
        <f t="shared" si="7"/>
        <v>267</v>
      </c>
      <c r="B700" s="52" t="s">
        <v>319</v>
      </c>
      <c r="C700" s="108" t="s">
        <v>886</v>
      </c>
      <c r="D700" s="109"/>
      <c r="E700" s="110"/>
      <c r="F700" s="78" t="s">
        <v>887</v>
      </c>
      <c r="G700" s="107" t="str">
        <f>+VLOOKUP(267,prueba!$D$2:$E$733,2,FALSE)</f>
        <v>TÉCNICA</v>
      </c>
      <c r="H700" s="52" t="s">
        <v>7117</v>
      </c>
    </row>
    <row r="701" spans="1:8" ht="111" customHeight="1" thickBot="1" x14ac:dyDescent="0.3">
      <c r="A701" s="313">
        <f t="shared" si="7"/>
        <v>268</v>
      </c>
      <c r="B701" s="52" t="s">
        <v>319</v>
      </c>
      <c r="C701" s="108" t="s">
        <v>888</v>
      </c>
      <c r="D701" s="109"/>
      <c r="E701" s="110"/>
      <c r="F701" s="78" t="s">
        <v>889</v>
      </c>
      <c r="G701" s="107" t="str">
        <f>+VLOOKUP(268,prueba!$D$2:$E$733,2,FALSE)</f>
        <v>AMBIENTAL TÉCNICA</v>
      </c>
      <c r="H701" s="52" t="s">
        <v>890</v>
      </c>
    </row>
    <row r="702" spans="1:8" ht="30" customHeight="1" thickBot="1" x14ac:dyDescent="0.3">
      <c r="A702" s="313">
        <f t="shared" si="7"/>
        <v>269</v>
      </c>
      <c r="B702" s="52" t="s">
        <v>319</v>
      </c>
      <c r="C702" s="108" t="s">
        <v>891</v>
      </c>
      <c r="D702" s="109"/>
      <c r="E702" s="110"/>
      <c r="F702" s="78" t="s">
        <v>892</v>
      </c>
      <c r="G702" s="107" t="str">
        <f>+VLOOKUP(269,prueba!$D$2:$E$733,2,FALSE)</f>
        <v>TÉCNICA AMBIENTAL</v>
      </c>
      <c r="H702" s="52" t="s">
        <v>893</v>
      </c>
    </row>
    <row r="703" spans="1:8" ht="30" customHeight="1" thickBot="1" x14ac:dyDescent="0.3">
      <c r="A703" s="313">
        <f t="shared" si="7"/>
        <v>270</v>
      </c>
      <c r="B703" s="52" t="s">
        <v>319</v>
      </c>
      <c r="C703" s="108" t="s">
        <v>894</v>
      </c>
      <c r="D703" s="109"/>
      <c r="E703" s="110"/>
      <c r="F703" s="78" t="s">
        <v>895</v>
      </c>
      <c r="G703" s="107" t="str">
        <f>+VLOOKUP(270,prueba!$D$2:$E$733,2,FALSE)</f>
        <v xml:space="preserve">TÉCNICA </v>
      </c>
      <c r="H703" s="52" t="s">
        <v>896</v>
      </c>
    </row>
    <row r="704" spans="1:8" ht="30" customHeight="1" x14ac:dyDescent="0.25">
      <c r="A704" s="76">
        <f t="shared" si="7"/>
        <v>271</v>
      </c>
      <c r="B704" s="50" t="s">
        <v>319</v>
      </c>
      <c r="C704" s="63" t="s">
        <v>897</v>
      </c>
      <c r="D704" s="64"/>
      <c r="E704" s="65"/>
      <c r="F704" s="84" t="s">
        <v>898</v>
      </c>
      <c r="G704" s="84" t="str">
        <f>+VLOOKUP(271,prueba!$D$2:$E$733,2,FALSE)</f>
        <v xml:space="preserve"> TÉCNICA AMBIENTAL</v>
      </c>
      <c r="H704" s="50" t="s">
        <v>899</v>
      </c>
    </row>
    <row r="705" spans="1:8" ht="30" customHeight="1" x14ac:dyDescent="0.25">
      <c r="A705" s="312"/>
      <c r="B705" s="86"/>
      <c r="C705" s="53"/>
      <c r="D705" s="54"/>
      <c r="E705" s="55"/>
      <c r="F705" s="85"/>
      <c r="G705" s="85"/>
      <c r="H705" s="86"/>
    </row>
    <row r="706" spans="1:8" ht="30" customHeight="1" thickBot="1" x14ac:dyDescent="0.3">
      <c r="A706" s="83"/>
      <c r="B706" s="91"/>
      <c r="C706" s="88" t="s">
        <v>900</v>
      </c>
      <c r="D706" s="89"/>
      <c r="E706" s="90"/>
      <c r="F706" s="77"/>
      <c r="G706" s="77"/>
      <c r="H706" s="91"/>
    </row>
    <row r="707" spans="1:8" ht="30" customHeight="1" thickBot="1" x14ac:dyDescent="0.3">
      <c r="A707" s="313">
        <f>+A704+1</f>
        <v>272</v>
      </c>
      <c r="B707" s="52" t="s">
        <v>319</v>
      </c>
      <c r="C707" s="108" t="s">
        <v>901</v>
      </c>
      <c r="D707" s="109"/>
      <c r="E707" s="110"/>
      <c r="F707" s="78" t="s">
        <v>902</v>
      </c>
      <c r="G707" s="107" t="str">
        <f>+VLOOKUP(272,prueba!$D$2:$E$733,2,FALSE)</f>
        <v>FINANCIERA SEGUROS</v>
      </c>
      <c r="H707" s="52" t="s">
        <v>8308</v>
      </c>
    </row>
    <row r="708" spans="1:8" ht="30" customHeight="1" thickBot="1" x14ac:dyDescent="0.3">
      <c r="A708" s="313">
        <f t="shared" ref="A708:A714" si="8">+A707+1</f>
        <v>273</v>
      </c>
      <c r="B708" s="52" t="s">
        <v>319</v>
      </c>
      <c r="C708" s="108" t="s">
        <v>903</v>
      </c>
      <c r="D708" s="109"/>
      <c r="E708" s="110"/>
      <c r="F708" s="78" t="s">
        <v>904</v>
      </c>
      <c r="G708" s="107" t="str">
        <f>+VLOOKUP(273,prueba!$D$2:$E$733,2,FALSE)</f>
        <v>FINANCIERA SEGUROS</v>
      </c>
      <c r="H708" s="52" t="s">
        <v>8309</v>
      </c>
    </row>
    <row r="709" spans="1:8" ht="30" customHeight="1" thickBot="1" x14ac:dyDescent="0.3">
      <c r="A709" s="313">
        <f t="shared" si="8"/>
        <v>274</v>
      </c>
      <c r="B709" s="52" t="s">
        <v>319</v>
      </c>
      <c r="C709" s="108" t="s">
        <v>905</v>
      </c>
      <c r="D709" s="109"/>
      <c r="E709" s="110"/>
      <c r="F709" s="78" t="s">
        <v>906</v>
      </c>
      <c r="G709" s="107" t="str">
        <f>+VLOOKUP(274,prueba!$D$2:$E$733,2,FALSE)</f>
        <v>FINANCIERA SEGUROS</v>
      </c>
      <c r="H709" s="52" t="s">
        <v>8310</v>
      </c>
    </row>
    <row r="710" spans="1:8" ht="30" customHeight="1" thickBot="1" x14ac:dyDescent="0.3">
      <c r="A710" s="313">
        <f t="shared" si="8"/>
        <v>275</v>
      </c>
      <c r="B710" s="52" t="s">
        <v>319</v>
      </c>
      <c r="C710" s="108" t="s">
        <v>905</v>
      </c>
      <c r="D710" s="109"/>
      <c r="E710" s="110"/>
      <c r="F710" s="78" t="s">
        <v>907</v>
      </c>
      <c r="G710" s="107" t="str">
        <f>+VLOOKUP(275,prueba!$D$2:$E$733,2,FALSE)</f>
        <v>FINANCIERA SEGUROS</v>
      </c>
      <c r="H710" s="52" t="s">
        <v>8311</v>
      </c>
    </row>
    <row r="711" spans="1:8" ht="30" customHeight="1" thickBot="1" x14ac:dyDescent="0.3">
      <c r="A711" s="313">
        <f t="shared" si="8"/>
        <v>276</v>
      </c>
      <c r="B711" s="52" t="s">
        <v>319</v>
      </c>
      <c r="C711" s="108" t="s">
        <v>908</v>
      </c>
      <c r="D711" s="109"/>
      <c r="E711" s="110"/>
      <c r="F711" s="78" t="s">
        <v>909</v>
      </c>
      <c r="G711" s="107" t="str">
        <f>+VLOOKUP(276,prueba!$D$2:$E$733,2,FALSE)</f>
        <v>FINANCIERA SEGUROS</v>
      </c>
      <c r="H711" s="52" t="s">
        <v>8311</v>
      </c>
    </row>
    <row r="712" spans="1:8" ht="30" customHeight="1" thickBot="1" x14ac:dyDescent="0.3">
      <c r="A712" s="313">
        <f t="shared" si="8"/>
        <v>277</v>
      </c>
      <c r="B712" s="52" t="s">
        <v>319</v>
      </c>
      <c r="C712" s="108" t="s">
        <v>910</v>
      </c>
      <c r="D712" s="109"/>
      <c r="E712" s="110"/>
      <c r="F712" s="78" t="s">
        <v>911</v>
      </c>
      <c r="G712" s="107" t="str">
        <f>+VLOOKUP(277,prueba!$D$2:$E$733,2,FALSE)</f>
        <v>FINANCIERA SEGUROS</v>
      </c>
      <c r="H712" s="52" t="s">
        <v>8312</v>
      </c>
    </row>
    <row r="713" spans="1:8" ht="30" customHeight="1" thickBot="1" x14ac:dyDescent="0.3">
      <c r="A713" s="313">
        <f t="shared" si="8"/>
        <v>278</v>
      </c>
      <c r="B713" s="52" t="s">
        <v>319</v>
      </c>
      <c r="C713" s="108" t="s">
        <v>901</v>
      </c>
      <c r="D713" s="109"/>
      <c r="E713" s="110"/>
      <c r="F713" s="78" t="s">
        <v>902</v>
      </c>
      <c r="G713" s="107" t="str">
        <f>+VLOOKUP(278,prueba!$D$2:$E$733,2,FALSE)</f>
        <v>FINANCIERA SEGUROS</v>
      </c>
      <c r="H713" s="52" t="s">
        <v>8313</v>
      </c>
    </row>
    <row r="714" spans="1:8" ht="30" customHeight="1" x14ac:dyDescent="0.25">
      <c r="A714" s="76">
        <f t="shared" si="8"/>
        <v>279</v>
      </c>
      <c r="B714" s="50" t="s">
        <v>912</v>
      </c>
      <c r="C714" s="63" t="s">
        <v>913</v>
      </c>
      <c r="D714" s="64"/>
      <c r="E714" s="65"/>
      <c r="F714" s="84" t="s">
        <v>914</v>
      </c>
      <c r="G714" s="84" t="str">
        <f>+VLOOKUP(279,prueba!$D$2:$E$733,2,FALSE)</f>
        <v>JURÍDICA – CONTRATACIÓN</v>
      </c>
      <c r="H714" s="50" t="s">
        <v>349</v>
      </c>
    </row>
    <row r="715" spans="1:8" ht="30" customHeight="1" thickBot="1" x14ac:dyDescent="0.3">
      <c r="A715" s="83"/>
      <c r="B715" s="91"/>
      <c r="C715" s="88" t="s">
        <v>915</v>
      </c>
      <c r="D715" s="89"/>
      <c r="E715" s="90"/>
      <c r="F715" s="77"/>
      <c r="G715" s="77"/>
      <c r="H715" s="91"/>
    </row>
    <row r="716" spans="1:8" ht="30" customHeight="1" x14ac:dyDescent="0.25">
      <c r="A716" s="76">
        <f>+A714+1</f>
        <v>280</v>
      </c>
      <c r="B716" s="50" t="s">
        <v>912</v>
      </c>
      <c r="C716" s="63"/>
      <c r="D716" s="64"/>
      <c r="E716" s="65"/>
      <c r="F716" s="84" t="s">
        <v>914</v>
      </c>
      <c r="G716" s="84" t="str">
        <f>+VLOOKUP(280,prueba!$D$2:$E$733,2,FALSE)</f>
        <v>JURÍDICA -CONTRATACIÓN</v>
      </c>
      <c r="H716" s="50" t="s">
        <v>349</v>
      </c>
    </row>
    <row r="717" spans="1:8" ht="30" customHeight="1" x14ac:dyDescent="0.25">
      <c r="A717" s="312"/>
      <c r="B717" s="86"/>
      <c r="C717" s="53" t="s">
        <v>916</v>
      </c>
      <c r="D717" s="54"/>
      <c r="E717" s="55"/>
      <c r="F717" s="85"/>
      <c r="G717" s="85"/>
      <c r="H717" s="86"/>
    </row>
    <row r="718" spans="1:8" ht="30" customHeight="1" x14ac:dyDescent="0.25">
      <c r="A718" s="312"/>
      <c r="B718" s="86"/>
      <c r="C718" s="53"/>
      <c r="D718" s="54"/>
      <c r="E718" s="55"/>
      <c r="F718" s="85"/>
      <c r="G718" s="85"/>
      <c r="H718" s="86"/>
    </row>
    <row r="719" spans="1:8" ht="30" customHeight="1" thickBot="1" x14ac:dyDescent="0.3">
      <c r="A719" s="83"/>
      <c r="B719" s="91"/>
      <c r="C719" s="88" t="s">
        <v>917</v>
      </c>
      <c r="D719" s="89"/>
      <c r="E719" s="90"/>
      <c r="F719" s="77"/>
      <c r="G719" s="77"/>
      <c r="H719" s="91"/>
    </row>
    <row r="720" spans="1:8" ht="30" customHeight="1" thickBot="1" x14ac:dyDescent="0.3">
      <c r="A720" s="313">
        <f>+A716+1</f>
        <v>281</v>
      </c>
      <c r="B720" s="52" t="s">
        <v>912</v>
      </c>
      <c r="C720" s="108" t="s">
        <v>918</v>
      </c>
      <c r="D720" s="109"/>
      <c r="E720" s="110"/>
      <c r="F720" s="78" t="s">
        <v>919</v>
      </c>
      <c r="G720" s="107" t="str">
        <f>+VLOOKUP(281,prueba!$D$2:$E$733,2,FALSE)</f>
        <v xml:space="preserve">JURIDICA CONTRATACION </v>
      </c>
      <c r="H720" s="52" t="s">
        <v>57</v>
      </c>
    </row>
    <row r="721" spans="1:8" ht="30" customHeight="1" x14ac:dyDescent="0.25">
      <c r="A721" s="76">
        <f>+A720+1</f>
        <v>282</v>
      </c>
      <c r="B721" s="50" t="s">
        <v>912</v>
      </c>
      <c r="C721" s="63" t="s">
        <v>920</v>
      </c>
      <c r="D721" s="64"/>
      <c r="E721" s="65"/>
      <c r="F721" s="84" t="s">
        <v>921</v>
      </c>
      <c r="G721" s="84" t="str">
        <f>+VLOOKUP(282,prueba!$D$2:$E$733,2,FALSE)</f>
        <v>JURÍDICA - ESTRUCTURACIÓN</v>
      </c>
      <c r="H721" s="50" t="s">
        <v>9233</v>
      </c>
    </row>
    <row r="722" spans="1:8" ht="30" customHeight="1" x14ac:dyDescent="0.25">
      <c r="A722" s="312"/>
      <c r="B722" s="86"/>
      <c r="C722" s="53" t="s">
        <v>922</v>
      </c>
      <c r="D722" s="54"/>
      <c r="E722" s="55"/>
      <c r="F722" s="85"/>
      <c r="G722" s="85"/>
      <c r="H722" s="86"/>
    </row>
    <row r="723" spans="1:8" ht="30" customHeight="1" x14ac:dyDescent="0.25">
      <c r="A723" s="312"/>
      <c r="B723" s="86"/>
      <c r="C723" s="53"/>
      <c r="D723" s="54"/>
      <c r="E723" s="55"/>
      <c r="F723" s="85"/>
      <c r="G723" s="85"/>
      <c r="H723" s="86"/>
    </row>
    <row r="724" spans="1:8" ht="30" customHeight="1" x14ac:dyDescent="0.25">
      <c r="A724" s="312"/>
      <c r="B724" s="86"/>
      <c r="C724" s="53" t="s">
        <v>923</v>
      </c>
      <c r="D724" s="54"/>
      <c r="E724" s="55"/>
      <c r="F724" s="85"/>
      <c r="G724" s="85"/>
      <c r="H724" s="86"/>
    </row>
    <row r="725" spans="1:8" ht="30" customHeight="1" x14ac:dyDescent="0.25">
      <c r="A725" s="312"/>
      <c r="B725" s="86"/>
      <c r="C725" s="53" t="s">
        <v>924</v>
      </c>
      <c r="D725" s="54"/>
      <c r="E725" s="55"/>
      <c r="F725" s="85"/>
      <c r="G725" s="85"/>
      <c r="H725" s="86"/>
    </row>
    <row r="726" spans="1:8" ht="30" customHeight="1" x14ac:dyDescent="0.25">
      <c r="A726" s="312"/>
      <c r="B726" s="86"/>
      <c r="C726" s="53" t="s">
        <v>925</v>
      </c>
      <c r="D726" s="54"/>
      <c r="E726" s="55"/>
      <c r="F726" s="85"/>
      <c r="G726" s="85"/>
      <c r="H726" s="86"/>
    </row>
    <row r="727" spans="1:8" ht="30" customHeight="1" x14ac:dyDescent="0.25">
      <c r="A727" s="312"/>
      <c r="B727" s="86"/>
      <c r="C727" s="53" t="s">
        <v>926</v>
      </c>
      <c r="D727" s="54"/>
      <c r="E727" s="55"/>
      <c r="F727" s="85"/>
      <c r="G727" s="85"/>
      <c r="H727" s="86"/>
    </row>
    <row r="728" spans="1:8" ht="30" customHeight="1" x14ac:dyDescent="0.25">
      <c r="A728" s="312"/>
      <c r="B728" s="86"/>
      <c r="C728" s="53" t="s">
        <v>927</v>
      </c>
      <c r="D728" s="54"/>
      <c r="E728" s="55"/>
      <c r="F728" s="85"/>
      <c r="G728" s="85"/>
      <c r="H728" s="86"/>
    </row>
    <row r="729" spans="1:8" ht="30" customHeight="1" x14ac:dyDescent="0.25">
      <c r="A729" s="312"/>
      <c r="B729" s="86"/>
      <c r="C729" s="53" t="s">
        <v>928</v>
      </c>
      <c r="D729" s="54"/>
      <c r="E729" s="55"/>
      <c r="F729" s="85"/>
      <c r="G729" s="85"/>
      <c r="H729" s="86"/>
    </row>
    <row r="730" spans="1:8" ht="30" customHeight="1" x14ac:dyDescent="0.25">
      <c r="A730" s="312"/>
      <c r="B730" s="86"/>
      <c r="C730" s="53" t="s">
        <v>929</v>
      </c>
      <c r="D730" s="54"/>
      <c r="E730" s="55"/>
      <c r="F730" s="85"/>
      <c r="G730" s="85"/>
      <c r="H730" s="86"/>
    </row>
    <row r="731" spans="1:8" ht="30" customHeight="1" x14ac:dyDescent="0.25">
      <c r="A731" s="312"/>
      <c r="B731" s="86"/>
      <c r="C731" s="53" t="s">
        <v>930</v>
      </c>
      <c r="D731" s="54"/>
      <c r="E731" s="55"/>
      <c r="F731" s="85"/>
      <c r="G731" s="85"/>
      <c r="H731" s="86"/>
    </row>
    <row r="732" spans="1:8" ht="30" customHeight="1" x14ac:dyDescent="0.25">
      <c r="A732" s="312"/>
      <c r="B732" s="86"/>
      <c r="C732" s="53" t="s">
        <v>931</v>
      </c>
      <c r="D732" s="54"/>
      <c r="E732" s="55"/>
      <c r="F732" s="85"/>
      <c r="G732" s="85"/>
      <c r="H732" s="86"/>
    </row>
    <row r="733" spans="1:8" ht="30" customHeight="1" x14ac:dyDescent="0.25">
      <c r="A733" s="312"/>
      <c r="B733" s="86"/>
      <c r="C733" s="53" t="s">
        <v>932</v>
      </c>
      <c r="D733" s="54"/>
      <c r="E733" s="55"/>
      <c r="F733" s="85"/>
      <c r="G733" s="85"/>
      <c r="H733" s="86"/>
    </row>
    <row r="734" spans="1:8" ht="30" customHeight="1" x14ac:dyDescent="0.25">
      <c r="A734" s="312"/>
      <c r="B734" s="86"/>
      <c r="C734" s="53" t="s">
        <v>933</v>
      </c>
      <c r="D734" s="54"/>
      <c r="E734" s="55"/>
      <c r="F734" s="85"/>
      <c r="G734" s="85"/>
      <c r="H734" s="86"/>
    </row>
    <row r="735" spans="1:8" ht="30" customHeight="1" x14ac:dyDescent="0.25">
      <c r="A735" s="312"/>
      <c r="B735" s="86"/>
      <c r="C735" s="53" t="s">
        <v>934</v>
      </c>
      <c r="D735" s="54"/>
      <c r="E735" s="55"/>
      <c r="F735" s="85"/>
      <c r="G735" s="85"/>
      <c r="H735" s="86"/>
    </row>
    <row r="736" spans="1:8" ht="30" customHeight="1" x14ac:dyDescent="0.25">
      <c r="A736" s="312"/>
      <c r="B736" s="86"/>
      <c r="C736" s="53" t="s">
        <v>935</v>
      </c>
      <c r="D736" s="54"/>
      <c r="E736" s="55"/>
      <c r="F736" s="85"/>
      <c r="G736" s="85"/>
      <c r="H736" s="86"/>
    </row>
    <row r="737" spans="1:8" ht="30" customHeight="1" x14ac:dyDescent="0.25">
      <c r="A737" s="312"/>
      <c r="B737" s="86"/>
      <c r="C737" s="53" t="s">
        <v>936</v>
      </c>
      <c r="D737" s="54"/>
      <c r="E737" s="55"/>
      <c r="F737" s="85"/>
      <c r="G737" s="85"/>
      <c r="H737" s="86"/>
    </row>
    <row r="738" spans="1:8" ht="30" customHeight="1" x14ac:dyDescent="0.25">
      <c r="A738" s="312"/>
      <c r="B738" s="86"/>
      <c r="C738" s="53" t="s">
        <v>937</v>
      </c>
      <c r="D738" s="54"/>
      <c r="E738" s="55"/>
      <c r="F738" s="85"/>
      <c r="G738" s="85"/>
      <c r="H738" s="86"/>
    </row>
    <row r="739" spans="1:8" ht="30" customHeight="1" x14ac:dyDescent="0.25">
      <c r="A739" s="312"/>
      <c r="B739" s="86"/>
      <c r="C739" s="53" t="s">
        <v>938</v>
      </c>
      <c r="D739" s="54"/>
      <c r="E739" s="55"/>
      <c r="F739" s="85"/>
      <c r="G739" s="85"/>
      <c r="H739" s="86"/>
    </row>
    <row r="740" spans="1:8" ht="30" customHeight="1" thickBot="1" x14ac:dyDescent="0.3">
      <c r="A740" s="83"/>
      <c r="B740" s="91"/>
      <c r="C740" s="88" t="s">
        <v>939</v>
      </c>
      <c r="D740" s="89"/>
      <c r="E740" s="90"/>
      <c r="F740" s="77"/>
      <c r="G740" s="77"/>
      <c r="H740" s="91"/>
    </row>
    <row r="741" spans="1:8" ht="30" customHeight="1" x14ac:dyDescent="0.25">
      <c r="A741" s="76">
        <f>+A721+1</f>
        <v>283</v>
      </c>
      <c r="B741" s="50" t="s">
        <v>912</v>
      </c>
      <c r="C741" s="63" t="s">
        <v>940</v>
      </c>
      <c r="D741" s="64"/>
      <c r="E741" s="65"/>
      <c r="F741" s="84" t="s">
        <v>941</v>
      </c>
      <c r="G741" s="84" t="str">
        <f>+VLOOKUP(283,prueba!$D$2:$E$733,2,FALSE)</f>
        <v>JURÍDICA PREDIAL</v>
      </c>
      <c r="H741" s="50" t="s">
        <v>10275</v>
      </c>
    </row>
    <row r="742" spans="1:8" ht="30" customHeight="1" thickBot="1" x14ac:dyDescent="0.3">
      <c r="A742" s="83"/>
      <c r="B742" s="91"/>
      <c r="C742" s="88" t="s">
        <v>942</v>
      </c>
      <c r="D742" s="89"/>
      <c r="E742" s="90"/>
      <c r="F742" s="77"/>
      <c r="G742" s="77"/>
      <c r="H742" s="91"/>
    </row>
    <row r="743" spans="1:8" ht="69.75" customHeight="1" thickBot="1" x14ac:dyDescent="0.3">
      <c r="A743" s="313">
        <f>+A741+1</f>
        <v>284</v>
      </c>
      <c r="B743" s="52" t="s">
        <v>912</v>
      </c>
      <c r="C743" s="108" t="s">
        <v>943</v>
      </c>
      <c r="D743" s="109"/>
      <c r="E743" s="110"/>
      <c r="F743" s="78" t="s">
        <v>944</v>
      </c>
      <c r="G743" s="107" t="str">
        <f>+VLOOKUP(284,prueba!$D$2:$E$733,2,FALSE)</f>
        <v>JURÍDICA – ESTRUCTURACIÓN</v>
      </c>
      <c r="H743" s="52" t="s">
        <v>945</v>
      </c>
    </row>
    <row r="744" spans="1:8" ht="30" customHeight="1" thickBot="1" x14ac:dyDescent="0.3">
      <c r="A744" s="313">
        <f>+A743+1</f>
        <v>285</v>
      </c>
      <c r="B744" s="52" t="s">
        <v>912</v>
      </c>
      <c r="C744" s="108" t="s">
        <v>946</v>
      </c>
      <c r="D744" s="109"/>
      <c r="E744" s="110"/>
      <c r="F744" s="78" t="s">
        <v>947</v>
      </c>
      <c r="G744" s="107" t="str">
        <f>+VLOOKUP(285,prueba!$D$2:$E$733,2,FALSE)</f>
        <v>JURIDICA – ESRUCTURACIÓN</v>
      </c>
      <c r="H744" s="52" t="s">
        <v>948</v>
      </c>
    </row>
    <row r="745" spans="1:8" ht="30" customHeight="1" thickBot="1" x14ac:dyDescent="0.3">
      <c r="A745" s="313">
        <f>+A744+1</f>
        <v>286</v>
      </c>
      <c r="B745" s="52" t="s">
        <v>912</v>
      </c>
      <c r="C745" s="108" t="s">
        <v>949</v>
      </c>
      <c r="D745" s="109"/>
      <c r="E745" s="110"/>
      <c r="F745" s="78" t="s">
        <v>950</v>
      </c>
      <c r="G745" s="107" t="str">
        <f>+VLOOKUP(286,prueba!$D$2:$E$733,2,FALSE)</f>
        <v>JURÍDICA – DEFENSA JUDICIAL</v>
      </c>
      <c r="H745" s="52" t="s">
        <v>7980</v>
      </c>
    </row>
    <row r="746" spans="1:8" ht="30" customHeight="1" thickBot="1" x14ac:dyDescent="0.3">
      <c r="A746" s="313">
        <f>+A745+1</f>
        <v>287</v>
      </c>
      <c r="B746" s="52" t="s">
        <v>912</v>
      </c>
      <c r="C746" s="108" t="s">
        <v>951</v>
      </c>
      <c r="D746" s="109"/>
      <c r="E746" s="110"/>
      <c r="F746" s="78" t="s">
        <v>952</v>
      </c>
      <c r="G746" s="107" t="str">
        <f>+VLOOKUP(287,prueba!$D$2:$E$733,2,FALSE)</f>
        <v>TÉCNICA</v>
      </c>
      <c r="H746" s="52" t="s">
        <v>9087</v>
      </c>
    </row>
    <row r="747" spans="1:8" ht="30" customHeight="1" thickBot="1" x14ac:dyDescent="0.3">
      <c r="A747" s="313">
        <f>+A746+1</f>
        <v>288</v>
      </c>
      <c r="B747" s="52" t="s">
        <v>912</v>
      </c>
      <c r="C747" s="108" t="s">
        <v>953</v>
      </c>
      <c r="D747" s="109"/>
      <c r="E747" s="110"/>
      <c r="F747" s="78" t="s">
        <v>954</v>
      </c>
      <c r="G747" s="107" t="str">
        <f>+VLOOKUP(288,prueba!$D$2:$E$733,2,FALSE)</f>
        <v>TÉCNICA</v>
      </c>
      <c r="H747" s="52" t="s">
        <v>955</v>
      </c>
    </row>
    <row r="748" spans="1:8" ht="30" customHeight="1" x14ac:dyDescent="0.25">
      <c r="A748" s="76">
        <f>+A747+1</f>
        <v>289</v>
      </c>
      <c r="B748" s="50" t="s">
        <v>912</v>
      </c>
      <c r="C748" s="63" t="s">
        <v>956</v>
      </c>
      <c r="D748" s="64"/>
      <c r="E748" s="65"/>
      <c r="F748" s="84" t="s">
        <v>954</v>
      </c>
      <c r="G748" s="84" t="str">
        <f>+VLOOKUP(289,prueba!$D$2:$E$733,2,FALSE)</f>
        <v>TÉCNICA</v>
      </c>
      <c r="H748" s="50" t="s">
        <v>957</v>
      </c>
    </row>
    <row r="749" spans="1:8" ht="30" customHeight="1" x14ac:dyDescent="0.25">
      <c r="A749" s="312"/>
      <c r="B749" s="86"/>
      <c r="C749" s="53"/>
      <c r="D749" s="54"/>
      <c r="E749" s="55"/>
      <c r="F749" s="85"/>
      <c r="G749" s="85"/>
      <c r="H749" s="86"/>
    </row>
    <row r="750" spans="1:8" ht="30" customHeight="1" x14ac:dyDescent="0.25">
      <c r="A750" s="312"/>
      <c r="B750" s="86"/>
      <c r="C750" s="53" t="s">
        <v>958</v>
      </c>
      <c r="D750" s="54"/>
      <c r="E750" s="55"/>
      <c r="F750" s="85"/>
      <c r="G750" s="85"/>
      <c r="H750" s="86"/>
    </row>
    <row r="751" spans="1:8" ht="30" customHeight="1" x14ac:dyDescent="0.25">
      <c r="A751" s="312"/>
      <c r="B751" s="86"/>
      <c r="C751" s="53"/>
      <c r="D751" s="54"/>
      <c r="E751" s="55"/>
      <c r="F751" s="85"/>
      <c r="G751" s="85"/>
      <c r="H751" s="86"/>
    </row>
    <row r="752" spans="1:8" ht="30" customHeight="1" x14ac:dyDescent="0.25">
      <c r="A752" s="312"/>
      <c r="B752" s="86"/>
      <c r="C752" s="53" t="s">
        <v>959</v>
      </c>
      <c r="D752" s="54"/>
      <c r="E752" s="55"/>
      <c r="F752" s="85"/>
      <c r="G752" s="85"/>
      <c r="H752" s="86"/>
    </row>
    <row r="753" spans="1:8" ht="30" customHeight="1" x14ac:dyDescent="0.25">
      <c r="A753" s="312"/>
      <c r="B753" s="86"/>
      <c r="C753" s="53" t="s">
        <v>960</v>
      </c>
      <c r="D753" s="54"/>
      <c r="E753" s="55"/>
      <c r="F753" s="85"/>
      <c r="G753" s="85"/>
      <c r="H753" s="86"/>
    </row>
    <row r="754" spans="1:8" ht="30" customHeight="1" x14ac:dyDescent="0.25">
      <c r="A754" s="312"/>
      <c r="B754" s="86"/>
      <c r="C754" s="53" t="s">
        <v>961</v>
      </c>
      <c r="D754" s="54"/>
      <c r="E754" s="55"/>
      <c r="F754" s="85"/>
      <c r="G754" s="85"/>
      <c r="H754" s="86"/>
    </row>
    <row r="755" spans="1:8" ht="30" customHeight="1" x14ac:dyDescent="0.25">
      <c r="A755" s="312"/>
      <c r="B755" s="86"/>
      <c r="C755" s="53" t="s">
        <v>962</v>
      </c>
      <c r="D755" s="54"/>
      <c r="E755" s="55"/>
      <c r="F755" s="85"/>
      <c r="G755" s="85"/>
      <c r="H755" s="86"/>
    </row>
    <row r="756" spans="1:8" ht="30" customHeight="1" x14ac:dyDescent="0.25">
      <c r="A756" s="312"/>
      <c r="B756" s="86"/>
      <c r="C756" s="53" t="s">
        <v>963</v>
      </c>
      <c r="D756" s="54"/>
      <c r="E756" s="55"/>
      <c r="F756" s="85"/>
      <c r="G756" s="85"/>
      <c r="H756" s="86"/>
    </row>
    <row r="757" spans="1:8" ht="30" customHeight="1" x14ac:dyDescent="0.25">
      <c r="A757" s="312"/>
      <c r="B757" s="86"/>
      <c r="C757" s="53" t="s">
        <v>964</v>
      </c>
      <c r="D757" s="54"/>
      <c r="E757" s="55"/>
      <c r="F757" s="85"/>
      <c r="G757" s="85"/>
      <c r="H757" s="86"/>
    </row>
    <row r="758" spans="1:8" ht="30" customHeight="1" x14ac:dyDescent="0.25">
      <c r="A758" s="312"/>
      <c r="B758" s="86"/>
      <c r="C758" s="53" t="s">
        <v>965</v>
      </c>
      <c r="D758" s="54"/>
      <c r="E758" s="55"/>
      <c r="F758" s="85"/>
      <c r="G758" s="85"/>
      <c r="H758" s="86"/>
    </row>
    <row r="759" spans="1:8" ht="30" customHeight="1" x14ac:dyDescent="0.25">
      <c r="A759" s="312"/>
      <c r="B759" s="86"/>
      <c r="C759" s="53" t="s">
        <v>966</v>
      </c>
      <c r="D759" s="54"/>
      <c r="E759" s="55"/>
      <c r="F759" s="85"/>
      <c r="G759" s="85"/>
      <c r="H759" s="86"/>
    </row>
    <row r="760" spans="1:8" ht="30" customHeight="1" x14ac:dyDescent="0.25">
      <c r="A760" s="312"/>
      <c r="B760" s="86"/>
      <c r="C760" s="53"/>
      <c r="D760" s="54"/>
      <c r="E760" s="55"/>
      <c r="F760" s="85"/>
      <c r="G760" s="85"/>
      <c r="H760" s="86"/>
    </row>
    <row r="761" spans="1:8" ht="30" customHeight="1" thickBot="1" x14ac:dyDescent="0.3">
      <c r="A761" s="83"/>
      <c r="B761" s="91"/>
      <c r="C761" s="88" t="s">
        <v>967</v>
      </c>
      <c r="D761" s="89"/>
      <c r="E761" s="90"/>
      <c r="F761" s="77"/>
      <c r="G761" s="77"/>
      <c r="H761" s="91"/>
    </row>
    <row r="762" spans="1:8" ht="30" customHeight="1" x14ac:dyDescent="0.25">
      <c r="A762" s="76">
        <f>+A748+1</f>
        <v>290</v>
      </c>
      <c r="B762" s="50" t="s">
        <v>912</v>
      </c>
      <c r="C762" s="63" t="s">
        <v>968</v>
      </c>
      <c r="D762" s="64"/>
      <c r="E762" s="65"/>
      <c r="F762" s="84" t="s">
        <v>954</v>
      </c>
      <c r="G762" s="84" t="str">
        <f>+VLOOKUP(290,prueba!$D$2:$E$733,2,FALSE)</f>
        <v> TÉCNICA</v>
      </c>
      <c r="H762" s="50" t="s">
        <v>9189</v>
      </c>
    </row>
    <row r="763" spans="1:8" ht="30" customHeight="1" x14ac:dyDescent="0.25">
      <c r="A763" s="312"/>
      <c r="B763" s="86"/>
      <c r="C763" s="115" t="s">
        <v>969</v>
      </c>
      <c r="D763" s="116"/>
      <c r="E763" s="117"/>
      <c r="F763" s="85"/>
      <c r="G763" s="85"/>
      <c r="H763" s="86"/>
    </row>
    <row r="764" spans="1:8" ht="30" customHeight="1" x14ac:dyDescent="0.25">
      <c r="A764" s="312"/>
      <c r="B764" s="86"/>
      <c r="C764" s="53" t="s">
        <v>970</v>
      </c>
      <c r="D764" s="54"/>
      <c r="E764" s="55"/>
      <c r="F764" s="85"/>
      <c r="G764" s="85"/>
      <c r="H764" s="86"/>
    </row>
    <row r="765" spans="1:8" ht="30" customHeight="1" thickBot="1" x14ac:dyDescent="0.3">
      <c r="A765" s="83"/>
      <c r="B765" s="91"/>
      <c r="C765" s="88" t="s">
        <v>971</v>
      </c>
      <c r="D765" s="89"/>
      <c r="E765" s="90"/>
      <c r="F765" s="77"/>
      <c r="G765" s="77"/>
      <c r="H765" s="91"/>
    </row>
    <row r="766" spans="1:8" ht="30" customHeight="1" thickBot="1" x14ac:dyDescent="0.3">
      <c r="A766" s="313">
        <f>+A762+1</f>
        <v>291</v>
      </c>
      <c r="B766" s="52" t="s">
        <v>912</v>
      </c>
      <c r="C766" s="108" t="s">
        <v>972</v>
      </c>
      <c r="D766" s="109"/>
      <c r="E766" s="110"/>
      <c r="F766" s="78" t="s">
        <v>973</v>
      </c>
      <c r="G766" s="107" t="str">
        <f>+VLOOKUP(291,prueba!$D$2:$E$733,2,FALSE)</f>
        <v>TÉCNICA</v>
      </c>
      <c r="H766" s="52" t="s">
        <v>7118</v>
      </c>
    </row>
    <row r="767" spans="1:8" ht="30" customHeight="1" thickBot="1" x14ac:dyDescent="0.3">
      <c r="A767" s="313">
        <f>+A766+1</f>
        <v>292</v>
      </c>
      <c r="B767" s="52" t="s">
        <v>912</v>
      </c>
      <c r="C767" s="108" t="s">
        <v>974</v>
      </c>
      <c r="D767" s="109"/>
      <c r="E767" s="110"/>
      <c r="F767" s="78" t="s">
        <v>975</v>
      </c>
      <c r="G767" s="107" t="str">
        <f>+VLOOKUP(292,prueba!$D$2:$E$733,2,FALSE)</f>
        <v>FINANCIERA</v>
      </c>
      <c r="H767" s="52" t="s">
        <v>651</v>
      </c>
    </row>
    <row r="768" spans="1:8" ht="30" customHeight="1" thickBot="1" x14ac:dyDescent="0.3">
      <c r="A768" s="313">
        <f>+A767+1</f>
        <v>293</v>
      </c>
      <c r="B768" s="52" t="s">
        <v>912</v>
      </c>
      <c r="C768" s="108" t="s">
        <v>976</v>
      </c>
      <c r="D768" s="109"/>
      <c r="E768" s="110"/>
      <c r="F768" s="78" t="s">
        <v>977</v>
      </c>
      <c r="G768" s="107" t="str">
        <f>+VLOOKUP(293,prueba!$D$2:$E$733,2,FALSE)</f>
        <v>JURÍDICO – CONTRATACIÓN</v>
      </c>
      <c r="H768" s="52" t="s">
        <v>978</v>
      </c>
    </row>
    <row r="769" spans="1:8" ht="30" customHeight="1" x14ac:dyDescent="0.25">
      <c r="A769" s="76">
        <f>+A768+1</f>
        <v>294</v>
      </c>
      <c r="B769" s="50" t="s">
        <v>912</v>
      </c>
      <c r="C769" s="63" t="s">
        <v>979</v>
      </c>
      <c r="D769" s="64"/>
      <c r="E769" s="65"/>
      <c r="F769" s="84" t="s">
        <v>980</v>
      </c>
      <c r="G769" s="84" t="str">
        <f>+VLOOKUP(294,prueba!$D$2:$E$733,2,FALSE)</f>
        <v xml:space="preserve">TÉCNICA </v>
      </c>
      <c r="H769" s="50" t="s">
        <v>7119</v>
      </c>
    </row>
    <row r="770" spans="1:8" ht="30" customHeight="1" x14ac:dyDescent="0.25">
      <c r="A770" s="312"/>
      <c r="B770" s="86"/>
      <c r="C770" s="53"/>
      <c r="D770" s="54"/>
      <c r="E770" s="55"/>
      <c r="F770" s="85"/>
      <c r="G770" s="85"/>
      <c r="H770" s="86"/>
    </row>
    <row r="771" spans="1:8" ht="30" customHeight="1" x14ac:dyDescent="0.25">
      <c r="A771" s="312"/>
      <c r="B771" s="86"/>
      <c r="C771" s="53" t="s">
        <v>981</v>
      </c>
      <c r="D771" s="54"/>
      <c r="E771" s="55"/>
      <c r="F771" s="85"/>
      <c r="G771" s="85"/>
      <c r="H771" s="86"/>
    </row>
    <row r="772" spans="1:8" ht="30" customHeight="1" x14ac:dyDescent="0.25">
      <c r="A772" s="312"/>
      <c r="B772" s="86"/>
      <c r="C772" s="53"/>
      <c r="D772" s="54"/>
      <c r="E772" s="55"/>
      <c r="F772" s="85"/>
      <c r="G772" s="85"/>
      <c r="H772" s="86"/>
    </row>
    <row r="773" spans="1:8" ht="30" customHeight="1" thickBot="1" x14ac:dyDescent="0.3">
      <c r="A773" s="83"/>
      <c r="B773" s="91"/>
      <c r="C773" s="88" t="s">
        <v>982</v>
      </c>
      <c r="D773" s="89"/>
      <c r="E773" s="90"/>
      <c r="F773" s="77"/>
      <c r="G773" s="77"/>
      <c r="H773" s="91"/>
    </row>
    <row r="774" spans="1:8" ht="30" customHeight="1" thickBot="1" x14ac:dyDescent="0.3">
      <c r="A774" s="313">
        <f>+A769+1</f>
        <v>295</v>
      </c>
      <c r="B774" s="52" t="s">
        <v>912</v>
      </c>
      <c r="C774" s="108" t="s">
        <v>983</v>
      </c>
      <c r="D774" s="109"/>
      <c r="E774" s="110"/>
      <c r="F774" s="78" t="s">
        <v>984</v>
      </c>
      <c r="G774" s="107" t="str">
        <f>+VLOOKUP(295,prueba!$D$2:$E$733,2,FALSE)</f>
        <v>TÉCNICA</v>
      </c>
      <c r="H774" s="52" t="s">
        <v>7120</v>
      </c>
    </row>
    <row r="775" spans="1:8" ht="30" customHeight="1" x14ac:dyDescent="0.25">
      <c r="A775" s="76">
        <f>+A774+1</f>
        <v>296</v>
      </c>
      <c r="B775" s="96" t="s">
        <v>985</v>
      </c>
      <c r="C775" s="63" t="s">
        <v>9691</v>
      </c>
      <c r="D775" s="64"/>
      <c r="E775" s="65"/>
      <c r="F775" s="84" t="s">
        <v>986</v>
      </c>
      <c r="G775" s="84" t="str">
        <f>+VLOOKUP(296,prueba!$D$2:$E$733,2,FALSE)</f>
        <v>FINANCIERA</v>
      </c>
      <c r="H775" s="50" t="s">
        <v>988</v>
      </c>
    </row>
    <row r="776" spans="1:8" ht="30" customHeight="1" x14ac:dyDescent="0.25">
      <c r="A776" s="312"/>
      <c r="B776" s="97">
        <v>43943</v>
      </c>
      <c r="C776" s="53"/>
      <c r="D776" s="54"/>
      <c r="E776" s="55"/>
      <c r="F776" s="85"/>
      <c r="G776" s="85"/>
      <c r="H776" s="86"/>
    </row>
    <row r="777" spans="1:8" ht="30" customHeight="1" x14ac:dyDescent="0.25">
      <c r="A777" s="312"/>
      <c r="B777" s="45"/>
      <c r="C777" s="53" t="s">
        <v>9692</v>
      </c>
      <c r="D777" s="54"/>
      <c r="E777" s="55"/>
      <c r="F777" s="85"/>
      <c r="G777" s="85"/>
      <c r="H777" s="86"/>
    </row>
    <row r="778" spans="1:8" ht="30" customHeight="1" x14ac:dyDescent="0.25">
      <c r="A778" s="312"/>
      <c r="B778" s="45"/>
      <c r="C778" s="53"/>
      <c r="D778" s="54"/>
      <c r="E778" s="55"/>
      <c r="F778" s="85"/>
      <c r="G778" s="85"/>
      <c r="H778" s="86"/>
    </row>
    <row r="779" spans="1:8" ht="30" customHeight="1" x14ac:dyDescent="0.25">
      <c r="A779" s="312"/>
      <c r="B779" s="45"/>
      <c r="C779" s="53" t="s">
        <v>9693</v>
      </c>
      <c r="D779" s="54"/>
      <c r="E779" s="55"/>
      <c r="F779" s="85"/>
      <c r="G779" s="85"/>
      <c r="H779" s="86"/>
    </row>
    <row r="780" spans="1:8" ht="30" customHeight="1" x14ac:dyDescent="0.25">
      <c r="A780" s="312"/>
      <c r="B780" s="45"/>
      <c r="C780" s="53"/>
      <c r="D780" s="54"/>
      <c r="E780" s="55"/>
      <c r="F780" s="85"/>
      <c r="G780" s="85"/>
      <c r="H780" s="86"/>
    </row>
    <row r="781" spans="1:8" ht="30" customHeight="1" thickBot="1" x14ac:dyDescent="0.3">
      <c r="A781" s="83"/>
      <c r="B781" s="46"/>
      <c r="C781" s="88" t="s">
        <v>989</v>
      </c>
      <c r="D781" s="89"/>
      <c r="E781" s="90"/>
      <c r="F781" s="77"/>
      <c r="G781" s="77"/>
      <c r="H781" s="91"/>
    </row>
    <row r="782" spans="1:8" ht="30" customHeight="1" thickBot="1" x14ac:dyDescent="0.3">
      <c r="A782" s="313">
        <f>+A775+1</f>
        <v>297</v>
      </c>
      <c r="B782" s="52" t="s">
        <v>990</v>
      </c>
      <c r="C782" s="108" t="s">
        <v>991</v>
      </c>
      <c r="D782" s="109"/>
      <c r="E782" s="110"/>
      <c r="F782" s="78" t="s">
        <v>992</v>
      </c>
      <c r="G782" s="107" t="str">
        <f>+VLOOKUP(297,prueba!$D$2:$E$733,2,FALSE)</f>
        <v>FINANCIERA RIESGOS</v>
      </c>
      <c r="H782" s="52" t="s">
        <v>993</v>
      </c>
    </row>
    <row r="783" spans="1:8" ht="30" customHeight="1" thickBot="1" x14ac:dyDescent="0.3">
      <c r="A783" s="313">
        <f t="shared" ref="A783:A792" si="9">+A782+1</f>
        <v>298</v>
      </c>
      <c r="B783" s="52" t="s">
        <v>990</v>
      </c>
      <c r="C783" s="108" t="s">
        <v>994</v>
      </c>
      <c r="D783" s="109"/>
      <c r="E783" s="110"/>
      <c r="F783" s="78" t="s">
        <v>992</v>
      </c>
      <c r="G783" s="107" t="str">
        <f>+VLOOKUP(298,prueba!$D$2:$E$733,2,FALSE)</f>
        <v>FINANCIERA RIESGOS</v>
      </c>
      <c r="H783" s="52" t="s">
        <v>8893</v>
      </c>
    </row>
    <row r="784" spans="1:8" ht="30" customHeight="1" thickBot="1" x14ac:dyDescent="0.3">
      <c r="A784" s="313">
        <f t="shared" si="9"/>
        <v>299</v>
      </c>
      <c r="B784" s="52" t="s">
        <v>990</v>
      </c>
      <c r="C784" s="108" t="s">
        <v>995</v>
      </c>
      <c r="D784" s="109"/>
      <c r="E784" s="110"/>
      <c r="F784" s="78" t="s">
        <v>996</v>
      </c>
      <c r="G784" s="107" t="str">
        <f>+VLOOKUP(299,prueba!$D$2:$E$733,2,FALSE)</f>
        <v>JURÍDICA – CONTRATACIÓN</v>
      </c>
      <c r="H784" s="52" t="s">
        <v>997</v>
      </c>
    </row>
    <row r="785" spans="1:8" ht="30" customHeight="1" thickBot="1" x14ac:dyDescent="0.3">
      <c r="A785" s="313">
        <f t="shared" si="9"/>
        <v>300</v>
      </c>
      <c r="B785" s="52" t="s">
        <v>990</v>
      </c>
      <c r="C785" s="108" t="s">
        <v>998</v>
      </c>
      <c r="D785" s="109"/>
      <c r="E785" s="110"/>
      <c r="F785" s="78" t="s">
        <v>992</v>
      </c>
      <c r="G785" s="107" t="str">
        <f>+VLOOKUP(300,prueba!$D$2:$E$733,2,FALSE)</f>
        <v xml:space="preserve">FINANCIERA  RIESGOS  </v>
      </c>
      <c r="H785" s="52" t="s">
        <v>999</v>
      </c>
    </row>
    <row r="786" spans="1:8" ht="30" customHeight="1" thickBot="1" x14ac:dyDescent="0.3">
      <c r="A786" s="313">
        <f t="shared" si="9"/>
        <v>301</v>
      </c>
      <c r="B786" s="52" t="s">
        <v>990</v>
      </c>
      <c r="C786" s="108" t="s">
        <v>1000</v>
      </c>
      <c r="D786" s="109"/>
      <c r="E786" s="110"/>
      <c r="F786" s="78" t="s">
        <v>1001</v>
      </c>
      <c r="G786" s="107" t="str">
        <f>+VLOOKUP(301,prueba!$D$2:$E$733,2,FALSE)</f>
        <v>JURÍDICA – CONTRATACIÓN</v>
      </c>
      <c r="H786" s="52" t="s">
        <v>1002</v>
      </c>
    </row>
    <row r="787" spans="1:8" ht="30" customHeight="1" thickBot="1" x14ac:dyDescent="0.3">
      <c r="A787" s="313">
        <f t="shared" si="9"/>
        <v>302</v>
      </c>
      <c r="B787" s="52" t="s">
        <v>990</v>
      </c>
      <c r="C787" s="108" t="s">
        <v>1003</v>
      </c>
      <c r="D787" s="109"/>
      <c r="E787" s="110"/>
      <c r="F787" s="78" t="s">
        <v>1004</v>
      </c>
      <c r="G787" s="107" t="str">
        <f>+VLOOKUP(302,prueba!$D$2:$E$733,2,FALSE)</f>
        <v>JURÍDICA – DEFENSA JUDICIAL</v>
      </c>
      <c r="H787" s="52" t="s">
        <v>8112</v>
      </c>
    </row>
    <row r="788" spans="1:8" ht="30" customHeight="1" thickBot="1" x14ac:dyDescent="0.3">
      <c r="A788" s="313">
        <f t="shared" si="9"/>
        <v>303</v>
      </c>
      <c r="B788" s="52" t="s">
        <v>990</v>
      </c>
      <c r="C788" s="108" t="s">
        <v>1005</v>
      </c>
      <c r="D788" s="109"/>
      <c r="E788" s="110"/>
      <c r="F788" s="78" t="s">
        <v>1006</v>
      </c>
      <c r="G788" s="107" t="str">
        <f>+VLOOKUP(303,prueba!$D$2:$E$733,2,FALSE)</f>
        <v>FINANCIERA JURÍDICA - ESTRUCTURACIÓN</v>
      </c>
      <c r="H788" s="52" t="s">
        <v>1007</v>
      </c>
    </row>
    <row r="789" spans="1:8" ht="30" customHeight="1" thickBot="1" x14ac:dyDescent="0.3">
      <c r="A789" s="313">
        <f t="shared" si="9"/>
        <v>304</v>
      </c>
      <c r="B789" s="52" t="s">
        <v>990</v>
      </c>
      <c r="C789" s="108" t="s">
        <v>1008</v>
      </c>
      <c r="D789" s="109"/>
      <c r="E789" s="110"/>
      <c r="F789" s="78" t="s">
        <v>1009</v>
      </c>
      <c r="G789" s="107" t="str">
        <f>+VLOOKUP(304,prueba!$D$2:$E$733,2,FALSE)</f>
        <v>TÉCNICA</v>
      </c>
      <c r="H789" s="52" t="s">
        <v>1010</v>
      </c>
    </row>
    <row r="790" spans="1:8" ht="30" customHeight="1" thickBot="1" x14ac:dyDescent="0.3">
      <c r="A790" s="313">
        <f t="shared" si="9"/>
        <v>305</v>
      </c>
      <c r="B790" s="52" t="s">
        <v>990</v>
      </c>
      <c r="C790" s="108" t="s">
        <v>1011</v>
      </c>
      <c r="D790" s="109"/>
      <c r="E790" s="110"/>
      <c r="F790" s="78" t="s">
        <v>1009</v>
      </c>
      <c r="G790" s="107" t="str">
        <f>+VLOOKUP(305,prueba!$D$2:$E$733,2,FALSE)</f>
        <v>TÉCNICA</v>
      </c>
      <c r="H790" s="52" t="s">
        <v>8251</v>
      </c>
    </row>
    <row r="791" spans="1:8" ht="30" customHeight="1" thickBot="1" x14ac:dyDescent="0.3">
      <c r="A791" s="313">
        <f t="shared" si="9"/>
        <v>306</v>
      </c>
      <c r="B791" s="52" t="s">
        <v>990</v>
      </c>
      <c r="C791" s="108" t="s">
        <v>1012</v>
      </c>
      <c r="D791" s="109"/>
      <c r="E791" s="110"/>
      <c r="F791" s="78" t="s">
        <v>1013</v>
      </c>
      <c r="G791" s="107" t="str">
        <f>+VLOOKUP(306,prueba!$D$2:$E$733,2,FALSE)</f>
        <v>TÉCNICA</v>
      </c>
      <c r="H791" s="52" t="s">
        <v>1014</v>
      </c>
    </row>
    <row r="792" spans="1:8" ht="30" customHeight="1" x14ac:dyDescent="0.25">
      <c r="A792" s="76">
        <f t="shared" si="9"/>
        <v>307</v>
      </c>
      <c r="B792" s="50" t="s">
        <v>1015</v>
      </c>
      <c r="C792" s="63" t="s">
        <v>1016</v>
      </c>
      <c r="D792" s="64"/>
      <c r="E792" s="65"/>
      <c r="F792" s="84" t="s">
        <v>1017</v>
      </c>
      <c r="G792" s="84" t="str">
        <f>+VLOOKUP(307,prueba!$D$2:$E$733,2,FALSE)</f>
        <v xml:space="preserve">FINANCIERA </v>
      </c>
      <c r="H792" s="50" t="s">
        <v>1019</v>
      </c>
    </row>
    <row r="793" spans="1:8" ht="30" customHeight="1" thickBot="1" x14ac:dyDescent="0.3">
      <c r="A793" s="83"/>
      <c r="B793" s="91"/>
      <c r="C793" s="88" t="s">
        <v>1020</v>
      </c>
      <c r="D793" s="89"/>
      <c r="E793" s="90"/>
      <c r="F793" s="77"/>
      <c r="G793" s="77"/>
      <c r="H793" s="91"/>
    </row>
    <row r="794" spans="1:8" ht="30" customHeight="1" x14ac:dyDescent="0.25">
      <c r="A794" s="76">
        <f>+A792+1</f>
        <v>308</v>
      </c>
      <c r="B794" s="50" t="s">
        <v>1015</v>
      </c>
      <c r="C794" s="63" t="s">
        <v>1021</v>
      </c>
      <c r="D794" s="64"/>
      <c r="E794" s="65"/>
      <c r="F794" s="84" t="s">
        <v>1022</v>
      </c>
      <c r="G794" s="84" t="str">
        <f>+VLOOKUP(308,prueba!$D$2:$E$733,2,FALSE)</f>
        <v>FINANCIERA</v>
      </c>
      <c r="H794" s="50" t="s">
        <v>7359</v>
      </c>
    </row>
    <row r="795" spans="1:8" ht="30" customHeight="1" x14ac:dyDescent="0.25">
      <c r="A795" s="312"/>
      <c r="B795" s="86"/>
      <c r="C795" s="53" t="s">
        <v>1023</v>
      </c>
      <c r="D795" s="54"/>
      <c r="E795" s="55"/>
      <c r="F795" s="85"/>
      <c r="G795" s="85"/>
      <c r="H795" s="86"/>
    </row>
    <row r="796" spans="1:8" ht="30" customHeight="1" thickBot="1" x14ac:dyDescent="0.3">
      <c r="A796" s="83"/>
      <c r="B796" s="91"/>
      <c r="C796" s="88" t="s">
        <v>1024</v>
      </c>
      <c r="D796" s="89"/>
      <c r="E796" s="90"/>
      <c r="F796" s="77"/>
      <c r="G796" s="77"/>
      <c r="H796" s="91"/>
    </row>
    <row r="797" spans="1:8" ht="30" customHeight="1" x14ac:dyDescent="0.25">
      <c r="A797" s="76">
        <f>+A794+1</f>
        <v>309</v>
      </c>
      <c r="B797" s="50" t="s">
        <v>1015</v>
      </c>
      <c r="C797" s="63" t="s">
        <v>1025</v>
      </c>
      <c r="D797" s="64"/>
      <c r="E797" s="65"/>
      <c r="F797" s="84" t="s">
        <v>1022</v>
      </c>
      <c r="G797" s="84" t="str">
        <f>+VLOOKUP(309,prueba!$D$2:$E$733,2,FALSE)</f>
        <v xml:space="preserve">FINANCIERA </v>
      </c>
      <c r="H797" s="50" t="s">
        <v>1026</v>
      </c>
    </row>
    <row r="798" spans="1:8" ht="30" customHeight="1" thickBot="1" x14ac:dyDescent="0.3">
      <c r="A798" s="83"/>
      <c r="B798" s="91"/>
      <c r="C798" s="88"/>
      <c r="D798" s="89"/>
      <c r="E798" s="90"/>
      <c r="F798" s="77"/>
      <c r="G798" s="77"/>
      <c r="H798" s="91"/>
    </row>
    <row r="799" spans="1:8" ht="30" customHeight="1" thickBot="1" x14ac:dyDescent="0.3">
      <c r="A799" s="313">
        <f>+A797+1</f>
        <v>310</v>
      </c>
      <c r="B799" s="52" t="s">
        <v>1015</v>
      </c>
      <c r="C799" s="108" t="s">
        <v>1027</v>
      </c>
      <c r="D799" s="109"/>
      <c r="E799" s="110"/>
      <c r="F799" s="78" t="s">
        <v>1022</v>
      </c>
      <c r="G799" s="107" t="str">
        <f>+VLOOKUP(310,prueba!$D$2:$E$733,2,FALSE)</f>
        <v xml:space="preserve">FINANCIERA </v>
      </c>
      <c r="H799" s="52" t="s">
        <v>1028</v>
      </c>
    </row>
    <row r="800" spans="1:8" ht="30" customHeight="1" thickBot="1" x14ac:dyDescent="0.3">
      <c r="A800" s="313">
        <f>+A799+1</f>
        <v>311</v>
      </c>
      <c r="B800" s="52" t="s">
        <v>1015</v>
      </c>
      <c r="C800" s="108" t="s">
        <v>1029</v>
      </c>
      <c r="D800" s="109"/>
      <c r="E800" s="110"/>
      <c r="F800" s="78" t="s">
        <v>1030</v>
      </c>
      <c r="G800" s="107" t="str">
        <f>+VLOOKUP(311,prueba!$D$2:$E$733,2,FALSE)</f>
        <v xml:space="preserve">JURÍDICA – CONTRATACIÓN  </v>
      </c>
      <c r="H800" s="52" t="s">
        <v>1031</v>
      </c>
    </row>
    <row r="801" spans="1:8" ht="30" customHeight="1" x14ac:dyDescent="0.25">
      <c r="A801" s="76">
        <f>+A800+1</f>
        <v>312</v>
      </c>
      <c r="B801" s="50" t="s">
        <v>1032</v>
      </c>
      <c r="C801" s="63" t="s">
        <v>1033</v>
      </c>
      <c r="D801" s="64"/>
      <c r="E801" s="65"/>
      <c r="F801" s="84" t="s">
        <v>1030</v>
      </c>
      <c r="G801" s="84" t="str">
        <f>+VLOOKUP(312,prueba!$D$2:$E$733,2,FALSE)</f>
        <v xml:space="preserve">JURÍDICA – CONTRATACIÓN  </v>
      </c>
      <c r="H801" s="50" t="s">
        <v>1031</v>
      </c>
    </row>
    <row r="802" spans="1:8" ht="30" customHeight="1" x14ac:dyDescent="0.25">
      <c r="A802" s="312"/>
      <c r="B802" s="86"/>
      <c r="C802" s="53" t="s">
        <v>1034</v>
      </c>
      <c r="D802" s="54"/>
      <c r="E802" s="55"/>
      <c r="F802" s="85"/>
      <c r="G802" s="85"/>
      <c r="H802" s="86"/>
    </row>
    <row r="803" spans="1:8" ht="30" customHeight="1" x14ac:dyDescent="0.25">
      <c r="A803" s="312"/>
      <c r="B803" s="86"/>
      <c r="C803" s="53" t="s">
        <v>1035</v>
      </c>
      <c r="D803" s="54"/>
      <c r="E803" s="55"/>
      <c r="F803" s="85"/>
      <c r="G803" s="85"/>
      <c r="H803" s="86"/>
    </row>
    <row r="804" spans="1:8" ht="30" customHeight="1" x14ac:dyDescent="0.25">
      <c r="A804" s="312"/>
      <c r="B804" s="86"/>
      <c r="C804" s="53" t="s">
        <v>1036</v>
      </c>
      <c r="D804" s="54"/>
      <c r="E804" s="55"/>
      <c r="F804" s="85"/>
      <c r="G804" s="85"/>
      <c r="H804" s="86"/>
    </row>
    <row r="805" spans="1:8" ht="30" customHeight="1" x14ac:dyDescent="0.25">
      <c r="A805" s="312"/>
      <c r="B805" s="86"/>
      <c r="C805" s="53" t="s">
        <v>1037</v>
      </c>
      <c r="D805" s="54"/>
      <c r="E805" s="55"/>
      <c r="F805" s="85"/>
      <c r="G805" s="85"/>
      <c r="H805" s="86"/>
    </row>
    <row r="806" spans="1:8" ht="30" customHeight="1" thickBot="1" x14ac:dyDescent="0.3">
      <c r="A806" s="83"/>
      <c r="B806" s="91"/>
      <c r="C806" s="88" t="s">
        <v>1038</v>
      </c>
      <c r="D806" s="89"/>
      <c r="E806" s="90"/>
      <c r="F806" s="77"/>
      <c r="G806" s="77"/>
      <c r="H806" s="91"/>
    </row>
    <row r="807" spans="1:8" ht="30" customHeight="1" thickBot="1" x14ac:dyDescent="0.3">
      <c r="A807" s="313">
        <f>+A801+1</f>
        <v>313</v>
      </c>
      <c r="B807" s="52" t="s">
        <v>1039</v>
      </c>
      <c r="C807" s="108" t="s">
        <v>1040</v>
      </c>
      <c r="D807" s="109"/>
      <c r="E807" s="110"/>
      <c r="F807" s="78" t="s">
        <v>1041</v>
      </c>
      <c r="G807" s="107" t="str">
        <f>+VLOOKUP(313,prueba!$D$2:$E$733,2,FALSE)</f>
        <v>JURÍDICA CONTRATACIÓN- ESTRUCTURACIÓN </v>
      </c>
      <c r="H807" s="52" t="s">
        <v>1031</v>
      </c>
    </row>
    <row r="808" spans="1:8" ht="30" customHeight="1" thickBot="1" x14ac:dyDescent="0.3">
      <c r="A808" s="313">
        <f>+A807+1</f>
        <v>314</v>
      </c>
      <c r="B808" s="52" t="s">
        <v>1039</v>
      </c>
      <c r="C808" s="108" t="s">
        <v>1042</v>
      </c>
      <c r="D808" s="109"/>
      <c r="E808" s="110"/>
      <c r="F808" s="78" t="s">
        <v>1043</v>
      </c>
      <c r="G808" s="107" t="str">
        <f>+VLOOKUP(314,prueba!$D$2:$E$733,2,FALSE)</f>
        <v>FINANCIERA</v>
      </c>
      <c r="H808" s="52" t="s">
        <v>8894</v>
      </c>
    </row>
    <row r="809" spans="1:8" ht="30" customHeight="1" thickBot="1" x14ac:dyDescent="0.3">
      <c r="A809" s="313">
        <f>+A808+1</f>
        <v>315</v>
      </c>
      <c r="B809" s="52" t="s">
        <v>1039</v>
      </c>
      <c r="C809" s="108" t="s">
        <v>1044</v>
      </c>
      <c r="D809" s="109"/>
      <c r="E809" s="110"/>
      <c r="F809" s="78" t="s">
        <v>1045</v>
      </c>
      <c r="G809" s="107" t="str">
        <f>+VLOOKUP(315,prueba!$D$2:$E$733,2,FALSE)</f>
        <v>FINANCIERA RIESGOS </v>
      </c>
      <c r="H809" s="52" t="s">
        <v>6984</v>
      </c>
    </row>
    <row r="810" spans="1:8" ht="30" customHeight="1" x14ac:dyDescent="0.25">
      <c r="A810" s="76">
        <f>+A809+1</f>
        <v>316</v>
      </c>
      <c r="B810" s="50" t="s">
        <v>1039</v>
      </c>
      <c r="C810" s="63" t="s">
        <v>9694</v>
      </c>
      <c r="D810" s="64"/>
      <c r="E810" s="65"/>
      <c r="F810" s="84" t="s">
        <v>1046</v>
      </c>
      <c r="G810" s="84" t="str">
        <f>+VLOOKUP(316,prueba!$D$2:$E$733,2,FALSE)</f>
        <v>FINANCIERA - RIESGOS</v>
      </c>
      <c r="H810" s="50" t="s">
        <v>8232</v>
      </c>
    </row>
    <row r="811" spans="1:8" ht="30" customHeight="1" x14ac:dyDescent="0.25">
      <c r="A811" s="312"/>
      <c r="B811" s="86"/>
      <c r="C811" s="53"/>
      <c r="D811" s="54"/>
      <c r="E811" s="55"/>
      <c r="F811" s="85"/>
      <c r="G811" s="85"/>
      <c r="H811" s="86"/>
    </row>
    <row r="812" spans="1:8" ht="30" customHeight="1" x14ac:dyDescent="0.25">
      <c r="A812" s="312"/>
      <c r="B812" s="86"/>
      <c r="C812" s="53" t="s">
        <v>1048</v>
      </c>
      <c r="D812" s="54"/>
      <c r="E812" s="55"/>
      <c r="F812" s="85"/>
      <c r="G812" s="85"/>
      <c r="H812" s="86"/>
    </row>
    <row r="813" spans="1:8" ht="30" customHeight="1" x14ac:dyDescent="0.25">
      <c r="A813" s="312"/>
      <c r="B813" s="86"/>
      <c r="C813" s="53" t="s">
        <v>1049</v>
      </c>
      <c r="D813" s="54"/>
      <c r="E813" s="55"/>
      <c r="F813" s="85"/>
      <c r="G813" s="85"/>
      <c r="H813" s="86"/>
    </row>
    <row r="814" spans="1:8" ht="30" customHeight="1" x14ac:dyDescent="0.25">
      <c r="A814" s="312"/>
      <c r="B814" s="86"/>
      <c r="C814" s="53" t="s">
        <v>1050</v>
      </c>
      <c r="D814" s="54"/>
      <c r="E814" s="55"/>
      <c r="F814" s="85"/>
      <c r="G814" s="85"/>
      <c r="H814" s="86"/>
    </row>
    <row r="815" spans="1:8" ht="30" customHeight="1" thickBot="1" x14ac:dyDescent="0.3">
      <c r="A815" s="83"/>
      <c r="B815" s="91"/>
      <c r="C815" s="88" t="s">
        <v>1051</v>
      </c>
      <c r="D815" s="89"/>
      <c r="E815" s="90"/>
      <c r="F815" s="77"/>
      <c r="G815" s="77"/>
      <c r="H815" s="91"/>
    </row>
    <row r="816" spans="1:8" ht="30" customHeight="1" x14ac:dyDescent="0.25">
      <c r="A816" s="76">
        <f>+A810+1</f>
        <v>317</v>
      </c>
      <c r="B816" s="50" t="s">
        <v>1039</v>
      </c>
      <c r="C816" s="140" t="s">
        <v>9695</v>
      </c>
      <c r="D816" s="141"/>
      <c r="E816" s="142"/>
      <c r="F816" s="84" t="s">
        <v>1052</v>
      </c>
      <c r="G816" s="84" t="str">
        <f>+VLOOKUP(317,prueba!$D$2:$E$733,2,FALSE)</f>
        <v>TÉCNICA RIESGOS</v>
      </c>
      <c r="H816" s="50" t="s">
        <v>8972</v>
      </c>
    </row>
    <row r="817" spans="1:8" ht="30" customHeight="1" thickBot="1" x14ac:dyDescent="0.3">
      <c r="A817" s="83"/>
      <c r="B817" s="91"/>
      <c r="C817" s="88" t="s">
        <v>1054</v>
      </c>
      <c r="D817" s="89"/>
      <c r="E817" s="90"/>
      <c r="F817" s="77"/>
      <c r="G817" s="77"/>
      <c r="H817" s="91"/>
    </row>
    <row r="818" spans="1:8" ht="30" customHeight="1" x14ac:dyDescent="0.25">
      <c r="A818" s="76">
        <f>+A816+1</f>
        <v>318</v>
      </c>
      <c r="B818" s="50" t="s">
        <v>1039</v>
      </c>
      <c r="C818" s="63" t="s">
        <v>1055</v>
      </c>
      <c r="D818" s="64"/>
      <c r="E818" s="65"/>
      <c r="F818" s="84" t="s">
        <v>1056</v>
      </c>
      <c r="G818" s="84" t="str">
        <f>+VLOOKUP(318,prueba!$D$2:$E$733,2,FALSE)</f>
        <v> TÉCNICA RIESGOS</v>
      </c>
      <c r="H818" s="50" t="s">
        <v>1057</v>
      </c>
    </row>
    <row r="819" spans="1:8" ht="30" customHeight="1" x14ac:dyDescent="0.25">
      <c r="A819" s="312"/>
      <c r="B819" s="86"/>
      <c r="C819" s="53" t="s">
        <v>1058</v>
      </c>
      <c r="D819" s="54"/>
      <c r="E819" s="55"/>
      <c r="F819" s="85"/>
      <c r="G819" s="85"/>
      <c r="H819" s="86"/>
    </row>
    <row r="820" spans="1:8" ht="30" customHeight="1" thickBot="1" x14ac:dyDescent="0.3">
      <c r="A820" s="83"/>
      <c r="B820" s="91"/>
      <c r="C820" s="118" t="s">
        <v>9696</v>
      </c>
      <c r="D820" s="119"/>
      <c r="E820" s="120"/>
      <c r="F820" s="77"/>
      <c r="G820" s="77"/>
      <c r="H820" s="91"/>
    </row>
    <row r="821" spans="1:8" ht="30" customHeight="1" thickBot="1" x14ac:dyDescent="0.3">
      <c r="A821" s="313">
        <f>+A818+1</f>
        <v>319</v>
      </c>
      <c r="B821" s="52" t="s">
        <v>1039</v>
      </c>
      <c r="C821" s="108" t="s">
        <v>1059</v>
      </c>
      <c r="D821" s="109"/>
      <c r="E821" s="110"/>
      <c r="F821" s="78" t="s">
        <v>1060</v>
      </c>
      <c r="G821" s="107" t="str">
        <f>+VLOOKUP(319,prueba!$D$2:$E$733,2,FALSE)</f>
        <v> TÉCNICA</v>
      </c>
      <c r="H821" s="52" t="s">
        <v>7121</v>
      </c>
    </row>
    <row r="822" spans="1:8" ht="30" customHeight="1" x14ac:dyDescent="0.25">
      <c r="A822" s="76">
        <f>+A821+1</f>
        <v>320</v>
      </c>
      <c r="B822" s="50" t="s">
        <v>1039</v>
      </c>
      <c r="C822" s="63" t="s">
        <v>9697</v>
      </c>
      <c r="D822" s="64"/>
      <c r="E822" s="65"/>
      <c r="F822" s="56" t="s">
        <v>1006</v>
      </c>
      <c r="G822" s="84" t="str">
        <f>+VLOOKUP(320,prueba!$D$2:$E$733,2,FALSE)</f>
        <v> TÉCNICA JURÍDICA -ESTRUCTURACIÓN</v>
      </c>
      <c r="H822" s="50" t="s">
        <v>8418</v>
      </c>
    </row>
    <row r="823" spans="1:8" ht="30" customHeight="1" thickBot="1" x14ac:dyDescent="0.3">
      <c r="A823" s="83"/>
      <c r="B823" s="91"/>
      <c r="C823" s="88"/>
      <c r="D823" s="89"/>
      <c r="E823" s="90"/>
      <c r="F823" s="78" t="s">
        <v>1061</v>
      </c>
      <c r="G823" s="77"/>
      <c r="H823" s="91"/>
    </row>
    <row r="824" spans="1:8" ht="30" customHeight="1" x14ac:dyDescent="0.25">
      <c r="A824" s="76">
        <f>+A822+1</f>
        <v>321</v>
      </c>
      <c r="B824" s="50" t="s">
        <v>1039</v>
      </c>
      <c r="C824" s="63" t="s">
        <v>9698</v>
      </c>
      <c r="D824" s="64"/>
      <c r="E824" s="65"/>
      <c r="F824" s="56" t="s">
        <v>1006</v>
      </c>
      <c r="G824" s="84" t="str">
        <f>+VLOOKUP(321,prueba!$D$2:$E$733,2,FALSE)</f>
        <v xml:space="preserve">TÉCNICA </v>
      </c>
      <c r="H824" s="50" t="s">
        <v>8215</v>
      </c>
    </row>
    <row r="825" spans="1:8" ht="30" customHeight="1" thickBot="1" x14ac:dyDescent="0.3">
      <c r="A825" s="83"/>
      <c r="B825" s="91"/>
      <c r="C825" s="88"/>
      <c r="D825" s="89"/>
      <c r="E825" s="90"/>
      <c r="F825" s="78" t="s">
        <v>1061</v>
      </c>
      <c r="G825" s="77"/>
      <c r="H825" s="91"/>
    </row>
    <row r="826" spans="1:8" ht="30" customHeight="1" x14ac:dyDescent="0.25">
      <c r="A826" s="76">
        <f>+A824+1</f>
        <v>322</v>
      </c>
      <c r="B826" s="50" t="s">
        <v>1039</v>
      </c>
      <c r="C826" s="140" t="s">
        <v>9699</v>
      </c>
      <c r="D826" s="141"/>
      <c r="E826" s="142"/>
      <c r="F826" s="56" t="s">
        <v>1006</v>
      </c>
      <c r="G826" s="84" t="str">
        <f>+VLOOKUP(322,prueba!$D$2:$E$733,2,FALSE)</f>
        <v>TÉCNICA</v>
      </c>
      <c r="H826" s="50" t="s">
        <v>1062</v>
      </c>
    </row>
    <row r="827" spans="1:8" ht="30" customHeight="1" thickBot="1" x14ac:dyDescent="0.3">
      <c r="A827" s="83"/>
      <c r="B827" s="91"/>
      <c r="C827" s="88" t="s">
        <v>1063</v>
      </c>
      <c r="D827" s="89"/>
      <c r="E827" s="90"/>
      <c r="F827" s="78" t="s">
        <v>1064</v>
      </c>
      <c r="G827" s="77"/>
      <c r="H827" s="91"/>
    </row>
    <row r="828" spans="1:8" ht="30" customHeight="1" thickBot="1" x14ac:dyDescent="0.3">
      <c r="A828" s="313">
        <f>+A826+1</f>
        <v>323</v>
      </c>
      <c r="B828" s="52" t="s">
        <v>1039</v>
      </c>
      <c r="C828" s="108" t="s">
        <v>9700</v>
      </c>
      <c r="D828" s="109"/>
      <c r="E828" s="110"/>
      <c r="F828" s="78" t="s">
        <v>1006</v>
      </c>
      <c r="G828" s="107" t="str">
        <f>+VLOOKUP(323,prueba!$D$2:$E$733,2,FALSE)</f>
        <v>TÉCNICA</v>
      </c>
      <c r="H828" s="52" t="s">
        <v>7122</v>
      </c>
    </row>
    <row r="829" spans="1:8" ht="30" customHeight="1" x14ac:dyDescent="0.25">
      <c r="A829" s="76">
        <f>+A828+1</f>
        <v>324</v>
      </c>
      <c r="B829" s="50" t="s">
        <v>1039</v>
      </c>
      <c r="C829" s="63" t="s">
        <v>1066</v>
      </c>
      <c r="D829" s="64"/>
      <c r="E829" s="65"/>
      <c r="F829" s="84" t="s">
        <v>1067</v>
      </c>
      <c r="G829" s="84" t="str">
        <f>+VLOOKUP(324,prueba!$D$2:$E$733,2,FALSE)</f>
        <v>FINANCIERA RIESGOS SOCIAL</v>
      </c>
      <c r="H829" s="50" t="s">
        <v>1069</v>
      </c>
    </row>
    <row r="830" spans="1:8" ht="30" customHeight="1" thickBot="1" x14ac:dyDescent="0.3">
      <c r="A830" s="83"/>
      <c r="B830" s="91"/>
      <c r="C830" s="88" t="s">
        <v>1070</v>
      </c>
      <c r="D830" s="89"/>
      <c r="E830" s="90"/>
      <c r="F830" s="77"/>
      <c r="G830" s="77"/>
      <c r="H830" s="91"/>
    </row>
    <row r="831" spans="1:8" ht="30" customHeight="1" thickBot="1" x14ac:dyDescent="0.3">
      <c r="A831" s="313">
        <f>+A829+1</f>
        <v>325</v>
      </c>
      <c r="B831" s="52" t="s">
        <v>1039</v>
      </c>
      <c r="C831" s="108" t="s">
        <v>1071</v>
      </c>
      <c r="D831" s="109"/>
      <c r="E831" s="110"/>
      <c r="F831" s="78" t="s">
        <v>1072</v>
      </c>
      <c r="G831" s="107" t="str">
        <f>+VLOOKUP(325,prueba!$D$2:$E$733,2,FALSE)</f>
        <v>FINANCIERA RIESGOS SOCIAL</v>
      </c>
      <c r="H831" s="52" t="s">
        <v>8895</v>
      </c>
    </row>
    <row r="832" spans="1:8" ht="30" customHeight="1" x14ac:dyDescent="0.25">
      <c r="A832" s="76">
        <f>+A831+1</f>
        <v>326</v>
      </c>
      <c r="B832" s="50" t="s">
        <v>1039</v>
      </c>
      <c r="C832" s="63" t="s">
        <v>1073</v>
      </c>
      <c r="D832" s="64"/>
      <c r="E832" s="65"/>
      <c r="F832" s="84" t="s">
        <v>1074</v>
      </c>
      <c r="G832" s="84" t="str">
        <f>+VLOOKUP(326,prueba!$D$2:$E$733,2,FALSE)</f>
        <v>FINANCIERA  </v>
      </c>
      <c r="H832" s="50" t="s">
        <v>8896</v>
      </c>
    </row>
    <row r="833" spans="1:8" ht="30" customHeight="1" thickBot="1" x14ac:dyDescent="0.3">
      <c r="A833" s="83"/>
      <c r="B833" s="91"/>
      <c r="C833" s="88" t="s">
        <v>1075</v>
      </c>
      <c r="D833" s="89"/>
      <c r="E833" s="90"/>
      <c r="F833" s="77"/>
      <c r="G833" s="77"/>
      <c r="H833" s="91"/>
    </row>
    <row r="834" spans="1:8" ht="30" customHeight="1" thickBot="1" x14ac:dyDescent="0.3">
      <c r="A834" s="313">
        <f>+A832+1</f>
        <v>327</v>
      </c>
      <c r="B834" s="52" t="s">
        <v>1039</v>
      </c>
      <c r="C834" s="108" t="s">
        <v>9701</v>
      </c>
      <c r="D834" s="109"/>
      <c r="E834" s="110"/>
      <c r="F834" s="78" t="s">
        <v>1076</v>
      </c>
      <c r="G834" s="107" t="str">
        <f>+VLOOKUP(327,prueba!$D$2:$E$733,2,FALSE)</f>
        <v>TECNICA</v>
      </c>
      <c r="H834" s="52" t="s">
        <v>1077</v>
      </c>
    </row>
    <row r="835" spans="1:8" ht="30" customHeight="1" thickBot="1" x14ac:dyDescent="0.3">
      <c r="A835" s="313">
        <f>+A834+1</f>
        <v>328</v>
      </c>
      <c r="B835" s="52" t="s">
        <v>1039</v>
      </c>
      <c r="C835" s="108" t="s">
        <v>1078</v>
      </c>
      <c r="D835" s="109"/>
      <c r="E835" s="110"/>
      <c r="F835" s="78" t="s">
        <v>1076</v>
      </c>
      <c r="G835" s="107" t="str">
        <f>+VLOOKUP(328,prueba!$D$2:$E$733,2,FALSE)</f>
        <v>TECNICA</v>
      </c>
      <c r="H835" s="52" t="s">
        <v>1079</v>
      </c>
    </row>
    <row r="836" spans="1:8" ht="30" customHeight="1" thickBot="1" x14ac:dyDescent="0.3">
      <c r="A836" s="313">
        <f>+A835+1</f>
        <v>329</v>
      </c>
      <c r="B836" s="52" t="s">
        <v>1039</v>
      </c>
      <c r="C836" s="108" t="s">
        <v>1080</v>
      </c>
      <c r="D836" s="109"/>
      <c r="E836" s="110"/>
      <c r="F836" s="78" t="s">
        <v>1081</v>
      </c>
      <c r="G836" s="107" t="str">
        <f>+VLOOKUP(329,prueba!$D$2:$E$733,2,FALSE)</f>
        <v>FINANCIERA</v>
      </c>
      <c r="H836" s="52" t="s">
        <v>8897</v>
      </c>
    </row>
    <row r="837" spans="1:8" ht="30" customHeight="1" thickBot="1" x14ac:dyDescent="0.3">
      <c r="A837" s="313">
        <f>+A836+1</f>
        <v>330</v>
      </c>
      <c r="B837" s="52" t="s">
        <v>1039</v>
      </c>
      <c r="C837" s="108" t="s">
        <v>1082</v>
      </c>
      <c r="D837" s="109"/>
      <c r="E837" s="110"/>
      <c r="F837" s="78" t="s">
        <v>1083</v>
      </c>
      <c r="G837" s="107" t="str">
        <f>+VLOOKUP(330,prueba!$D$2:$E$733,2,FALSE)</f>
        <v>FINANCIERA</v>
      </c>
      <c r="H837" s="52" t="s">
        <v>8898</v>
      </c>
    </row>
    <row r="838" spans="1:8" ht="30" customHeight="1" x14ac:dyDescent="0.25">
      <c r="A838" s="76">
        <f>+A837+1</f>
        <v>331</v>
      </c>
      <c r="B838" s="50" t="s">
        <v>1039</v>
      </c>
      <c r="C838" s="63" t="s">
        <v>1084</v>
      </c>
      <c r="D838" s="64"/>
      <c r="E838" s="65"/>
      <c r="F838" s="84" t="s">
        <v>1085</v>
      </c>
      <c r="G838" s="84" t="str">
        <f>+VLOOKUP(331,prueba!$D$2:$E$733,2,FALSE)</f>
        <v xml:space="preserve">TÉCNICA FINANCIERA </v>
      </c>
      <c r="H838" s="50" t="s">
        <v>8899</v>
      </c>
    </row>
    <row r="839" spans="1:8" ht="30" customHeight="1" x14ac:dyDescent="0.25">
      <c r="A839" s="312"/>
      <c r="B839" s="86"/>
      <c r="C839" s="53" t="s">
        <v>1086</v>
      </c>
      <c r="D839" s="54"/>
      <c r="E839" s="55"/>
      <c r="F839" s="85"/>
      <c r="G839" s="85"/>
      <c r="H839" s="86"/>
    </row>
    <row r="840" spans="1:8" ht="30" customHeight="1" thickBot="1" x14ac:dyDescent="0.3">
      <c r="A840" s="83"/>
      <c r="B840" s="91"/>
      <c r="C840" s="88" t="s">
        <v>1087</v>
      </c>
      <c r="D840" s="89"/>
      <c r="E840" s="90"/>
      <c r="F840" s="77"/>
      <c r="G840" s="77"/>
      <c r="H840" s="91"/>
    </row>
    <row r="841" spans="1:8" ht="30" customHeight="1" thickBot="1" x14ac:dyDescent="0.3">
      <c r="A841" s="313">
        <f>+A838+1</f>
        <v>332</v>
      </c>
      <c r="B841" s="52" t="s">
        <v>1039</v>
      </c>
      <c r="C841" s="108" t="s">
        <v>1088</v>
      </c>
      <c r="D841" s="109"/>
      <c r="E841" s="110"/>
      <c r="F841" s="78" t="s">
        <v>1089</v>
      </c>
      <c r="G841" s="107" t="str">
        <f>+VLOOKUP(332,prueba!$D$2:$E$733,2,FALSE)</f>
        <v>TÉCNICA </v>
      </c>
      <c r="H841" s="52" t="s">
        <v>6985</v>
      </c>
    </row>
    <row r="842" spans="1:8" ht="30" customHeight="1" thickBot="1" x14ac:dyDescent="0.3">
      <c r="A842" s="313">
        <f>+A841+1</f>
        <v>333</v>
      </c>
      <c r="B842" s="52" t="s">
        <v>1039</v>
      </c>
      <c r="C842" s="108" t="s">
        <v>1090</v>
      </c>
      <c r="D842" s="109"/>
      <c r="E842" s="110"/>
      <c r="F842" s="78" t="s">
        <v>1091</v>
      </c>
      <c r="G842" s="107" t="str">
        <f>+VLOOKUP(333,prueba!$D$2:$E$733,2,FALSE)</f>
        <v>FINANCIERA JURÍDICA - CONTRATACIÓN</v>
      </c>
      <c r="H842" s="52" t="s">
        <v>1092</v>
      </c>
    </row>
    <row r="843" spans="1:8" ht="30" customHeight="1" thickBot="1" x14ac:dyDescent="0.3">
      <c r="A843" s="313">
        <f>+A842+1</f>
        <v>334</v>
      </c>
      <c r="B843" s="52" t="s">
        <v>1039</v>
      </c>
      <c r="C843" s="108" t="s">
        <v>1093</v>
      </c>
      <c r="D843" s="109"/>
      <c r="E843" s="110"/>
      <c r="F843" s="78" t="s">
        <v>1006</v>
      </c>
      <c r="G843" s="107" t="str">
        <f>+VLOOKUP(334,prueba!$D$2:$E$733,2,FALSE)</f>
        <v>FINANCIERA RIESGOS</v>
      </c>
      <c r="H843" s="52" t="s">
        <v>9184</v>
      </c>
    </row>
    <row r="844" spans="1:8" ht="30" customHeight="1" x14ac:dyDescent="0.25">
      <c r="A844" s="76">
        <f>+A843+1</f>
        <v>335</v>
      </c>
      <c r="B844" s="50" t="s">
        <v>1039</v>
      </c>
      <c r="C844" s="63" t="s">
        <v>1094</v>
      </c>
      <c r="D844" s="64"/>
      <c r="E844" s="65"/>
      <c r="F844" s="56" t="s">
        <v>1095</v>
      </c>
      <c r="G844" s="84" t="str">
        <f>+VLOOKUP(335,prueba!$D$2:$E$733,2,FALSE)</f>
        <v xml:space="preserve">TÉCNICA </v>
      </c>
      <c r="H844" s="50" t="s">
        <v>8986</v>
      </c>
    </row>
    <row r="845" spans="1:8" ht="30" customHeight="1" thickBot="1" x14ac:dyDescent="0.3">
      <c r="A845" s="83"/>
      <c r="B845" s="91"/>
      <c r="C845" s="88"/>
      <c r="D845" s="89"/>
      <c r="E845" s="90"/>
      <c r="F845" s="78" t="s">
        <v>1096</v>
      </c>
      <c r="G845" s="77"/>
      <c r="H845" s="91"/>
    </row>
    <row r="846" spans="1:8" ht="97.5" customHeight="1" thickBot="1" x14ac:dyDescent="0.3">
      <c r="A846" s="313">
        <f>+A844+1</f>
        <v>336</v>
      </c>
      <c r="B846" s="52" t="s">
        <v>1039</v>
      </c>
      <c r="C846" s="108" t="s">
        <v>9702</v>
      </c>
      <c r="D846" s="109"/>
      <c r="E846" s="110"/>
      <c r="F846" s="78" t="s">
        <v>1097</v>
      </c>
      <c r="G846" s="107" t="str">
        <f>+VLOOKUP(336,prueba!$D$2:$E$733,2,FALSE)</f>
        <v xml:space="preserve">TÉCNICA </v>
      </c>
      <c r="H846" s="52" t="s">
        <v>9193</v>
      </c>
    </row>
    <row r="847" spans="1:8" ht="30" customHeight="1" x14ac:dyDescent="0.25">
      <c r="A847" s="76">
        <f>+A846+1</f>
        <v>337</v>
      </c>
      <c r="B847" s="50" t="s">
        <v>1039</v>
      </c>
      <c r="C847" s="63" t="s">
        <v>9703</v>
      </c>
      <c r="D847" s="64"/>
      <c r="E847" s="65"/>
      <c r="F847" s="84" t="s">
        <v>1098</v>
      </c>
      <c r="G847" s="84" t="str">
        <f>+VLOOKUP(337,prueba!$D$2:$E$733,2,FALSE)</f>
        <v>TÉCNICA</v>
      </c>
      <c r="H847" s="50" t="s">
        <v>7123</v>
      </c>
    </row>
    <row r="848" spans="1:8" ht="30" customHeight="1" thickBot="1" x14ac:dyDescent="0.3">
      <c r="A848" s="83"/>
      <c r="B848" s="91"/>
      <c r="C848" s="88" t="s">
        <v>1099</v>
      </c>
      <c r="D848" s="89"/>
      <c r="E848" s="90"/>
      <c r="F848" s="77"/>
      <c r="G848" s="77"/>
      <c r="H848" s="91"/>
    </row>
    <row r="849" spans="1:8" ht="30" customHeight="1" x14ac:dyDescent="0.25">
      <c r="A849" s="76">
        <f>+A847+1</f>
        <v>338</v>
      </c>
      <c r="B849" s="50" t="s">
        <v>1039</v>
      </c>
      <c r="C849" s="63" t="s">
        <v>1100</v>
      </c>
      <c r="D849" s="64"/>
      <c r="E849" s="65"/>
      <c r="F849" s="84"/>
      <c r="G849" s="84" t="str">
        <f>+VLOOKUP(338,prueba!$D$2:$E$733,2,FALSE)</f>
        <v>FINANCIERA SEGUROS </v>
      </c>
      <c r="H849" s="50" t="s">
        <v>8314</v>
      </c>
    </row>
    <row r="850" spans="1:8" ht="30" customHeight="1" thickBot="1" x14ac:dyDescent="0.3">
      <c r="A850" s="83"/>
      <c r="B850" s="91"/>
      <c r="C850" s="88" t="s">
        <v>1101</v>
      </c>
      <c r="D850" s="89"/>
      <c r="E850" s="90"/>
      <c r="F850" s="77"/>
      <c r="G850" s="77"/>
      <c r="H850" s="91"/>
    </row>
    <row r="851" spans="1:8" ht="30" customHeight="1" thickBot="1" x14ac:dyDescent="0.3">
      <c r="A851" s="313">
        <f>+A849+1</f>
        <v>339</v>
      </c>
      <c r="B851" s="52" t="s">
        <v>1039</v>
      </c>
      <c r="C851" s="108" t="s">
        <v>1102</v>
      </c>
      <c r="D851" s="109"/>
      <c r="E851" s="110"/>
      <c r="F851" s="78" t="s">
        <v>1103</v>
      </c>
      <c r="G851" s="107" t="str">
        <f>+VLOOKUP(339,prueba!$D$2:$E$733,2,FALSE)</f>
        <v>FINANCIERA</v>
      </c>
      <c r="H851" s="52" t="s">
        <v>1104</v>
      </c>
    </row>
    <row r="852" spans="1:8" ht="30" customHeight="1" x14ac:dyDescent="0.25">
      <c r="A852" s="76">
        <f>+A851+1</f>
        <v>340</v>
      </c>
      <c r="B852" s="50" t="s">
        <v>1039</v>
      </c>
      <c r="C852" s="63" t="s">
        <v>1105</v>
      </c>
      <c r="D852" s="64"/>
      <c r="E852" s="65"/>
      <c r="F852" s="84" t="s">
        <v>1106</v>
      </c>
      <c r="G852" s="84" t="str">
        <f>+VLOOKUP(340,prueba!$D$2:$E$733,2,FALSE)</f>
        <v>TECNICO - PREDIAL</v>
      </c>
      <c r="H852" s="50" t="s">
        <v>1107</v>
      </c>
    </row>
    <row r="853" spans="1:8" ht="30" customHeight="1" thickBot="1" x14ac:dyDescent="0.3">
      <c r="A853" s="83"/>
      <c r="B853" s="91"/>
      <c r="C853" s="88" t="s">
        <v>1108</v>
      </c>
      <c r="D853" s="89"/>
      <c r="E853" s="90"/>
      <c r="F853" s="77"/>
      <c r="G853" s="77"/>
      <c r="H853" s="91"/>
    </row>
    <row r="854" spans="1:8" ht="30" customHeight="1" thickBot="1" x14ac:dyDescent="0.3">
      <c r="A854" s="313">
        <f>+A852+1</f>
        <v>341</v>
      </c>
      <c r="B854" s="52" t="s">
        <v>1039</v>
      </c>
      <c r="C854" s="108" t="s">
        <v>1109</v>
      </c>
      <c r="D854" s="109"/>
      <c r="E854" s="110"/>
      <c r="F854" s="78" t="s">
        <v>1110</v>
      </c>
      <c r="G854" s="107" t="str">
        <f>+VLOOKUP(341,prueba!$D$2:$E$733,2,FALSE)</f>
        <v>TECNICO</v>
      </c>
      <c r="H854" s="52" t="s">
        <v>8216</v>
      </c>
    </row>
    <row r="855" spans="1:8" ht="30" customHeight="1" thickBot="1" x14ac:dyDescent="0.3">
      <c r="A855" s="313">
        <f>+A854+1</f>
        <v>342</v>
      </c>
      <c r="B855" s="52" t="s">
        <v>1039</v>
      </c>
      <c r="C855" s="108" t="s">
        <v>1111</v>
      </c>
      <c r="D855" s="109"/>
      <c r="E855" s="110"/>
      <c r="F855" s="78" t="s">
        <v>1112</v>
      </c>
      <c r="G855" s="107" t="str">
        <f>+VLOOKUP(342,prueba!$D$2:$E$733,2,FALSE)</f>
        <v>FINANCIERA</v>
      </c>
      <c r="H855" s="52" t="s">
        <v>8900</v>
      </c>
    </row>
    <row r="856" spans="1:8" ht="30" customHeight="1" x14ac:dyDescent="0.25">
      <c r="A856" s="76">
        <f>+A855+1</f>
        <v>343</v>
      </c>
      <c r="B856" s="50" t="s">
        <v>1039</v>
      </c>
      <c r="C856" s="63" t="s">
        <v>1113</v>
      </c>
      <c r="D856" s="64"/>
      <c r="E856" s="65"/>
      <c r="F856" s="84" t="s">
        <v>742</v>
      </c>
      <c r="G856" s="84" t="str">
        <f>+VLOOKUP(343,prueba!$D$2:$E$733,2,FALSE)</f>
        <v>TÉCNICA</v>
      </c>
      <c r="H856" s="50" t="s">
        <v>8217</v>
      </c>
    </row>
    <row r="857" spans="1:8" ht="30" customHeight="1" thickBot="1" x14ac:dyDescent="0.3">
      <c r="A857" s="83"/>
      <c r="B857" s="91"/>
      <c r="C857" s="88" t="s">
        <v>1114</v>
      </c>
      <c r="D857" s="89"/>
      <c r="E857" s="90"/>
      <c r="F857" s="77"/>
      <c r="G857" s="77"/>
      <c r="H857" s="91"/>
    </row>
    <row r="858" spans="1:8" ht="30" customHeight="1" thickBot="1" x14ac:dyDescent="0.3">
      <c r="A858" s="313">
        <f>+A856+1</f>
        <v>344</v>
      </c>
      <c r="B858" s="52" t="s">
        <v>1039</v>
      </c>
      <c r="C858" s="108" t="s">
        <v>1115</v>
      </c>
      <c r="D858" s="109"/>
      <c r="E858" s="110"/>
      <c r="F858" s="78" t="s">
        <v>742</v>
      </c>
      <c r="G858" s="107" t="str">
        <f>+VLOOKUP(344,prueba!$D$2:$E$733,2,FALSE)</f>
        <v>TÉCNICA</v>
      </c>
      <c r="H858" s="52" t="s">
        <v>1116</v>
      </c>
    </row>
    <row r="859" spans="1:8" ht="30" customHeight="1" x14ac:dyDescent="0.25">
      <c r="A859" s="76">
        <f>+A858+1</f>
        <v>345</v>
      </c>
      <c r="B859" s="50" t="s">
        <v>1039</v>
      </c>
      <c r="C859" s="63" t="s">
        <v>1117</v>
      </c>
      <c r="D859" s="64"/>
      <c r="E859" s="65"/>
      <c r="F859" s="84" t="s">
        <v>1118</v>
      </c>
      <c r="G859" s="84" t="str">
        <f>+VLOOKUP(345,prueba!$D$2:$E$733,2,FALSE)</f>
        <v xml:space="preserve">TÉCNICA </v>
      </c>
      <c r="H859" s="50" t="s">
        <v>7124</v>
      </c>
    </row>
    <row r="860" spans="1:8" ht="30" customHeight="1" thickBot="1" x14ac:dyDescent="0.3">
      <c r="A860" s="83"/>
      <c r="B860" s="91"/>
      <c r="C860" s="88" t="s">
        <v>1119</v>
      </c>
      <c r="D860" s="89"/>
      <c r="E860" s="90"/>
      <c r="F860" s="77"/>
      <c r="G860" s="77"/>
      <c r="H860" s="91"/>
    </row>
    <row r="861" spans="1:8" ht="30" customHeight="1" x14ac:dyDescent="0.25">
      <c r="A861" s="76">
        <f>+A859+1</f>
        <v>346</v>
      </c>
      <c r="B861" s="50" t="s">
        <v>1039</v>
      </c>
      <c r="C861" s="63" t="s">
        <v>1120</v>
      </c>
      <c r="D861" s="64"/>
      <c r="E861" s="65"/>
      <c r="F861" s="84" t="s">
        <v>742</v>
      </c>
      <c r="G861" s="84" t="str">
        <f>+VLOOKUP(346,prueba!$D$2:$E$733,2,FALSE)</f>
        <v>TÉCNICA</v>
      </c>
      <c r="H861" s="50" t="s">
        <v>9088</v>
      </c>
    </row>
    <row r="862" spans="1:8" ht="30" customHeight="1" x14ac:dyDescent="0.25">
      <c r="A862" s="312"/>
      <c r="B862" s="86"/>
      <c r="C862" s="53" t="s">
        <v>9704</v>
      </c>
      <c r="D862" s="54"/>
      <c r="E862" s="55"/>
      <c r="F862" s="85"/>
      <c r="G862" s="85"/>
      <c r="H862" s="86"/>
    </row>
    <row r="863" spans="1:8" ht="30" customHeight="1" x14ac:dyDescent="0.25">
      <c r="A863" s="312"/>
      <c r="B863" s="86"/>
      <c r="C863" s="112" t="s">
        <v>9705</v>
      </c>
      <c r="D863" s="113"/>
      <c r="E863" s="114"/>
      <c r="F863" s="85"/>
      <c r="G863" s="85"/>
      <c r="H863" s="86"/>
    </row>
    <row r="864" spans="1:8" ht="30" customHeight="1" thickBot="1" x14ac:dyDescent="0.3">
      <c r="A864" s="83"/>
      <c r="B864" s="91"/>
      <c r="C864" s="88" t="s">
        <v>1121</v>
      </c>
      <c r="D864" s="89"/>
      <c r="E864" s="90"/>
      <c r="F864" s="77"/>
      <c r="G864" s="77"/>
      <c r="H864" s="91"/>
    </row>
    <row r="865" spans="1:8" ht="30" customHeight="1" x14ac:dyDescent="0.25">
      <c r="A865" s="76">
        <f>+A861+1</f>
        <v>347</v>
      </c>
      <c r="B865" s="50" t="s">
        <v>1039</v>
      </c>
      <c r="C865" s="63" t="s">
        <v>9706</v>
      </c>
      <c r="D865" s="64"/>
      <c r="E865" s="65"/>
      <c r="F865" s="84" t="s">
        <v>742</v>
      </c>
      <c r="G865" s="84" t="str">
        <f>+VLOOKUP(347,prueba!$D$2:$E$733,2,FALSE)</f>
        <v>TÉCNICA</v>
      </c>
      <c r="H865" s="50" t="s">
        <v>8218</v>
      </c>
    </row>
    <row r="866" spans="1:8" ht="30" customHeight="1" thickBot="1" x14ac:dyDescent="0.3">
      <c r="A866" s="83"/>
      <c r="B866" s="91"/>
      <c r="C866" s="88" t="s">
        <v>1122</v>
      </c>
      <c r="D866" s="89"/>
      <c r="E866" s="90"/>
      <c r="F866" s="77"/>
      <c r="G866" s="77"/>
      <c r="H866" s="91"/>
    </row>
    <row r="867" spans="1:8" ht="30" customHeight="1" thickBot="1" x14ac:dyDescent="0.3">
      <c r="A867" s="313">
        <f>+A865+1</f>
        <v>348</v>
      </c>
      <c r="B867" s="52" t="s">
        <v>1039</v>
      </c>
      <c r="C867" s="108" t="s">
        <v>9707</v>
      </c>
      <c r="D867" s="109"/>
      <c r="E867" s="110"/>
      <c r="F867" s="78" t="s">
        <v>847</v>
      </c>
      <c r="G867" s="107" t="str">
        <f>+VLOOKUP(348,prueba!$D$2:$E$733,2,FALSE)</f>
        <v>TÉCNICA</v>
      </c>
      <c r="H867" s="52" t="s">
        <v>8289</v>
      </c>
    </row>
    <row r="868" spans="1:8" ht="30" customHeight="1" x14ac:dyDescent="0.25">
      <c r="A868" s="76">
        <f>+A867+1</f>
        <v>349</v>
      </c>
      <c r="B868" s="50" t="s">
        <v>1039</v>
      </c>
      <c r="C868" s="63" t="s">
        <v>1123</v>
      </c>
      <c r="D868" s="64"/>
      <c r="E868" s="65"/>
      <c r="F868" s="84" t="s">
        <v>1124</v>
      </c>
      <c r="G868" s="84" t="str">
        <f>+VLOOKUP(349,prueba!$D$2:$E$733,2,FALSE)</f>
        <v>FINANCIERA RIESGOS</v>
      </c>
      <c r="H868" s="50" t="s">
        <v>9184</v>
      </c>
    </row>
    <row r="869" spans="1:8" ht="30" customHeight="1" thickBot="1" x14ac:dyDescent="0.3">
      <c r="A869" s="83"/>
      <c r="B869" s="91"/>
      <c r="C869" s="88" t="s">
        <v>1125</v>
      </c>
      <c r="D869" s="89"/>
      <c r="E869" s="90"/>
      <c r="F869" s="77"/>
      <c r="G869" s="77"/>
      <c r="H869" s="91"/>
    </row>
    <row r="870" spans="1:8" ht="30" customHeight="1" x14ac:dyDescent="0.25">
      <c r="A870" s="76">
        <f>+A868+1</f>
        <v>350</v>
      </c>
      <c r="B870" s="50" t="s">
        <v>1039</v>
      </c>
      <c r="C870" s="63" t="s">
        <v>1126</v>
      </c>
      <c r="D870" s="64"/>
      <c r="E870" s="65"/>
      <c r="F870" s="84" t="s">
        <v>1127</v>
      </c>
      <c r="G870" s="84" t="str">
        <f>+VLOOKUP(350,prueba!$D$2:$E$733,2,FALSE)</f>
        <v>FINANCIERA RIESGOS</v>
      </c>
      <c r="H870" s="50" t="s">
        <v>9184</v>
      </c>
    </row>
    <row r="871" spans="1:8" ht="30" customHeight="1" thickBot="1" x14ac:dyDescent="0.3">
      <c r="A871" s="83"/>
      <c r="B871" s="91"/>
      <c r="C871" s="88" t="s">
        <v>1128</v>
      </c>
      <c r="D871" s="89"/>
      <c r="E871" s="90"/>
      <c r="F871" s="77"/>
      <c r="G871" s="77"/>
      <c r="H871" s="91"/>
    </row>
    <row r="872" spans="1:8" ht="30" customHeight="1" thickBot="1" x14ac:dyDescent="0.3">
      <c r="A872" s="313">
        <f>+A870+1</f>
        <v>351</v>
      </c>
      <c r="B872" s="52" t="s">
        <v>1039</v>
      </c>
      <c r="C872" s="108" t="s">
        <v>1129</v>
      </c>
      <c r="D872" s="109"/>
      <c r="E872" s="110"/>
      <c r="F872" s="78" t="s">
        <v>1124</v>
      </c>
      <c r="G872" s="107" t="str">
        <f>+VLOOKUP(351,prueba!$D$2:$E$733,2,FALSE)</f>
        <v xml:space="preserve">TÉCNICA </v>
      </c>
      <c r="H872" s="52" t="s">
        <v>8282</v>
      </c>
    </row>
    <row r="873" spans="1:8" ht="30" customHeight="1" x14ac:dyDescent="0.25">
      <c r="A873" s="76">
        <f>+A872+1</f>
        <v>352</v>
      </c>
      <c r="B873" s="50" t="s">
        <v>1039</v>
      </c>
      <c r="C873" s="63" t="s">
        <v>1130</v>
      </c>
      <c r="D873" s="64"/>
      <c r="E873" s="65"/>
      <c r="F873" s="84" t="s">
        <v>1131</v>
      </c>
      <c r="G873" s="84" t="str">
        <f>+VLOOKUP(352,prueba!$D$2:$E$733,2,FALSE)</f>
        <v>TÉCNICA</v>
      </c>
      <c r="H873" s="50" t="s">
        <v>1132</v>
      </c>
    </row>
    <row r="874" spans="1:8" ht="30" customHeight="1" thickBot="1" x14ac:dyDescent="0.3">
      <c r="A874" s="83"/>
      <c r="B874" s="91"/>
      <c r="C874" s="88" t="s">
        <v>1133</v>
      </c>
      <c r="D874" s="89"/>
      <c r="E874" s="90"/>
      <c r="F874" s="77"/>
      <c r="G874" s="77"/>
      <c r="H874" s="91"/>
    </row>
    <row r="875" spans="1:8" ht="30" customHeight="1" thickBot="1" x14ac:dyDescent="0.3">
      <c r="A875" s="313">
        <f>+A873+1</f>
        <v>353</v>
      </c>
      <c r="B875" s="52" t="s">
        <v>1039</v>
      </c>
      <c r="C875" s="108" t="s">
        <v>1134</v>
      </c>
      <c r="D875" s="109"/>
      <c r="E875" s="110"/>
      <c r="F875" s="78" t="s">
        <v>1135</v>
      </c>
      <c r="G875" s="107" t="str">
        <f>+VLOOKUP(353,prueba!$D$2:$E$733,2,FALSE)</f>
        <v>TÉCNICA</v>
      </c>
      <c r="H875" s="52" t="s">
        <v>1136</v>
      </c>
    </row>
    <row r="876" spans="1:8" ht="30" customHeight="1" x14ac:dyDescent="0.25">
      <c r="A876" s="76">
        <f>+A875+1</f>
        <v>354</v>
      </c>
      <c r="B876" s="50" t="s">
        <v>1039</v>
      </c>
      <c r="C876" s="63" t="s">
        <v>1137</v>
      </c>
      <c r="D876" s="64"/>
      <c r="E876" s="65"/>
      <c r="F876" s="84" t="s">
        <v>1138</v>
      </c>
      <c r="G876" s="84" t="str">
        <f>+VLOOKUP(354,prueba!$D$2:$E$733,2,FALSE)</f>
        <v>TÉCNICA</v>
      </c>
      <c r="H876" s="50" t="s">
        <v>1139</v>
      </c>
    </row>
    <row r="877" spans="1:8" ht="30" customHeight="1" thickBot="1" x14ac:dyDescent="0.3">
      <c r="A877" s="83"/>
      <c r="B877" s="91"/>
      <c r="C877" s="88" t="s">
        <v>1140</v>
      </c>
      <c r="D877" s="89"/>
      <c r="E877" s="90"/>
      <c r="F877" s="77"/>
      <c r="G877" s="77"/>
      <c r="H877" s="91"/>
    </row>
    <row r="878" spans="1:8" ht="30" customHeight="1" thickBot="1" x14ac:dyDescent="0.3">
      <c r="A878" s="313">
        <f>+A876+1</f>
        <v>355</v>
      </c>
      <c r="B878" s="52" t="s">
        <v>1039</v>
      </c>
      <c r="C878" s="108" t="s">
        <v>1141</v>
      </c>
      <c r="D878" s="109"/>
      <c r="E878" s="110"/>
      <c r="F878" s="78" t="s">
        <v>1142</v>
      </c>
      <c r="G878" s="107" t="str">
        <f>+VLOOKUP(355,prueba!$D$2:$E$733,2,FALSE)</f>
        <v>TÉCNICA</v>
      </c>
      <c r="H878" s="52" t="s">
        <v>1143</v>
      </c>
    </row>
    <row r="879" spans="1:8" ht="30" customHeight="1" thickBot="1" x14ac:dyDescent="0.3">
      <c r="A879" s="313">
        <f t="shared" ref="A879:A897" si="10">+A878+1</f>
        <v>356</v>
      </c>
      <c r="B879" s="52" t="s">
        <v>1039</v>
      </c>
      <c r="C879" s="108" t="s">
        <v>1144</v>
      </c>
      <c r="D879" s="109"/>
      <c r="E879" s="110"/>
      <c r="F879" s="78" t="s">
        <v>1145</v>
      </c>
      <c r="G879" s="107" t="str">
        <f>+VLOOKUP(356,prueba!$D$2:$E$733,2,FALSE)</f>
        <v>TÉCNICA</v>
      </c>
      <c r="H879" s="52" t="s">
        <v>1146</v>
      </c>
    </row>
    <row r="880" spans="1:8" ht="30" customHeight="1" thickBot="1" x14ac:dyDescent="0.3">
      <c r="A880" s="313">
        <f t="shared" si="10"/>
        <v>357</v>
      </c>
      <c r="B880" s="52" t="s">
        <v>1039</v>
      </c>
      <c r="C880" s="108" t="s">
        <v>1147</v>
      </c>
      <c r="D880" s="109"/>
      <c r="E880" s="110"/>
      <c r="F880" s="78" t="s">
        <v>1148</v>
      </c>
      <c r="G880" s="107" t="str">
        <f>+VLOOKUP(357,prueba!$D$2:$E$733,2,FALSE)</f>
        <v>TÉCNICA</v>
      </c>
      <c r="H880" s="52" t="s">
        <v>1149</v>
      </c>
    </row>
    <row r="881" spans="1:8" ht="30" customHeight="1" thickBot="1" x14ac:dyDescent="0.3">
      <c r="A881" s="313">
        <f t="shared" si="10"/>
        <v>358</v>
      </c>
      <c r="B881" s="52" t="s">
        <v>1039</v>
      </c>
      <c r="C881" s="108" t="s">
        <v>1150</v>
      </c>
      <c r="D881" s="109"/>
      <c r="E881" s="110"/>
      <c r="F881" s="78" t="s">
        <v>1151</v>
      </c>
      <c r="G881" s="107" t="str">
        <f>+VLOOKUP(358,prueba!$D$2:$E$733,2,FALSE)</f>
        <v>TÉCNICA</v>
      </c>
      <c r="H881" s="52" t="s">
        <v>1152</v>
      </c>
    </row>
    <row r="882" spans="1:8" ht="30" customHeight="1" thickBot="1" x14ac:dyDescent="0.3">
      <c r="A882" s="313">
        <f t="shared" si="10"/>
        <v>359</v>
      </c>
      <c r="B882" s="52" t="s">
        <v>1039</v>
      </c>
      <c r="C882" s="108" t="s">
        <v>1153</v>
      </c>
      <c r="D882" s="109"/>
      <c r="E882" s="110"/>
      <c r="F882" s="78" t="s">
        <v>1154</v>
      </c>
      <c r="G882" s="107" t="str">
        <f>+VLOOKUP(359,prueba!$D$2:$E$733,2,FALSE)</f>
        <v>TÉCNICA</v>
      </c>
      <c r="H882" s="52" t="s">
        <v>7125</v>
      </c>
    </row>
    <row r="883" spans="1:8" ht="30" customHeight="1" thickBot="1" x14ac:dyDescent="0.3">
      <c r="A883" s="313">
        <f t="shared" si="10"/>
        <v>360</v>
      </c>
      <c r="B883" s="52" t="s">
        <v>1039</v>
      </c>
      <c r="C883" s="108" t="s">
        <v>1155</v>
      </c>
      <c r="D883" s="109"/>
      <c r="E883" s="110"/>
      <c r="F883" s="78" t="s">
        <v>1156</v>
      </c>
      <c r="G883" s="107" t="str">
        <f>+VLOOKUP(360,prueba!$D$2:$E$733,2,FALSE)</f>
        <v>TÉCNICA</v>
      </c>
      <c r="H883" s="52" t="s">
        <v>1157</v>
      </c>
    </row>
    <row r="884" spans="1:8" ht="30" customHeight="1" thickBot="1" x14ac:dyDescent="0.3">
      <c r="A884" s="313">
        <f t="shared" si="10"/>
        <v>361</v>
      </c>
      <c r="B884" s="52" t="s">
        <v>1039</v>
      </c>
      <c r="C884" s="108" t="s">
        <v>1158</v>
      </c>
      <c r="D884" s="109"/>
      <c r="E884" s="110"/>
      <c r="F884" s="78" t="s">
        <v>1159</v>
      </c>
      <c r="G884" s="107" t="str">
        <f>+VLOOKUP(361,prueba!$D$2:$E$733,2,FALSE)</f>
        <v>TÉCNICA-</v>
      </c>
      <c r="H884" s="52" t="s">
        <v>1160</v>
      </c>
    </row>
    <row r="885" spans="1:8" ht="30" customHeight="1" thickBot="1" x14ac:dyDescent="0.3">
      <c r="A885" s="313">
        <f t="shared" si="10"/>
        <v>362</v>
      </c>
      <c r="B885" s="52" t="s">
        <v>1039</v>
      </c>
      <c r="C885" s="108" t="s">
        <v>1161</v>
      </c>
      <c r="D885" s="109"/>
      <c r="E885" s="110"/>
      <c r="F885" s="78" t="s">
        <v>1162</v>
      </c>
      <c r="G885" s="107" t="str">
        <f>+VLOOKUP(362,prueba!$D$2:$E$733,2,FALSE)</f>
        <v>TÉCNICA</v>
      </c>
      <c r="H885" s="52" t="s">
        <v>1163</v>
      </c>
    </row>
    <row r="886" spans="1:8" ht="30" customHeight="1" thickBot="1" x14ac:dyDescent="0.3">
      <c r="A886" s="313">
        <f t="shared" si="10"/>
        <v>363</v>
      </c>
      <c r="B886" s="52" t="s">
        <v>1039</v>
      </c>
      <c r="C886" s="108" t="s">
        <v>1164</v>
      </c>
      <c r="D886" s="109"/>
      <c r="E886" s="110"/>
      <c r="F886" s="78" t="s">
        <v>1165</v>
      </c>
      <c r="G886" s="107" t="str">
        <f>+VLOOKUP(363,prueba!$D$2:$E$733,2,FALSE)</f>
        <v>TÉCNICA</v>
      </c>
      <c r="H886" s="52" t="s">
        <v>1166</v>
      </c>
    </row>
    <row r="887" spans="1:8" ht="30" customHeight="1" thickBot="1" x14ac:dyDescent="0.3">
      <c r="A887" s="313">
        <f t="shared" si="10"/>
        <v>364</v>
      </c>
      <c r="B887" s="52" t="s">
        <v>1039</v>
      </c>
      <c r="C887" s="108" t="s">
        <v>9708</v>
      </c>
      <c r="D887" s="109"/>
      <c r="E887" s="110"/>
      <c r="F887" s="78" t="s">
        <v>1167</v>
      </c>
      <c r="G887" s="107" t="str">
        <f>+VLOOKUP(364,prueba!$D$2:$E$733,2,FALSE)</f>
        <v>TÉCNICA</v>
      </c>
      <c r="H887" s="52" t="s">
        <v>1168</v>
      </c>
    </row>
    <row r="888" spans="1:8" ht="30" customHeight="1" thickBot="1" x14ac:dyDescent="0.3">
      <c r="A888" s="313">
        <f t="shared" si="10"/>
        <v>365</v>
      </c>
      <c r="B888" s="52" t="s">
        <v>1039</v>
      </c>
      <c r="C888" s="108" t="s">
        <v>9709</v>
      </c>
      <c r="D888" s="109"/>
      <c r="E888" s="110"/>
      <c r="F888" s="78" t="s">
        <v>1169</v>
      </c>
      <c r="G888" s="107" t="str">
        <f>+VLOOKUP(365,prueba!$D$2:$E$733,2,FALSE)</f>
        <v>TÉCNICA</v>
      </c>
      <c r="H888" s="52" t="s">
        <v>8290</v>
      </c>
    </row>
    <row r="889" spans="1:8" ht="30" customHeight="1" thickBot="1" x14ac:dyDescent="0.3">
      <c r="A889" s="313">
        <f t="shared" si="10"/>
        <v>366</v>
      </c>
      <c r="B889" s="52" t="s">
        <v>1039</v>
      </c>
      <c r="C889" s="108" t="s">
        <v>1170</v>
      </c>
      <c r="D889" s="109"/>
      <c r="E889" s="110"/>
      <c r="F889" s="78" t="s">
        <v>1165</v>
      </c>
      <c r="G889" s="107" t="str">
        <f>+VLOOKUP(366,prueba!$D$2:$E$733,2,FALSE)</f>
        <v>TÉCNICA</v>
      </c>
      <c r="H889" s="52" t="s">
        <v>1171</v>
      </c>
    </row>
    <row r="890" spans="1:8" ht="30" customHeight="1" thickBot="1" x14ac:dyDescent="0.3">
      <c r="A890" s="313">
        <f t="shared" si="10"/>
        <v>367</v>
      </c>
      <c r="B890" s="52" t="s">
        <v>1039</v>
      </c>
      <c r="C890" s="108" t="s">
        <v>1172</v>
      </c>
      <c r="D890" s="109"/>
      <c r="E890" s="110"/>
      <c r="F890" s="78" t="s">
        <v>1173</v>
      </c>
      <c r="G890" s="107" t="str">
        <f>+VLOOKUP(367,prueba!$D$2:$E$733,2,FALSE)</f>
        <v>FINANCIERA</v>
      </c>
      <c r="H890" s="52" t="s">
        <v>8901</v>
      </c>
    </row>
    <row r="891" spans="1:8" ht="30" customHeight="1" thickBot="1" x14ac:dyDescent="0.3">
      <c r="A891" s="313">
        <f t="shared" si="10"/>
        <v>368</v>
      </c>
      <c r="B891" s="52" t="s">
        <v>1039</v>
      </c>
      <c r="C891" s="108" t="s">
        <v>1174</v>
      </c>
      <c r="D891" s="109"/>
      <c r="E891" s="110"/>
      <c r="F891" s="78" t="s">
        <v>1173</v>
      </c>
      <c r="G891" s="107" t="str">
        <f>+VLOOKUP(368,prueba!$D$2:$E$733,2,FALSE)</f>
        <v>FINANCIERA</v>
      </c>
      <c r="H891" s="52" t="s">
        <v>8902</v>
      </c>
    </row>
    <row r="892" spans="1:8" ht="30" customHeight="1" thickBot="1" x14ac:dyDescent="0.3">
      <c r="A892" s="313">
        <f t="shared" si="10"/>
        <v>369</v>
      </c>
      <c r="B892" s="52" t="s">
        <v>1039</v>
      </c>
      <c r="C892" s="108" t="s">
        <v>1175</v>
      </c>
      <c r="D892" s="109"/>
      <c r="E892" s="110"/>
      <c r="F892" s="78" t="s">
        <v>1081</v>
      </c>
      <c r="G892" s="107" t="str">
        <f>+VLOOKUP(369,prueba!$D$2:$E$733,2,FALSE)</f>
        <v xml:space="preserve"> FINANCIERA</v>
      </c>
      <c r="H892" s="52" t="s">
        <v>8903</v>
      </c>
    </row>
    <row r="893" spans="1:8" ht="30" customHeight="1" thickBot="1" x14ac:dyDescent="0.3">
      <c r="A893" s="313">
        <f t="shared" si="10"/>
        <v>370</v>
      </c>
      <c r="B893" s="52" t="s">
        <v>1039</v>
      </c>
      <c r="C893" s="108" t="s">
        <v>1176</v>
      </c>
      <c r="D893" s="109"/>
      <c r="E893" s="110"/>
      <c r="F893" s="78" t="s">
        <v>1081</v>
      </c>
      <c r="G893" s="107" t="str">
        <f>+VLOOKUP(370,prueba!$D$2:$E$733,2,FALSE)</f>
        <v>JURÍDICA - SANCIONATORIO</v>
      </c>
      <c r="H893" s="52" t="s">
        <v>8419</v>
      </c>
    </row>
    <row r="894" spans="1:8" ht="30" customHeight="1" thickBot="1" x14ac:dyDescent="0.3">
      <c r="A894" s="313">
        <f t="shared" si="10"/>
        <v>371</v>
      </c>
      <c r="B894" s="52" t="s">
        <v>1039</v>
      </c>
      <c r="C894" s="108" t="s">
        <v>1177</v>
      </c>
      <c r="D894" s="109"/>
      <c r="E894" s="110"/>
      <c r="F894" s="78" t="s">
        <v>1081</v>
      </c>
      <c r="G894" s="107" t="str">
        <f>+VLOOKUP(371,prueba!$D$2:$E$733,2,FALSE)</f>
        <v>FINANCIERA</v>
      </c>
      <c r="H894" s="52" t="s">
        <v>6986</v>
      </c>
    </row>
    <row r="895" spans="1:8" ht="30" customHeight="1" thickBot="1" x14ac:dyDescent="0.3">
      <c r="A895" s="313">
        <f t="shared" si="10"/>
        <v>372</v>
      </c>
      <c r="B895" s="52" t="s">
        <v>1039</v>
      </c>
      <c r="C895" s="108" t="s">
        <v>1178</v>
      </c>
      <c r="D895" s="109"/>
      <c r="E895" s="110"/>
      <c r="F895" s="78" t="s">
        <v>1081</v>
      </c>
      <c r="G895" s="107" t="str">
        <f>+VLOOKUP(372,prueba!$D$2:$E$733,2,FALSE)</f>
        <v>JURÍDICA – ESTRUCTURACIÓN</v>
      </c>
      <c r="H895" s="52" t="s">
        <v>1179</v>
      </c>
    </row>
    <row r="896" spans="1:8" ht="30" customHeight="1" thickBot="1" x14ac:dyDescent="0.3">
      <c r="A896" s="313">
        <f t="shared" si="10"/>
        <v>373</v>
      </c>
      <c r="B896" s="52" t="s">
        <v>1039</v>
      </c>
      <c r="C896" s="108" t="s">
        <v>1180</v>
      </c>
      <c r="D896" s="109"/>
      <c r="E896" s="110"/>
      <c r="F896" s="78" t="s">
        <v>1081</v>
      </c>
      <c r="G896" s="107" t="str">
        <f>+VLOOKUP(373,prueba!$D$2:$E$733,2,FALSE)</f>
        <v>FINANCIERA RIESGOS</v>
      </c>
      <c r="H896" s="52" t="s">
        <v>6987</v>
      </c>
    </row>
    <row r="897" spans="1:8" ht="30" customHeight="1" x14ac:dyDescent="0.25">
      <c r="A897" s="76">
        <f t="shared" si="10"/>
        <v>374</v>
      </c>
      <c r="B897" s="50" t="s">
        <v>1039</v>
      </c>
      <c r="C897" s="63" t="s">
        <v>1181</v>
      </c>
      <c r="D897" s="64"/>
      <c r="E897" s="65"/>
      <c r="F897" s="56" t="s">
        <v>1182</v>
      </c>
      <c r="G897" s="84" t="str">
        <f>+VLOOKUP(374,prueba!$D$2:$E$733,2,FALSE)</f>
        <v>TECNICA</v>
      </c>
      <c r="H897" s="50" t="s">
        <v>1183</v>
      </c>
    </row>
    <row r="898" spans="1:8" ht="30" customHeight="1" thickBot="1" x14ac:dyDescent="0.3">
      <c r="A898" s="83"/>
      <c r="B898" s="91"/>
      <c r="C898" s="88"/>
      <c r="D898" s="89"/>
      <c r="E898" s="90"/>
      <c r="F898" s="78" t="s">
        <v>1184</v>
      </c>
      <c r="G898" s="77"/>
      <c r="H898" s="91"/>
    </row>
    <row r="899" spans="1:8" ht="30" customHeight="1" thickBot="1" x14ac:dyDescent="0.3">
      <c r="A899" s="313">
        <f>+A897+1</f>
        <v>375</v>
      </c>
      <c r="B899" s="52" t="s">
        <v>1039</v>
      </c>
      <c r="C899" s="108" t="s">
        <v>1185</v>
      </c>
      <c r="D899" s="109"/>
      <c r="E899" s="110"/>
      <c r="F899" s="78" t="s">
        <v>1186</v>
      </c>
      <c r="G899" s="107" t="str">
        <f>+VLOOKUP(375,prueba!$D$2:$E$733,2,FALSE)</f>
        <v>TECNICA</v>
      </c>
      <c r="H899" s="52" t="s">
        <v>1187</v>
      </c>
    </row>
    <row r="900" spans="1:8" ht="30" customHeight="1" thickBot="1" x14ac:dyDescent="0.3">
      <c r="A900" s="313">
        <f t="shared" ref="A900:A911" si="11">+A899+1</f>
        <v>376</v>
      </c>
      <c r="B900" s="52" t="s">
        <v>1188</v>
      </c>
      <c r="C900" s="108" t="s">
        <v>1189</v>
      </c>
      <c r="D900" s="109"/>
      <c r="E900" s="110"/>
      <c r="F900" s="78" t="s">
        <v>1190</v>
      </c>
      <c r="G900" s="107" t="str">
        <f>+VLOOKUP(376,prueba!$D$2:$E$733,2,FALSE)</f>
        <v>FINANCIERA</v>
      </c>
      <c r="H900" s="52" t="s">
        <v>8904</v>
      </c>
    </row>
    <row r="901" spans="1:8" ht="127.5" customHeight="1" thickBot="1" x14ac:dyDescent="0.3">
      <c r="A901" s="313">
        <f t="shared" si="11"/>
        <v>377</v>
      </c>
      <c r="B901" s="52" t="s">
        <v>1188</v>
      </c>
      <c r="C901" s="108" t="s">
        <v>1191</v>
      </c>
      <c r="D901" s="109"/>
      <c r="E901" s="110"/>
      <c r="F901" s="78" t="s">
        <v>1190</v>
      </c>
      <c r="G901" s="107" t="str">
        <f>+VLOOKUP(377,prueba!$D$2:$E$733,2,FALSE)</f>
        <v>FINANCIERA</v>
      </c>
      <c r="H901" s="52" t="s">
        <v>8021</v>
      </c>
    </row>
    <row r="902" spans="1:8" ht="30" customHeight="1" thickBot="1" x14ac:dyDescent="0.3">
      <c r="A902" s="313">
        <f t="shared" si="11"/>
        <v>378</v>
      </c>
      <c r="B902" s="52" t="s">
        <v>1188</v>
      </c>
      <c r="C902" s="108" t="s">
        <v>1192</v>
      </c>
      <c r="D902" s="109"/>
      <c r="E902" s="110"/>
      <c r="F902" s="78" t="s">
        <v>1193</v>
      </c>
      <c r="G902" s="107" t="str">
        <f>+VLOOKUP(378,prueba!$D$2:$E$733,2,FALSE)</f>
        <v>FINANCIERA</v>
      </c>
      <c r="H902" s="52" t="s">
        <v>8905</v>
      </c>
    </row>
    <row r="903" spans="1:8" ht="30" customHeight="1" thickBot="1" x14ac:dyDescent="0.3">
      <c r="A903" s="313">
        <f t="shared" si="11"/>
        <v>379</v>
      </c>
      <c r="B903" s="52" t="s">
        <v>1188</v>
      </c>
      <c r="C903" s="108" t="s">
        <v>1194</v>
      </c>
      <c r="D903" s="109"/>
      <c r="E903" s="110"/>
      <c r="F903" s="78" t="s">
        <v>1195</v>
      </c>
      <c r="G903" s="107" t="str">
        <f>+VLOOKUP(379,prueba!$D$2:$E$733,2,FALSE)</f>
        <v>JURIDICA – ESTRUCTURACIÓN Y CONTRATACIÓN</v>
      </c>
      <c r="H903" s="52" t="s">
        <v>1196</v>
      </c>
    </row>
    <row r="904" spans="1:8" ht="30" customHeight="1" thickBot="1" x14ac:dyDescent="0.3">
      <c r="A904" s="313">
        <f t="shared" si="11"/>
        <v>380</v>
      </c>
      <c r="B904" s="52" t="s">
        <v>1188</v>
      </c>
      <c r="C904" s="108" t="s">
        <v>1197</v>
      </c>
      <c r="D904" s="109"/>
      <c r="E904" s="110"/>
      <c r="F904" s="78" t="s">
        <v>1198</v>
      </c>
      <c r="G904" s="107" t="str">
        <f>+VLOOKUP(380,prueba!$D$2:$E$733,2,FALSE)</f>
        <v>FINANCIERA</v>
      </c>
      <c r="H904" s="52" t="s">
        <v>1199</v>
      </c>
    </row>
    <row r="905" spans="1:8" ht="30" customHeight="1" thickBot="1" x14ac:dyDescent="0.3">
      <c r="A905" s="313">
        <f t="shared" si="11"/>
        <v>381</v>
      </c>
      <c r="B905" s="52" t="s">
        <v>1200</v>
      </c>
      <c r="C905" s="108" t="s">
        <v>1201</v>
      </c>
      <c r="D905" s="109"/>
      <c r="E905" s="110"/>
      <c r="F905" s="78" t="s">
        <v>1083</v>
      </c>
      <c r="G905" s="107" t="str">
        <f>+VLOOKUP(381,prueba!$D$2:$E$733,2,FALSE)</f>
        <v>TÉCNICA</v>
      </c>
      <c r="H905" s="52" t="s">
        <v>8283</v>
      </c>
    </row>
    <row r="906" spans="1:8" ht="30" customHeight="1" thickBot="1" x14ac:dyDescent="0.3">
      <c r="A906" s="313">
        <f t="shared" si="11"/>
        <v>382</v>
      </c>
      <c r="B906" s="52" t="s">
        <v>1200</v>
      </c>
      <c r="C906" s="108" t="s">
        <v>1202</v>
      </c>
      <c r="D906" s="109"/>
      <c r="E906" s="110"/>
      <c r="F906" s="78" t="s">
        <v>1203</v>
      </c>
      <c r="G906" s="107" t="str">
        <f>+VLOOKUP(382,prueba!$D$2:$E$733,2,FALSE)</f>
        <v>FINANCIERA</v>
      </c>
      <c r="H906" s="52" t="s">
        <v>8906</v>
      </c>
    </row>
    <row r="907" spans="1:8" ht="30" customHeight="1" thickBot="1" x14ac:dyDescent="0.3">
      <c r="A907" s="313">
        <f t="shared" si="11"/>
        <v>383</v>
      </c>
      <c r="B907" s="52" t="s">
        <v>1200</v>
      </c>
      <c r="C907" s="108" t="s">
        <v>1204</v>
      </c>
      <c r="D907" s="109"/>
      <c r="E907" s="110"/>
      <c r="F907" s="78" t="s">
        <v>1205</v>
      </c>
      <c r="G907" s="107" t="str">
        <f>+VLOOKUP(383,prueba!$D$2:$E$733,2,FALSE)</f>
        <v>FINANCIERA SEGUROS</v>
      </c>
      <c r="H907" s="52" t="s">
        <v>359</v>
      </c>
    </row>
    <row r="908" spans="1:8" ht="30" customHeight="1" thickBot="1" x14ac:dyDescent="0.3">
      <c r="A908" s="313">
        <f t="shared" si="11"/>
        <v>384</v>
      </c>
      <c r="B908" s="52" t="s">
        <v>1200</v>
      </c>
      <c r="C908" s="108" t="s">
        <v>1206</v>
      </c>
      <c r="D908" s="109"/>
      <c r="E908" s="110"/>
      <c r="F908" s="78" t="s">
        <v>1207</v>
      </c>
      <c r="G908" s="107" t="str">
        <f>+VLOOKUP(384,prueba!$D$2:$E$733,2,FALSE)</f>
        <v>FINANCIERA SEGUROS</v>
      </c>
      <c r="H908" s="52" t="s">
        <v>7347</v>
      </c>
    </row>
    <row r="909" spans="1:8" ht="30" customHeight="1" thickBot="1" x14ac:dyDescent="0.3">
      <c r="A909" s="313">
        <f t="shared" si="11"/>
        <v>385</v>
      </c>
      <c r="B909" s="52" t="s">
        <v>1200</v>
      </c>
      <c r="C909" s="108" t="s">
        <v>1208</v>
      </c>
      <c r="D909" s="109"/>
      <c r="E909" s="110"/>
      <c r="F909" s="78" t="s">
        <v>1209</v>
      </c>
      <c r="G909" s="107" t="str">
        <f>+VLOOKUP(385,prueba!$D$2:$E$733,2,FALSE)</f>
        <v>FINANCIERA SEGUROS</v>
      </c>
      <c r="H909" s="52" t="s">
        <v>678</v>
      </c>
    </row>
    <row r="910" spans="1:8" ht="30" customHeight="1" thickBot="1" x14ac:dyDescent="0.3">
      <c r="A910" s="313">
        <f t="shared" si="11"/>
        <v>386</v>
      </c>
      <c r="B910" s="52" t="s">
        <v>1210</v>
      </c>
      <c r="C910" s="108" t="s">
        <v>1211</v>
      </c>
      <c r="D910" s="109"/>
      <c r="E910" s="110"/>
      <c r="F910" s="78" t="s">
        <v>1212</v>
      </c>
      <c r="G910" s="107" t="str">
        <f>+VLOOKUP(386,prueba!$D$2:$E$733,2,FALSE)</f>
        <v>JURÍDICA CONTRATACIÓN</v>
      </c>
      <c r="H910" s="52" t="s">
        <v>1031</v>
      </c>
    </row>
    <row r="911" spans="1:8" ht="30" customHeight="1" x14ac:dyDescent="0.25">
      <c r="A911" s="76">
        <f t="shared" si="11"/>
        <v>387</v>
      </c>
      <c r="B911" s="50" t="s">
        <v>1210</v>
      </c>
      <c r="C911" s="63" t="s">
        <v>1213</v>
      </c>
      <c r="D911" s="64"/>
      <c r="E911" s="65"/>
      <c r="F911" s="84" t="s">
        <v>1214</v>
      </c>
      <c r="G911" s="84" t="str">
        <f>+VLOOKUP(387,prueba!$D$2:$E$733,2,FALSE)</f>
        <v>JURÍDICA - ESTRUCTURACIÓN</v>
      </c>
      <c r="H911" s="50" t="s">
        <v>1215</v>
      </c>
    </row>
    <row r="912" spans="1:8" ht="30" customHeight="1" x14ac:dyDescent="0.25">
      <c r="A912" s="312"/>
      <c r="B912" s="86"/>
      <c r="C912" s="53"/>
      <c r="D912" s="54"/>
      <c r="E912" s="55"/>
      <c r="F912" s="85"/>
      <c r="G912" s="85"/>
      <c r="H912" s="86"/>
    </row>
    <row r="913" spans="1:8" ht="30" customHeight="1" x14ac:dyDescent="0.25">
      <c r="A913" s="312"/>
      <c r="B913" s="86"/>
      <c r="C913" s="53" t="s">
        <v>9710</v>
      </c>
      <c r="D913" s="54"/>
      <c r="E913" s="55"/>
      <c r="F913" s="85"/>
      <c r="G913" s="85"/>
      <c r="H913" s="86"/>
    </row>
    <row r="914" spans="1:8" ht="30" customHeight="1" x14ac:dyDescent="0.25">
      <c r="A914" s="312"/>
      <c r="B914" s="86"/>
      <c r="C914" s="53"/>
      <c r="D914" s="54"/>
      <c r="E914" s="55"/>
      <c r="F914" s="85"/>
      <c r="G914" s="85"/>
      <c r="H914" s="86"/>
    </row>
    <row r="915" spans="1:8" ht="30" customHeight="1" thickBot="1" x14ac:dyDescent="0.3">
      <c r="A915" s="83"/>
      <c r="B915" s="91"/>
      <c r="C915" s="88" t="s">
        <v>1216</v>
      </c>
      <c r="D915" s="89"/>
      <c r="E915" s="90"/>
      <c r="F915" s="77"/>
      <c r="G915" s="77"/>
      <c r="H915" s="91"/>
    </row>
    <row r="916" spans="1:8" ht="30" customHeight="1" x14ac:dyDescent="0.25">
      <c r="A916" s="76">
        <f>+A911+1</f>
        <v>388</v>
      </c>
      <c r="B916" s="50" t="s">
        <v>1210</v>
      </c>
      <c r="C916" s="63" t="s">
        <v>1217</v>
      </c>
      <c r="D916" s="64"/>
      <c r="E916" s="65"/>
      <c r="F916" s="84" t="s">
        <v>1218</v>
      </c>
      <c r="G916" s="84" t="str">
        <f>+VLOOKUP(388,prueba!$D$2:$E$733,2,FALSE)</f>
        <v xml:space="preserve">FINANCIERA JURÍDICA- ESTRUCTURACIÓN </v>
      </c>
      <c r="H916" s="50" t="s">
        <v>1219</v>
      </c>
    </row>
    <row r="917" spans="1:8" ht="30" customHeight="1" x14ac:dyDescent="0.25">
      <c r="A917" s="312"/>
      <c r="B917" s="86"/>
      <c r="C917" s="53"/>
      <c r="D917" s="54"/>
      <c r="E917" s="55"/>
      <c r="F917" s="85"/>
      <c r="G917" s="85"/>
      <c r="H917" s="86"/>
    </row>
    <row r="918" spans="1:8" ht="30" customHeight="1" x14ac:dyDescent="0.25">
      <c r="A918" s="312"/>
      <c r="B918" s="86"/>
      <c r="C918" s="53" t="s">
        <v>1220</v>
      </c>
      <c r="D918" s="54"/>
      <c r="E918" s="55"/>
      <c r="F918" s="85"/>
      <c r="G918" s="85"/>
      <c r="H918" s="86"/>
    </row>
    <row r="919" spans="1:8" ht="30" customHeight="1" x14ac:dyDescent="0.25">
      <c r="A919" s="312"/>
      <c r="B919" s="86"/>
      <c r="C919" s="53"/>
      <c r="D919" s="54"/>
      <c r="E919" s="55"/>
      <c r="F919" s="85"/>
      <c r="G919" s="85"/>
      <c r="H919" s="86"/>
    </row>
    <row r="920" spans="1:8" ht="30" customHeight="1" x14ac:dyDescent="0.25">
      <c r="A920" s="312"/>
      <c r="B920" s="86"/>
      <c r="C920" s="53" t="s">
        <v>1221</v>
      </c>
      <c r="D920" s="54"/>
      <c r="E920" s="55"/>
      <c r="F920" s="85"/>
      <c r="G920" s="85"/>
      <c r="H920" s="86"/>
    </row>
    <row r="921" spans="1:8" ht="30" customHeight="1" x14ac:dyDescent="0.25">
      <c r="A921" s="312"/>
      <c r="B921" s="86"/>
      <c r="C921" s="53"/>
      <c r="D921" s="54"/>
      <c r="E921" s="55"/>
      <c r="F921" s="85"/>
      <c r="G921" s="85"/>
      <c r="H921" s="86"/>
    </row>
    <row r="922" spans="1:8" ht="30" customHeight="1" x14ac:dyDescent="0.25">
      <c r="A922" s="312"/>
      <c r="B922" s="86"/>
      <c r="C922" s="53" t="s">
        <v>1222</v>
      </c>
      <c r="D922" s="54"/>
      <c r="E922" s="55"/>
      <c r="F922" s="85"/>
      <c r="G922" s="85"/>
      <c r="H922" s="86"/>
    </row>
    <row r="923" spans="1:8" ht="30" customHeight="1" x14ac:dyDescent="0.25">
      <c r="A923" s="312"/>
      <c r="B923" s="86"/>
      <c r="C923" s="53"/>
      <c r="D923" s="54"/>
      <c r="E923" s="55"/>
      <c r="F923" s="85"/>
      <c r="G923" s="85"/>
      <c r="H923" s="86"/>
    </row>
    <row r="924" spans="1:8" ht="30" customHeight="1" x14ac:dyDescent="0.25">
      <c r="A924" s="312"/>
      <c r="B924" s="86"/>
      <c r="C924" s="53" t="s">
        <v>1223</v>
      </c>
      <c r="D924" s="54"/>
      <c r="E924" s="55"/>
      <c r="F924" s="85"/>
      <c r="G924" s="85"/>
      <c r="H924" s="86"/>
    </row>
    <row r="925" spans="1:8" ht="30" customHeight="1" x14ac:dyDescent="0.25">
      <c r="A925" s="312"/>
      <c r="B925" s="86"/>
      <c r="C925" s="53" t="s">
        <v>1224</v>
      </c>
      <c r="D925" s="54"/>
      <c r="E925" s="55"/>
      <c r="F925" s="85"/>
      <c r="G925" s="85"/>
      <c r="H925" s="86"/>
    </row>
    <row r="926" spans="1:8" ht="30" customHeight="1" x14ac:dyDescent="0.25">
      <c r="A926" s="312"/>
      <c r="B926" s="86"/>
      <c r="C926" s="53"/>
      <c r="D926" s="54"/>
      <c r="E926" s="55"/>
      <c r="F926" s="85"/>
      <c r="G926" s="85"/>
      <c r="H926" s="86"/>
    </row>
    <row r="927" spans="1:8" ht="30" customHeight="1" thickBot="1" x14ac:dyDescent="0.3">
      <c r="A927" s="83"/>
      <c r="B927" s="91"/>
      <c r="C927" s="88" t="s">
        <v>1225</v>
      </c>
      <c r="D927" s="89"/>
      <c r="E927" s="90"/>
      <c r="F927" s="77"/>
      <c r="G927" s="77"/>
      <c r="H927" s="91"/>
    </row>
    <row r="928" spans="1:8" ht="30" customHeight="1" x14ac:dyDescent="0.25">
      <c r="A928" s="76">
        <f>+A916+1</f>
        <v>389</v>
      </c>
      <c r="B928" s="50" t="s">
        <v>1210</v>
      </c>
      <c r="C928" s="63" t="s">
        <v>1226</v>
      </c>
      <c r="D928" s="64"/>
      <c r="E928" s="65"/>
      <c r="F928" s="84" t="s">
        <v>1227</v>
      </c>
      <c r="G928" s="84" t="str">
        <f>+VLOOKUP(389,prueba!$D$2:$E$733,2,FALSE)</f>
        <v>FINANCIERA JURÍDICA – ESTRUCTURACIÓN Y CONTRATACIÓN</v>
      </c>
      <c r="H928" s="50" t="s">
        <v>1228</v>
      </c>
    </row>
    <row r="929" spans="1:8" ht="30" customHeight="1" x14ac:dyDescent="0.25">
      <c r="A929" s="312"/>
      <c r="B929" s="86"/>
      <c r="C929" s="53"/>
      <c r="D929" s="54"/>
      <c r="E929" s="55"/>
      <c r="F929" s="85"/>
      <c r="G929" s="85"/>
      <c r="H929" s="86"/>
    </row>
    <row r="930" spans="1:8" ht="30" customHeight="1" x14ac:dyDescent="0.25">
      <c r="A930" s="312"/>
      <c r="B930" s="86"/>
      <c r="C930" s="53" t="s">
        <v>1229</v>
      </c>
      <c r="D930" s="54"/>
      <c r="E930" s="55"/>
      <c r="F930" s="85"/>
      <c r="G930" s="85"/>
      <c r="H930" s="86"/>
    </row>
    <row r="931" spans="1:8" ht="30" customHeight="1" x14ac:dyDescent="0.25">
      <c r="A931" s="312"/>
      <c r="B931" s="86"/>
      <c r="C931" s="53"/>
      <c r="D931" s="54"/>
      <c r="E931" s="55"/>
      <c r="F931" s="85"/>
      <c r="G931" s="85"/>
      <c r="H931" s="86"/>
    </row>
    <row r="932" spans="1:8" ht="30" customHeight="1" x14ac:dyDescent="0.25">
      <c r="A932" s="312"/>
      <c r="B932" s="86"/>
      <c r="C932" s="53" t="s">
        <v>1230</v>
      </c>
      <c r="D932" s="54"/>
      <c r="E932" s="55"/>
      <c r="F932" s="85"/>
      <c r="G932" s="85"/>
      <c r="H932" s="86"/>
    </row>
    <row r="933" spans="1:8" ht="30" customHeight="1" x14ac:dyDescent="0.25">
      <c r="A933" s="312"/>
      <c r="B933" s="86"/>
      <c r="C933" s="53"/>
      <c r="D933" s="54"/>
      <c r="E933" s="55"/>
      <c r="F933" s="85"/>
      <c r="G933" s="85"/>
      <c r="H933" s="86"/>
    </row>
    <row r="934" spans="1:8" ht="30" customHeight="1" x14ac:dyDescent="0.25">
      <c r="A934" s="312"/>
      <c r="B934" s="86"/>
      <c r="C934" s="53" t="s">
        <v>1231</v>
      </c>
      <c r="D934" s="54"/>
      <c r="E934" s="55"/>
      <c r="F934" s="85"/>
      <c r="G934" s="85"/>
      <c r="H934" s="86"/>
    </row>
    <row r="935" spans="1:8" ht="30" customHeight="1" thickBot="1" x14ac:dyDescent="0.3">
      <c r="A935" s="83"/>
      <c r="B935" s="91"/>
      <c r="C935" s="88" t="s">
        <v>1232</v>
      </c>
      <c r="D935" s="89"/>
      <c r="E935" s="90"/>
      <c r="F935" s="77"/>
      <c r="G935" s="77"/>
      <c r="H935" s="91"/>
    </row>
    <row r="936" spans="1:8" ht="30" customHeight="1" x14ac:dyDescent="0.25">
      <c r="A936" s="76">
        <f>+A928+1</f>
        <v>390</v>
      </c>
      <c r="B936" s="50" t="s">
        <v>1210</v>
      </c>
      <c r="C936" s="63" t="s">
        <v>1233</v>
      </c>
      <c r="D936" s="64"/>
      <c r="E936" s="65"/>
      <c r="F936" s="84" t="s">
        <v>1234</v>
      </c>
      <c r="G936" s="84" t="str">
        <f>+VLOOKUP(390,prueba!$D$2:$E$733,2,FALSE)</f>
        <v>FINANCIERA</v>
      </c>
      <c r="H936" s="50" t="s">
        <v>8907</v>
      </c>
    </row>
    <row r="937" spans="1:8" ht="30" customHeight="1" x14ac:dyDescent="0.25">
      <c r="A937" s="312"/>
      <c r="B937" s="86"/>
      <c r="C937" s="53"/>
      <c r="D937" s="54"/>
      <c r="E937" s="55"/>
      <c r="F937" s="85"/>
      <c r="G937" s="85"/>
      <c r="H937" s="86"/>
    </row>
    <row r="938" spans="1:8" ht="30" customHeight="1" thickBot="1" x14ac:dyDescent="0.3">
      <c r="A938" s="83"/>
      <c r="B938" s="91"/>
      <c r="C938" s="88" t="s">
        <v>1235</v>
      </c>
      <c r="D938" s="89"/>
      <c r="E938" s="90"/>
      <c r="F938" s="77"/>
      <c r="G938" s="77"/>
      <c r="H938" s="91"/>
    </row>
    <row r="939" spans="1:8" ht="30" customHeight="1" x14ac:dyDescent="0.25">
      <c r="A939" s="76">
        <f>+A936+1</f>
        <v>391</v>
      </c>
      <c r="B939" s="50" t="s">
        <v>1210</v>
      </c>
      <c r="C939" s="63" t="s">
        <v>1236</v>
      </c>
      <c r="D939" s="64"/>
      <c r="E939" s="65"/>
      <c r="F939" s="84" t="s">
        <v>1237</v>
      </c>
      <c r="G939" s="84" t="str">
        <f>+VLOOKUP(391,prueba!$D$2:$E$733,2,FALSE)</f>
        <v>JURÍDICA</v>
      </c>
      <c r="H939" s="50" t="s">
        <v>7363</v>
      </c>
    </row>
    <row r="940" spans="1:8" ht="30" customHeight="1" x14ac:dyDescent="0.25">
      <c r="A940" s="312"/>
      <c r="B940" s="86"/>
      <c r="C940" s="53"/>
      <c r="D940" s="54"/>
      <c r="E940" s="55"/>
      <c r="F940" s="85"/>
      <c r="G940" s="85"/>
      <c r="H940" s="86"/>
    </row>
    <row r="941" spans="1:8" ht="30" customHeight="1" x14ac:dyDescent="0.25">
      <c r="A941" s="312"/>
      <c r="B941" s="86"/>
      <c r="C941" s="53" t="s">
        <v>1238</v>
      </c>
      <c r="D941" s="54"/>
      <c r="E941" s="55"/>
      <c r="F941" s="85"/>
      <c r="G941" s="85"/>
      <c r="H941" s="86"/>
    </row>
    <row r="942" spans="1:8" ht="30" customHeight="1" x14ac:dyDescent="0.25">
      <c r="A942" s="312"/>
      <c r="B942" s="86"/>
      <c r="C942" s="53"/>
      <c r="D942" s="54"/>
      <c r="E942" s="55"/>
      <c r="F942" s="85"/>
      <c r="G942" s="85"/>
      <c r="H942" s="86"/>
    </row>
    <row r="943" spans="1:8" ht="30" customHeight="1" x14ac:dyDescent="0.25">
      <c r="A943" s="312"/>
      <c r="B943" s="86"/>
      <c r="C943" s="53" t="s">
        <v>1239</v>
      </c>
      <c r="D943" s="54"/>
      <c r="E943" s="55"/>
      <c r="F943" s="85"/>
      <c r="G943" s="85"/>
      <c r="H943" s="86"/>
    </row>
    <row r="944" spans="1:8" ht="30" customHeight="1" x14ac:dyDescent="0.25">
      <c r="A944" s="312"/>
      <c r="B944" s="86"/>
      <c r="C944" s="53"/>
      <c r="D944" s="54"/>
      <c r="E944" s="55"/>
      <c r="F944" s="85"/>
      <c r="G944" s="85"/>
      <c r="H944" s="86"/>
    </row>
    <row r="945" spans="1:8" ht="30" customHeight="1" x14ac:dyDescent="0.25">
      <c r="A945" s="312"/>
      <c r="B945" s="86"/>
      <c r="C945" s="53" t="s">
        <v>1240</v>
      </c>
      <c r="D945" s="54"/>
      <c r="E945" s="55"/>
      <c r="F945" s="85"/>
      <c r="G945" s="85"/>
      <c r="H945" s="86"/>
    </row>
    <row r="946" spans="1:8" ht="30" customHeight="1" x14ac:dyDescent="0.25">
      <c r="A946" s="312"/>
      <c r="B946" s="86"/>
      <c r="C946" s="53"/>
      <c r="D946" s="54"/>
      <c r="E946" s="55"/>
      <c r="F946" s="85"/>
      <c r="G946" s="85"/>
      <c r="H946" s="86"/>
    </row>
    <row r="947" spans="1:8" ht="30" customHeight="1" x14ac:dyDescent="0.25">
      <c r="A947" s="312"/>
      <c r="B947" s="86"/>
      <c r="C947" s="53" t="s">
        <v>1241</v>
      </c>
      <c r="D947" s="54"/>
      <c r="E947" s="55"/>
      <c r="F947" s="85"/>
      <c r="G947" s="85"/>
      <c r="H947" s="86"/>
    </row>
    <row r="948" spans="1:8" ht="30" customHeight="1" x14ac:dyDescent="0.25">
      <c r="A948" s="312"/>
      <c r="B948" s="86"/>
      <c r="C948" s="53"/>
      <c r="D948" s="54"/>
      <c r="E948" s="55"/>
      <c r="F948" s="85"/>
      <c r="G948" s="85"/>
      <c r="H948" s="86"/>
    </row>
    <row r="949" spans="1:8" ht="30" customHeight="1" x14ac:dyDescent="0.25">
      <c r="A949" s="312"/>
      <c r="B949" s="86"/>
      <c r="C949" s="53" t="s">
        <v>1242</v>
      </c>
      <c r="D949" s="54"/>
      <c r="E949" s="55"/>
      <c r="F949" s="85"/>
      <c r="G949" s="85"/>
      <c r="H949" s="86"/>
    </row>
    <row r="950" spans="1:8" ht="30" customHeight="1" x14ac:dyDescent="0.25">
      <c r="A950" s="312"/>
      <c r="B950" s="86"/>
      <c r="C950" s="53"/>
      <c r="D950" s="54"/>
      <c r="E950" s="55"/>
      <c r="F950" s="85"/>
      <c r="G950" s="85"/>
      <c r="H950" s="86"/>
    </row>
    <row r="951" spans="1:8" ht="30" customHeight="1" x14ac:dyDescent="0.25">
      <c r="A951" s="312"/>
      <c r="B951" s="86"/>
      <c r="C951" s="53" t="s">
        <v>1243</v>
      </c>
      <c r="D951" s="54"/>
      <c r="E951" s="55"/>
      <c r="F951" s="85"/>
      <c r="G951" s="85"/>
      <c r="H951" s="86"/>
    </row>
    <row r="952" spans="1:8" ht="30" customHeight="1" x14ac:dyDescent="0.25">
      <c r="A952" s="312"/>
      <c r="B952" s="86"/>
      <c r="C952" s="53"/>
      <c r="D952" s="54"/>
      <c r="E952" s="55"/>
      <c r="F952" s="85"/>
      <c r="G952" s="85"/>
      <c r="H952" s="86"/>
    </row>
    <row r="953" spans="1:8" ht="30" customHeight="1" x14ac:dyDescent="0.25">
      <c r="A953" s="312"/>
      <c r="B953" s="86"/>
      <c r="C953" s="53" t="s">
        <v>1244</v>
      </c>
      <c r="D953" s="54"/>
      <c r="E953" s="55"/>
      <c r="F953" s="85"/>
      <c r="G953" s="85"/>
      <c r="H953" s="86"/>
    </row>
    <row r="954" spans="1:8" ht="30" customHeight="1" x14ac:dyDescent="0.25">
      <c r="A954" s="312"/>
      <c r="B954" s="86"/>
      <c r="C954" s="53"/>
      <c r="D954" s="54"/>
      <c r="E954" s="55"/>
      <c r="F954" s="85"/>
      <c r="G954" s="85"/>
      <c r="H954" s="86"/>
    </row>
    <row r="955" spans="1:8" ht="30" customHeight="1" x14ac:dyDescent="0.25">
      <c r="A955" s="312"/>
      <c r="B955" s="86"/>
      <c r="C955" s="53" t="s">
        <v>1245</v>
      </c>
      <c r="D955" s="54"/>
      <c r="E955" s="55"/>
      <c r="F955" s="85"/>
      <c r="G955" s="85"/>
      <c r="H955" s="86"/>
    </row>
    <row r="956" spans="1:8" ht="30" customHeight="1" x14ac:dyDescent="0.25">
      <c r="A956" s="312"/>
      <c r="B956" s="86"/>
      <c r="C956" s="53"/>
      <c r="D956" s="54"/>
      <c r="E956" s="55"/>
      <c r="F956" s="85"/>
      <c r="G956" s="85"/>
      <c r="H956" s="86"/>
    </row>
    <row r="957" spans="1:8" ht="30" customHeight="1" x14ac:dyDescent="0.25">
      <c r="A957" s="312"/>
      <c r="B957" s="86"/>
      <c r="C957" s="53" t="s">
        <v>1246</v>
      </c>
      <c r="D957" s="54"/>
      <c r="E957" s="55"/>
      <c r="F957" s="85"/>
      <c r="G957" s="85"/>
      <c r="H957" s="86"/>
    </row>
    <row r="958" spans="1:8" ht="30" customHeight="1" x14ac:dyDescent="0.25">
      <c r="A958" s="312"/>
      <c r="B958" s="86"/>
      <c r="C958" s="53"/>
      <c r="D958" s="54"/>
      <c r="E958" s="55"/>
      <c r="F958" s="85"/>
      <c r="G958" s="85"/>
      <c r="H958" s="86"/>
    </row>
    <row r="959" spans="1:8" ht="30" customHeight="1" x14ac:dyDescent="0.25">
      <c r="A959" s="312"/>
      <c r="B959" s="86"/>
      <c r="C959" s="53" t="s">
        <v>1247</v>
      </c>
      <c r="D959" s="54"/>
      <c r="E959" s="55"/>
      <c r="F959" s="85"/>
      <c r="G959" s="85"/>
      <c r="H959" s="86"/>
    </row>
    <row r="960" spans="1:8" ht="30" customHeight="1" x14ac:dyDescent="0.25">
      <c r="A960" s="312"/>
      <c r="B960" s="86"/>
      <c r="C960" s="53"/>
      <c r="D960" s="54"/>
      <c r="E960" s="55"/>
      <c r="F960" s="85"/>
      <c r="G960" s="85"/>
      <c r="H960" s="86"/>
    </row>
    <row r="961" spans="1:8" ht="30" customHeight="1" thickBot="1" x14ac:dyDescent="0.3">
      <c r="A961" s="83"/>
      <c r="B961" s="91"/>
      <c r="C961" s="88" t="s">
        <v>1248</v>
      </c>
      <c r="D961" s="89"/>
      <c r="E961" s="90"/>
      <c r="F961" s="77"/>
      <c r="G961" s="77"/>
      <c r="H961" s="91"/>
    </row>
    <row r="962" spans="1:8" ht="30" customHeight="1" x14ac:dyDescent="0.25">
      <c r="A962" s="76">
        <f>+A939+1</f>
        <v>392</v>
      </c>
      <c r="B962" s="50" t="s">
        <v>1210</v>
      </c>
      <c r="C962" s="63" t="s">
        <v>1249</v>
      </c>
      <c r="D962" s="64"/>
      <c r="E962" s="65"/>
      <c r="F962" s="84" t="s">
        <v>1250</v>
      </c>
      <c r="G962" s="84" t="str">
        <f>+VLOOKUP(392,prueba!$D$2:$E$733,2,FALSE)</f>
        <v>FINANCIERA JURÍDICA – ESTRUCTURACIÓN</v>
      </c>
      <c r="H962" s="50" t="s">
        <v>8600</v>
      </c>
    </row>
    <row r="963" spans="1:8" ht="30" customHeight="1" x14ac:dyDescent="0.25">
      <c r="A963" s="312"/>
      <c r="B963" s="86"/>
      <c r="C963" s="53"/>
      <c r="D963" s="54"/>
      <c r="E963" s="55"/>
      <c r="F963" s="85"/>
      <c r="G963" s="85"/>
      <c r="H963" s="86"/>
    </row>
    <row r="964" spans="1:8" ht="30" customHeight="1" x14ac:dyDescent="0.25">
      <c r="A964" s="312"/>
      <c r="B964" s="86"/>
      <c r="C964" s="53" t="s">
        <v>1251</v>
      </c>
      <c r="D964" s="54"/>
      <c r="E964" s="55"/>
      <c r="F964" s="85"/>
      <c r="G964" s="85"/>
      <c r="H964" s="86"/>
    </row>
    <row r="965" spans="1:8" ht="30" customHeight="1" x14ac:dyDescent="0.25">
      <c r="A965" s="312"/>
      <c r="B965" s="86"/>
      <c r="C965" s="53"/>
      <c r="D965" s="54"/>
      <c r="E965" s="55"/>
      <c r="F965" s="85"/>
      <c r="G965" s="85"/>
      <c r="H965" s="86"/>
    </row>
    <row r="966" spans="1:8" ht="30" customHeight="1" x14ac:dyDescent="0.25">
      <c r="A966" s="312"/>
      <c r="B966" s="86"/>
      <c r="C966" s="53" t="s">
        <v>1252</v>
      </c>
      <c r="D966" s="54"/>
      <c r="E966" s="55"/>
      <c r="F966" s="85"/>
      <c r="G966" s="85"/>
      <c r="H966" s="86"/>
    </row>
    <row r="967" spans="1:8" ht="30" customHeight="1" x14ac:dyDescent="0.25">
      <c r="A967" s="312"/>
      <c r="B967" s="86"/>
      <c r="C967" s="53"/>
      <c r="D967" s="54"/>
      <c r="E967" s="55"/>
      <c r="F967" s="85"/>
      <c r="G967" s="85"/>
      <c r="H967" s="86"/>
    </row>
    <row r="968" spans="1:8" ht="30" customHeight="1" x14ac:dyDescent="0.25">
      <c r="A968" s="312"/>
      <c r="B968" s="86"/>
      <c r="C968" s="53" t="s">
        <v>1253</v>
      </c>
      <c r="D968" s="54"/>
      <c r="E968" s="55"/>
      <c r="F968" s="85"/>
      <c r="G968" s="85"/>
      <c r="H968" s="86"/>
    </row>
    <row r="969" spans="1:8" ht="30" customHeight="1" x14ac:dyDescent="0.25">
      <c r="A969" s="312"/>
      <c r="B969" s="86"/>
      <c r="C969" s="53"/>
      <c r="D969" s="54"/>
      <c r="E969" s="55"/>
      <c r="F969" s="85"/>
      <c r="G969" s="85"/>
      <c r="H969" s="86"/>
    </row>
    <row r="970" spans="1:8" ht="30" customHeight="1" thickBot="1" x14ac:dyDescent="0.3">
      <c r="A970" s="83"/>
      <c r="B970" s="91"/>
      <c r="C970" s="88" t="s">
        <v>1254</v>
      </c>
      <c r="D970" s="89"/>
      <c r="E970" s="90"/>
      <c r="F970" s="77"/>
      <c r="G970" s="77"/>
      <c r="H970" s="91"/>
    </row>
    <row r="971" spans="1:8" ht="30" customHeight="1" x14ac:dyDescent="0.25">
      <c r="A971" s="76">
        <f>+A962+1</f>
        <v>393</v>
      </c>
      <c r="B971" s="50" t="s">
        <v>1210</v>
      </c>
      <c r="C971" s="63" t="s">
        <v>1255</v>
      </c>
      <c r="D971" s="64"/>
      <c r="E971" s="65"/>
      <c r="F971" s="84" t="s">
        <v>1256</v>
      </c>
      <c r="G971" s="84" t="str">
        <f>+VLOOKUP(393,prueba!$D$2:$E$733,2,FALSE)</f>
        <v>JURÍDICA - CONTRATACIÓN</v>
      </c>
      <c r="H971" s="50" t="s">
        <v>1257</v>
      </c>
    </row>
    <row r="972" spans="1:8" ht="30" customHeight="1" x14ac:dyDescent="0.25">
      <c r="A972" s="312"/>
      <c r="B972" s="86"/>
      <c r="C972" s="53"/>
      <c r="D972" s="54"/>
      <c r="E972" s="55"/>
      <c r="F972" s="85"/>
      <c r="G972" s="85"/>
      <c r="H972" s="86"/>
    </row>
    <row r="973" spans="1:8" ht="30" customHeight="1" x14ac:dyDescent="0.25">
      <c r="A973" s="312"/>
      <c r="B973" s="86"/>
      <c r="C973" s="53" t="s">
        <v>1258</v>
      </c>
      <c r="D973" s="54"/>
      <c r="E973" s="55"/>
      <c r="F973" s="85"/>
      <c r="G973" s="85"/>
      <c r="H973" s="86"/>
    </row>
    <row r="974" spans="1:8" ht="30" customHeight="1" x14ac:dyDescent="0.25">
      <c r="A974" s="312"/>
      <c r="B974" s="86"/>
      <c r="C974" s="53"/>
      <c r="D974" s="54"/>
      <c r="E974" s="55"/>
      <c r="F974" s="85"/>
      <c r="G974" s="85"/>
      <c r="H974" s="86"/>
    </row>
    <row r="975" spans="1:8" ht="30" customHeight="1" x14ac:dyDescent="0.25">
      <c r="A975" s="312"/>
      <c r="B975" s="86"/>
      <c r="C975" s="53" t="s">
        <v>1259</v>
      </c>
      <c r="D975" s="54"/>
      <c r="E975" s="55"/>
      <c r="F975" s="85"/>
      <c r="G975" s="85"/>
      <c r="H975" s="86"/>
    </row>
    <row r="976" spans="1:8" ht="30" customHeight="1" x14ac:dyDescent="0.25">
      <c r="A976" s="312"/>
      <c r="B976" s="86"/>
      <c r="C976" s="53"/>
      <c r="D976" s="54"/>
      <c r="E976" s="55"/>
      <c r="F976" s="85"/>
      <c r="G976" s="85"/>
      <c r="H976" s="86"/>
    </row>
    <row r="977" spans="1:8" ht="30" customHeight="1" x14ac:dyDescent="0.25">
      <c r="A977" s="312"/>
      <c r="B977" s="86"/>
      <c r="C977" s="53" t="s">
        <v>1260</v>
      </c>
      <c r="D977" s="54"/>
      <c r="E977" s="55"/>
      <c r="F977" s="85"/>
      <c r="G977" s="85"/>
      <c r="H977" s="86"/>
    </row>
    <row r="978" spans="1:8" ht="30" customHeight="1" x14ac:dyDescent="0.25">
      <c r="A978" s="312"/>
      <c r="B978" s="86"/>
      <c r="C978" s="53"/>
      <c r="D978" s="54"/>
      <c r="E978" s="55"/>
      <c r="F978" s="85"/>
      <c r="G978" s="85"/>
      <c r="H978" s="86"/>
    </row>
    <row r="979" spans="1:8" ht="30" customHeight="1" x14ac:dyDescent="0.25">
      <c r="A979" s="312"/>
      <c r="B979" s="86"/>
      <c r="C979" s="53" t="s">
        <v>1261</v>
      </c>
      <c r="D979" s="54"/>
      <c r="E979" s="55"/>
      <c r="F979" s="85"/>
      <c r="G979" s="85"/>
      <c r="H979" s="86"/>
    </row>
    <row r="980" spans="1:8" ht="30" customHeight="1" x14ac:dyDescent="0.25">
      <c r="A980" s="312"/>
      <c r="B980" s="86"/>
      <c r="C980" s="53"/>
      <c r="D980" s="54"/>
      <c r="E980" s="55"/>
      <c r="F980" s="85"/>
      <c r="G980" s="85"/>
      <c r="H980" s="86"/>
    </row>
    <row r="981" spans="1:8" ht="30" customHeight="1" thickBot="1" x14ac:dyDescent="0.3">
      <c r="A981" s="83"/>
      <c r="B981" s="91"/>
      <c r="C981" s="88" t="s">
        <v>1262</v>
      </c>
      <c r="D981" s="89"/>
      <c r="E981" s="90"/>
      <c r="F981" s="77"/>
      <c r="G981" s="77"/>
      <c r="H981" s="91"/>
    </row>
    <row r="982" spans="1:8" ht="30" customHeight="1" thickBot="1" x14ac:dyDescent="0.3">
      <c r="A982" s="313">
        <f>+A971+1</f>
        <v>394</v>
      </c>
      <c r="B982" s="52" t="s">
        <v>1210</v>
      </c>
      <c r="C982" s="108" t="s">
        <v>1263</v>
      </c>
      <c r="D982" s="109"/>
      <c r="E982" s="110"/>
      <c r="F982" s="78" t="s">
        <v>1264</v>
      </c>
      <c r="G982" s="107" t="str">
        <f>+VLOOKUP(394,prueba!$D$2:$E$733,2,FALSE)</f>
        <v>FINANCIERA RIESGOS</v>
      </c>
      <c r="H982" s="52" t="s">
        <v>8908</v>
      </c>
    </row>
    <row r="983" spans="1:8" ht="30" customHeight="1" x14ac:dyDescent="0.25">
      <c r="A983" s="76">
        <f>+A982+1</f>
        <v>395</v>
      </c>
      <c r="B983" s="84" t="s">
        <v>1210</v>
      </c>
      <c r="C983" s="121" t="s">
        <v>1265</v>
      </c>
      <c r="D983" s="122"/>
      <c r="E983" s="123"/>
      <c r="F983" s="84" t="s">
        <v>1266</v>
      </c>
      <c r="G983" s="84" t="str">
        <f>+VLOOKUP(395,prueba!$D$2:$E$733,2,FALSE)</f>
        <v>FINANCIERA JURÍDICA - ESTRUCTURACIÓN</v>
      </c>
      <c r="H983" s="123" t="s">
        <v>1267</v>
      </c>
    </row>
    <row r="984" spans="1:8" ht="30" customHeight="1" x14ac:dyDescent="0.25">
      <c r="A984" s="312"/>
      <c r="B984" s="85"/>
      <c r="C984" s="124"/>
      <c r="D984" s="143"/>
      <c r="E984" s="126"/>
      <c r="F984" s="85"/>
      <c r="G984" s="85"/>
      <c r="H984" s="126"/>
    </row>
    <row r="985" spans="1:8" ht="30" customHeight="1" thickBot="1" x14ac:dyDescent="0.3">
      <c r="A985" s="83"/>
      <c r="B985" s="77"/>
      <c r="C985" s="127"/>
      <c r="D985" s="128"/>
      <c r="E985" s="129"/>
      <c r="F985" s="77"/>
      <c r="G985" s="77"/>
      <c r="H985" s="129"/>
    </row>
    <row r="986" spans="1:8" ht="30" customHeight="1" thickBot="1" x14ac:dyDescent="0.3">
      <c r="A986" s="313">
        <f>+A983+1</f>
        <v>396</v>
      </c>
      <c r="B986" s="52" t="s">
        <v>1210</v>
      </c>
      <c r="C986" s="108" t="s">
        <v>1268</v>
      </c>
      <c r="D986" s="109"/>
      <c r="E986" s="110"/>
      <c r="F986" s="78" t="s">
        <v>1269</v>
      </c>
      <c r="G986" s="107" t="str">
        <f>+VLOOKUP(396,prueba!$D$2:$E$733,2,FALSE)</f>
        <v>JURÍDICA - ESTRUCTURACIÓN </v>
      </c>
      <c r="H986" s="52" t="s">
        <v>6015</v>
      </c>
    </row>
    <row r="987" spans="1:8" ht="30" customHeight="1" thickBot="1" x14ac:dyDescent="0.3">
      <c r="A987" s="313">
        <f t="shared" ref="A987:A992" si="12">+A986+1</f>
        <v>397</v>
      </c>
      <c r="B987" s="52" t="s">
        <v>1210</v>
      </c>
      <c r="C987" s="108" t="s">
        <v>1270</v>
      </c>
      <c r="D987" s="109"/>
      <c r="E987" s="110"/>
      <c r="F987" s="78" t="s">
        <v>1271</v>
      </c>
      <c r="G987" s="107" t="str">
        <f>+VLOOKUP(397,prueba!$D$2:$E$733,2,FALSE)</f>
        <v xml:space="preserve">TÉCNICA  SOCIAL </v>
      </c>
      <c r="H987" s="52" t="s">
        <v>9246</v>
      </c>
    </row>
    <row r="988" spans="1:8" ht="30" customHeight="1" thickBot="1" x14ac:dyDescent="0.3">
      <c r="A988" s="313">
        <f t="shared" si="12"/>
        <v>398</v>
      </c>
      <c r="B988" s="52" t="s">
        <v>1210</v>
      </c>
      <c r="C988" s="108" t="s">
        <v>1272</v>
      </c>
      <c r="D988" s="109"/>
      <c r="E988" s="110"/>
      <c r="F988" s="78" t="s">
        <v>1273</v>
      </c>
      <c r="G988" s="107" t="str">
        <f>+VLOOKUP(398,prueba!$D$2:$E$733,2,FALSE)</f>
        <v>JURÍDICA – ESTRUCTURACIÓN  FINANCIERA</v>
      </c>
      <c r="H988" s="52" t="s">
        <v>6016</v>
      </c>
    </row>
    <row r="989" spans="1:8" ht="30" customHeight="1" thickBot="1" x14ac:dyDescent="0.3">
      <c r="A989" s="313">
        <f t="shared" si="12"/>
        <v>399</v>
      </c>
      <c r="B989" s="52" t="s">
        <v>1210</v>
      </c>
      <c r="C989" s="108" t="s">
        <v>1274</v>
      </c>
      <c r="D989" s="109"/>
      <c r="E989" s="110"/>
      <c r="F989" s="78" t="s">
        <v>1275</v>
      </c>
      <c r="G989" s="107" t="str">
        <f>+VLOOKUP(399,prueba!$D$2:$E$733,2,FALSE)</f>
        <v xml:space="preserve">AMBIENTAL – FINANCIERA </v>
      </c>
      <c r="H989" s="52" t="s">
        <v>8909</v>
      </c>
    </row>
    <row r="990" spans="1:8" ht="30" customHeight="1" thickBot="1" x14ac:dyDescent="0.3">
      <c r="A990" s="313">
        <f t="shared" si="12"/>
        <v>400</v>
      </c>
      <c r="B990" s="52" t="s">
        <v>1210</v>
      </c>
      <c r="C990" s="108" t="s">
        <v>1276</v>
      </c>
      <c r="D990" s="109"/>
      <c r="E990" s="110"/>
      <c r="F990" s="78" t="s">
        <v>1277</v>
      </c>
      <c r="G990" s="107" t="str">
        <f>+VLOOKUP(400,prueba!$D$2:$E$733,2,FALSE)</f>
        <v>FINANCIERA</v>
      </c>
      <c r="H990" s="52" t="s">
        <v>7360</v>
      </c>
    </row>
    <row r="991" spans="1:8" ht="30" customHeight="1" thickBot="1" x14ac:dyDescent="0.3">
      <c r="A991" s="313">
        <f t="shared" si="12"/>
        <v>401</v>
      </c>
      <c r="B991" s="52" t="s">
        <v>1210</v>
      </c>
      <c r="C991" s="108" t="s">
        <v>1278</v>
      </c>
      <c r="D991" s="109"/>
      <c r="E991" s="110"/>
      <c r="F991" s="78" t="s">
        <v>1279</v>
      </c>
      <c r="G991" s="107" t="str">
        <f>+VLOOKUP(401,prueba!$D$2:$E$733,2,FALSE)</f>
        <v xml:space="preserve">FINANCIERA </v>
      </c>
      <c r="H991" s="52" t="s">
        <v>1280</v>
      </c>
    </row>
    <row r="992" spans="1:8" ht="30" customHeight="1" thickBot="1" x14ac:dyDescent="0.3">
      <c r="A992" s="313">
        <f t="shared" si="12"/>
        <v>402</v>
      </c>
      <c r="B992" s="52" t="s">
        <v>1210</v>
      </c>
      <c r="C992" s="108" t="s">
        <v>1281</v>
      </c>
      <c r="D992" s="109"/>
      <c r="E992" s="110"/>
      <c r="F992" s="78" t="s">
        <v>1282</v>
      </c>
      <c r="G992" s="107" t="str">
        <f>+VLOOKUP(402,prueba!$D$2:$E$733,2,FALSE)</f>
        <v>JURÍDICA</v>
      </c>
      <c r="H992" s="52" t="s">
        <v>8420</v>
      </c>
    </row>
    <row r="993" spans="1:8" ht="30" customHeight="1" thickBot="1" x14ac:dyDescent="0.3">
      <c r="A993" s="313">
        <f>++A992+1</f>
        <v>403</v>
      </c>
      <c r="B993" s="52" t="s">
        <v>1210</v>
      </c>
      <c r="C993" s="108" t="s">
        <v>1283</v>
      </c>
      <c r="D993" s="109"/>
      <c r="E993" s="110"/>
      <c r="F993" s="78" t="s">
        <v>1284</v>
      </c>
      <c r="G993" s="107" t="str">
        <f>+VLOOKUP(403,prueba!$D$2:$E$733,2,FALSE)</f>
        <v>FINANCIERA</v>
      </c>
      <c r="H993" s="52" t="s">
        <v>1285</v>
      </c>
    </row>
    <row r="994" spans="1:8" ht="30" customHeight="1" thickBot="1" x14ac:dyDescent="0.3">
      <c r="A994" s="313">
        <f>+A993+1</f>
        <v>404</v>
      </c>
      <c r="B994" s="52" t="s">
        <v>1210</v>
      </c>
      <c r="C994" s="108" t="s">
        <v>1286</v>
      </c>
      <c r="D994" s="109"/>
      <c r="E994" s="110"/>
      <c r="F994" s="78" t="s">
        <v>1287</v>
      </c>
      <c r="G994" s="107" t="str">
        <f>+VLOOKUP(404,prueba!$D$2:$E$733,2,FALSE)</f>
        <v>FINANCIERA JURÍDICA - ESTRUCTURACIÓN</v>
      </c>
      <c r="H994" s="52" t="s">
        <v>8229</v>
      </c>
    </row>
    <row r="995" spans="1:8" ht="30" customHeight="1" thickBot="1" x14ac:dyDescent="0.3">
      <c r="A995" s="313">
        <f>+A994+1</f>
        <v>405</v>
      </c>
      <c r="B995" s="52" t="s">
        <v>1210</v>
      </c>
      <c r="C995" s="108" t="s">
        <v>1288</v>
      </c>
      <c r="D995" s="109"/>
      <c r="E995" s="110"/>
      <c r="F995" s="78" t="s">
        <v>1287</v>
      </c>
      <c r="G995" s="107" t="str">
        <f>+VLOOKUP(405,prueba!$D$2:$E$733,2,FALSE)</f>
        <v>FINANCIAERA JURÍDICA</v>
      </c>
      <c r="H995" s="52" t="s">
        <v>1289</v>
      </c>
    </row>
    <row r="996" spans="1:8" ht="30" customHeight="1" thickBot="1" x14ac:dyDescent="0.3">
      <c r="A996" s="313">
        <f>++A995+1</f>
        <v>406</v>
      </c>
      <c r="B996" s="52" t="s">
        <v>1210</v>
      </c>
      <c r="C996" s="108" t="s">
        <v>1290</v>
      </c>
      <c r="D996" s="109"/>
      <c r="E996" s="110"/>
      <c r="F996" s="78" t="s">
        <v>1291</v>
      </c>
      <c r="G996" s="107" t="str">
        <f>+VLOOKUP(406,prueba!$D$2:$E$733,2,FALSE)</f>
        <v>FINANCIERA</v>
      </c>
      <c r="H996" s="52" t="s">
        <v>1292</v>
      </c>
    </row>
    <row r="997" spans="1:8" ht="30" customHeight="1" thickBot="1" x14ac:dyDescent="0.3">
      <c r="A997" s="313">
        <f>+A996+1</f>
        <v>407</v>
      </c>
      <c r="B997" s="52" t="s">
        <v>1210</v>
      </c>
      <c r="C997" s="108" t="s">
        <v>1293</v>
      </c>
      <c r="D997" s="109"/>
      <c r="E997" s="110"/>
      <c r="F997" s="78" t="s">
        <v>1294</v>
      </c>
      <c r="G997" s="107" t="str">
        <f>+VLOOKUP(407,prueba!$D$2:$E$733,2,FALSE)</f>
        <v>JURÍDICA - ESTRUCTURACIÓN</v>
      </c>
      <c r="H997" s="52" t="s">
        <v>8601</v>
      </c>
    </row>
    <row r="998" spans="1:8" ht="30" customHeight="1" thickBot="1" x14ac:dyDescent="0.3">
      <c r="A998" s="313">
        <f>+A997+1</f>
        <v>408</v>
      </c>
      <c r="B998" s="52" t="s">
        <v>1210</v>
      </c>
      <c r="C998" s="108" t="s">
        <v>1295</v>
      </c>
      <c r="D998" s="109"/>
      <c r="E998" s="110"/>
      <c r="F998" s="78" t="s">
        <v>1296</v>
      </c>
      <c r="G998" s="107" t="str">
        <f>+VLOOKUP(408,prueba!$D$2:$E$733,2,FALSE)</f>
        <v>JURÍDICA - ESTRUCTURACIÓN</v>
      </c>
      <c r="H998" s="52" t="s">
        <v>8602</v>
      </c>
    </row>
    <row r="999" spans="1:8" ht="30" customHeight="1" x14ac:dyDescent="0.25">
      <c r="A999" s="76">
        <f>+A998+1</f>
        <v>409</v>
      </c>
      <c r="B999" s="50" t="s">
        <v>1210</v>
      </c>
      <c r="C999" s="63" t="s">
        <v>1297</v>
      </c>
      <c r="D999" s="64"/>
      <c r="E999" s="65"/>
      <c r="F999" s="84" t="s">
        <v>1298</v>
      </c>
      <c r="G999" s="84" t="str">
        <f>+VLOOKUP(409,prueba!$D$2:$E$733,2,FALSE)</f>
        <v>FINANCIERA</v>
      </c>
      <c r="H999" s="50" t="s">
        <v>1299</v>
      </c>
    </row>
    <row r="1000" spans="1:8" ht="30" customHeight="1" thickBot="1" x14ac:dyDescent="0.3">
      <c r="A1000" s="83"/>
      <c r="B1000" s="91"/>
      <c r="C1000" s="88" t="s">
        <v>1300</v>
      </c>
      <c r="D1000" s="89"/>
      <c r="E1000" s="90"/>
      <c r="F1000" s="77"/>
      <c r="G1000" s="77"/>
      <c r="H1000" s="91"/>
    </row>
    <row r="1001" spans="1:8" ht="30" customHeight="1" x14ac:dyDescent="0.25">
      <c r="A1001" s="76">
        <f>+A999+1</f>
        <v>410</v>
      </c>
      <c r="B1001" s="50" t="s">
        <v>1210</v>
      </c>
      <c r="C1001" s="63" t="s">
        <v>1301</v>
      </c>
      <c r="D1001" s="64"/>
      <c r="E1001" s="65"/>
      <c r="F1001" s="84" t="s">
        <v>1302</v>
      </c>
      <c r="G1001" s="84" t="str">
        <f>+VLOOKUP(410,prueba!$D$2:$E$733,2,FALSE)</f>
        <v>JURÍDICA – ESTRUCTURACIÓN</v>
      </c>
      <c r="H1001" s="50" t="s">
        <v>1303</v>
      </c>
    </row>
    <row r="1002" spans="1:8" ht="30" customHeight="1" thickBot="1" x14ac:dyDescent="0.3">
      <c r="A1002" s="83"/>
      <c r="B1002" s="91"/>
      <c r="C1002" s="88" t="s">
        <v>1304</v>
      </c>
      <c r="D1002" s="89"/>
      <c r="E1002" s="90"/>
      <c r="F1002" s="77"/>
      <c r="G1002" s="77"/>
      <c r="H1002" s="91"/>
    </row>
    <row r="1003" spans="1:8" ht="30" customHeight="1" x14ac:dyDescent="0.25">
      <c r="A1003" s="76">
        <f>+A1001+1</f>
        <v>411</v>
      </c>
      <c r="B1003" s="50" t="s">
        <v>1210</v>
      </c>
      <c r="C1003" s="63" t="s">
        <v>1305</v>
      </c>
      <c r="D1003" s="64"/>
      <c r="E1003" s="65"/>
      <c r="F1003" s="84" t="s">
        <v>1306</v>
      </c>
      <c r="G1003" s="84" t="str">
        <f>+VLOOKUP(411,prueba!$D$2:$E$733,2,FALSE)</f>
        <v>JURÍDICA - ESTRUCTURACIÓN</v>
      </c>
      <c r="H1003" s="50" t="s">
        <v>9211</v>
      </c>
    </row>
    <row r="1004" spans="1:8" ht="30" customHeight="1" thickBot="1" x14ac:dyDescent="0.3">
      <c r="A1004" s="83"/>
      <c r="B1004" s="91"/>
      <c r="C1004" s="88" t="s">
        <v>1307</v>
      </c>
      <c r="D1004" s="89"/>
      <c r="E1004" s="90"/>
      <c r="F1004" s="77"/>
      <c r="G1004" s="77"/>
      <c r="H1004" s="91"/>
    </row>
    <row r="1005" spans="1:8" ht="30" customHeight="1" thickBot="1" x14ac:dyDescent="0.3">
      <c r="A1005" s="313">
        <f>+A1003+1</f>
        <v>412</v>
      </c>
      <c r="B1005" s="52" t="s">
        <v>1210</v>
      </c>
      <c r="C1005" s="108" t="s">
        <v>1308</v>
      </c>
      <c r="D1005" s="109"/>
      <c r="E1005" s="110"/>
      <c r="F1005" s="78" t="s">
        <v>1309</v>
      </c>
      <c r="G1005" s="107" t="str">
        <f>+VLOOKUP(412,prueba!$D$2:$E$733,2,FALSE)</f>
        <v>JURÍDICA PREDIAL</v>
      </c>
      <c r="H1005" s="52" t="s">
        <v>1310</v>
      </c>
    </row>
    <row r="1006" spans="1:8" ht="30" customHeight="1" thickBot="1" x14ac:dyDescent="0.3">
      <c r="A1006" s="313">
        <f>+A1005+1</f>
        <v>413</v>
      </c>
      <c r="B1006" s="52" t="s">
        <v>1210</v>
      </c>
      <c r="C1006" s="108" t="s">
        <v>1311</v>
      </c>
      <c r="D1006" s="109"/>
      <c r="E1006" s="110"/>
      <c r="F1006" s="78" t="s">
        <v>1312</v>
      </c>
      <c r="G1006" s="107" t="str">
        <f>+VLOOKUP(413,prueba!$D$2:$E$733,2,FALSE)</f>
        <v>FINANCIERA</v>
      </c>
      <c r="H1006" s="52" t="s">
        <v>9185</v>
      </c>
    </row>
    <row r="1007" spans="1:8" ht="30" customHeight="1" thickBot="1" x14ac:dyDescent="0.3">
      <c r="A1007" s="313">
        <f>+A1006+1</f>
        <v>414</v>
      </c>
      <c r="B1007" s="52" t="s">
        <v>1210</v>
      </c>
      <c r="C1007" s="108" t="s">
        <v>1313</v>
      </c>
      <c r="D1007" s="109"/>
      <c r="E1007" s="110"/>
      <c r="F1007" s="78" t="s">
        <v>1314</v>
      </c>
      <c r="G1007" s="107" t="str">
        <f>+VLOOKUP(414,prueba!$D$2:$E$733,2,FALSE)</f>
        <v>FINANCIERA</v>
      </c>
      <c r="H1007" s="52" t="s">
        <v>9185</v>
      </c>
    </row>
    <row r="1008" spans="1:8" ht="30" customHeight="1" thickBot="1" x14ac:dyDescent="0.3">
      <c r="A1008" s="313">
        <f>+A1007+1</f>
        <v>415</v>
      </c>
      <c r="B1008" s="52" t="s">
        <v>1210</v>
      </c>
      <c r="C1008" s="108" t="s">
        <v>1315</v>
      </c>
      <c r="D1008" s="109"/>
      <c r="E1008" s="110"/>
      <c r="F1008" s="78" t="s">
        <v>1316</v>
      </c>
      <c r="G1008" s="107" t="str">
        <f>+VLOOKUP(415,prueba!$D$2:$E$733,2,FALSE)</f>
        <v xml:space="preserve">DEFENSA JUDICIAL </v>
      </c>
      <c r="H1008" s="52" t="s">
        <v>7981</v>
      </c>
    </row>
    <row r="1009" spans="1:8" ht="109.5" customHeight="1" x14ac:dyDescent="0.25">
      <c r="A1009" s="76">
        <f>+A1008+1</f>
        <v>416</v>
      </c>
      <c r="B1009" s="50" t="s">
        <v>1210</v>
      </c>
      <c r="C1009" s="63" t="s">
        <v>1317</v>
      </c>
      <c r="D1009" s="64"/>
      <c r="E1009" s="65"/>
      <c r="F1009" s="84" t="s">
        <v>1318</v>
      </c>
      <c r="G1009" s="84" t="str">
        <f>+VLOOKUP(416,prueba!$D$2:$E$733,2,FALSE)</f>
        <v>RIESGOS FINANCIERA</v>
      </c>
      <c r="H1009" s="50" t="s">
        <v>9180</v>
      </c>
    </row>
    <row r="1010" spans="1:8" ht="14.25" customHeight="1" x14ac:dyDescent="0.25">
      <c r="A1010" s="312"/>
      <c r="B1010" s="86"/>
      <c r="C1010" s="53"/>
      <c r="D1010" s="54"/>
      <c r="E1010" s="55"/>
      <c r="F1010" s="85"/>
      <c r="G1010" s="85"/>
      <c r="H1010" s="86"/>
    </row>
    <row r="1011" spans="1:8" ht="122.25" customHeight="1" thickBot="1" x14ac:dyDescent="0.3">
      <c r="A1011" s="83"/>
      <c r="B1011" s="91"/>
      <c r="C1011" s="88" t="s">
        <v>1319</v>
      </c>
      <c r="D1011" s="89"/>
      <c r="E1011" s="90"/>
      <c r="F1011" s="77"/>
      <c r="G1011" s="77"/>
      <c r="H1011" s="91"/>
    </row>
    <row r="1012" spans="1:8" ht="30" customHeight="1" thickBot="1" x14ac:dyDescent="0.3">
      <c r="A1012" s="313">
        <f>+A1009+1</f>
        <v>417</v>
      </c>
      <c r="B1012" s="52" t="s">
        <v>1210</v>
      </c>
      <c r="C1012" s="108" t="s">
        <v>1320</v>
      </c>
      <c r="D1012" s="109"/>
      <c r="E1012" s="110"/>
      <c r="F1012" s="78" t="s">
        <v>1321</v>
      </c>
      <c r="G1012" s="107" t="str">
        <f>+VLOOKUP(417,prueba!$D$2:$E$733,2,FALSE)</f>
        <v>JURÍDICA – DEFENSA JUDICIAL</v>
      </c>
      <c r="H1012" s="52" t="s">
        <v>8113</v>
      </c>
    </row>
    <row r="1013" spans="1:8" ht="30" customHeight="1" thickBot="1" x14ac:dyDescent="0.3">
      <c r="A1013" s="313">
        <f>+A1012+1</f>
        <v>418</v>
      </c>
      <c r="B1013" s="52" t="s">
        <v>1210</v>
      </c>
      <c r="C1013" s="108" t="s">
        <v>1322</v>
      </c>
      <c r="D1013" s="109"/>
      <c r="E1013" s="110"/>
      <c r="F1013" s="78" t="s">
        <v>1323</v>
      </c>
      <c r="G1013" s="107" t="str">
        <f>+VLOOKUP(418,prueba!$D$2:$E$733,2,FALSE)</f>
        <v xml:space="preserve">JURÍDICA - ESTRUCTURACIÓN </v>
      </c>
      <c r="H1013" s="52" t="s">
        <v>1324</v>
      </c>
    </row>
    <row r="1014" spans="1:8" ht="30" customHeight="1" thickBot="1" x14ac:dyDescent="0.3">
      <c r="A1014" s="313">
        <f>+A1013+1</f>
        <v>419</v>
      </c>
      <c r="B1014" s="52" t="s">
        <v>1210</v>
      </c>
      <c r="C1014" s="108" t="s">
        <v>1325</v>
      </c>
      <c r="D1014" s="109"/>
      <c r="E1014" s="110"/>
      <c r="F1014" s="78" t="s">
        <v>1326</v>
      </c>
      <c r="G1014" s="107" t="str">
        <f>+VLOOKUP(419,prueba!$D$2:$E$733,2,FALSE)</f>
        <v xml:space="preserve">FINANCIERA </v>
      </c>
      <c r="H1014" s="52" t="s">
        <v>1327</v>
      </c>
    </row>
    <row r="1015" spans="1:8" ht="30" customHeight="1" thickBot="1" x14ac:dyDescent="0.3">
      <c r="A1015" s="313">
        <f>+A1014+1</f>
        <v>420</v>
      </c>
      <c r="B1015" s="52" t="s">
        <v>1210</v>
      </c>
      <c r="C1015" s="108" t="s">
        <v>1328</v>
      </c>
      <c r="D1015" s="109"/>
      <c r="E1015" s="110"/>
      <c r="F1015" s="78" t="s">
        <v>1326</v>
      </c>
      <c r="G1015" s="107" t="str">
        <f>+VLOOKUP(420,prueba!$D$2:$E$733,2,FALSE)</f>
        <v>FINANCIERA</v>
      </c>
      <c r="H1015" s="52" t="s">
        <v>1329</v>
      </c>
    </row>
    <row r="1016" spans="1:8" ht="30" customHeight="1" thickBot="1" x14ac:dyDescent="0.3">
      <c r="A1016" s="313">
        <f>+A1015+1</f>
        <v>421</v>
      </c>
      <c r="B1016" s="52" t="s">
        <v>1210</v>
      </c>
      <c r="C1016" s="108" t="s">
        <v>1330</v>
      </c>
      <c r="D1016" s="109"/>
      <c r="E1016" s="110"/>
      <c r="F1016" s="78" t="s">
        <v>1331</v>
      </c>
      <c r="G1016" s="107" t="str">
        <f>+VLOOKUP(421,prueba!$D$2:$E$733,2,FALSE)</f>
        <v xml:space="preserve">JURÍDICA – ESTRUCTURACIÓN </v>
      </c>
      <c r="H1016" s="52" t="s">
        <v>8421</v>
      </c>
    </row>
    <row r="1017" spans="1:8" ht="30" customHeight="1" x14ac:dyDescent="0.25">
      <c r="A1017" s="76">
        <f>+A1016+1</f>
        <v>422</v>
      </c>
      <c r="B1017" s="50" t="s">
        <v>1210</v>
      </c>
      <c r="C1017" s="63" t="s">
        <v>1332</v>
      </c>
      <c r="D1017" s="64"/>
      <c r="E1017" s="65"/>
      <c r="F1017" s="84" t="s">
        <v>1333</v>
      </c>
      <c r="G1017" s="84" t="str">
        <f>+VLOOKUP(422,prueba!$D$2:$E$733,2,FALSE)</f>
        <v xml:space="preserve">FINANCIERA </v>
      </c>
      <c r="H1017" s="50" t="s">
        <v>8903</v>
      </c>
    </row>
    <row r="1018" spans="1:8" ht="30" customHeight="1" x14ac:dyDescent="0.25">
      <c r="A1018" s="312"/>
      <c r="B1018" s="86"/>
      <c r="C1018" s="53"/>
      <c r="D1018" s="54"/>
      <c r="E1018" s="55"/>
      <c r="F1018" s="85"/>
      <c r="G1018" s="85"/>
      <c r="H1018" s="86"/>
    </row>
    <row r="1019" spans="1:8" ht="30" customHeight="1" x14ac:dyDescent="0.25">
      <c r="A1019" s="312"/>
      <c r="B1019" s="86"/>
      <c r="C1019" s="53"/>
      <c r="D1019" s="54"/>
      <c r="E1019" s="55"/>
      <c r="F1019" s="85"/>
      <c r="G1019" s="85"/>
      <c r="H1019" s="86"/>
    </row>
    <row r="1020" spans="1:8" ht="30" customHeight="1" x14ac:dyDescent="0.25">
      <c r="A1020" s="312"/>
      <c r="B1020" s="86"/>
      <c r="C1020" s="53"/>
      <c r="D1020" s="54"/>
      <c r="E1020" s="55"/>
      <c r="F1020" s="85"/>
      <c r="G1020" s="85"/>
      <c r="H1020" s="86"/>
    </row>
    <row r="1021" spans="1:8" ht="30" customHeight="1" x14ac:dyDescent="0.25">
      <c r="A1021" s="312"/>
      <c r="B1021" s="86"/>
      <c r="C1021" s="53"/>
      <c r="D1021" s="54"/>
      <c r="E1021" s="55"/>
      <c r="F1021" s="85"/>
      <c r="G1021" s="85"/>
      <c r="H1021" s="86"/>
    </row>
    <row r="1022" spans="1:8" ht="30" customHeight="1" x14ac:dyDescent="0.25">
      <c r="A1022" s="312"/>
      <c r="B1022" s="86"/>
      <c r="C1022" s="53"/>
      <c r="D1022" s="54"/>
      <c r="E1022" s="55"/>
      <c r="F1022" s="85"/>
      <c r="G1022" s="85"/>
      <c r="H1022" s="86"/>
    </row>
    <row r="1023" spans="1:8" ht="30" customHeight="1" x14ac:dyDescent="0.25">
      <c r="A1023" s="312"/>
      <c r="B1023" s="86"/>
      <c r="C1023" s="53"/>
      <c r="D1023" s="54"/>
      <c r="E1023" s="55"/>
      <c r="F1023" s="85"/>
      <c r="G1023" s="85"/>
      <c r="H1023" s="86"/>
    </row>
    <row r="1024" spans="1:8" ht="30" customHeight="1" thickBot="1" x14ac:dyDescent="0.3">
      <c r="A1024" s="83"/>
      <c r="B1024" s="91"/>
      <c r="C1024" s="88"/>
      <c r="D1024" s="89"/>
      <c r="E1024" s="90"/>
      <c r="F1024" s="77"/>
      <c r="G1024" s="77"/>
      <c r="H1024" s="91"/>
    </row>
    <row r="1025" spans="1:8" ht="30" customHeight="1" x14ac:dyDescent="0.25">
      <c r="A1025" s="76">
        <f>+A1017+1</f>
        <v>423</v>
      </c>
      <c r="B1025" s="50" t="s">
        <v>1210</v>
      </c>
      <c r="C1025" s="63"/>
      <c r="D1025" s="64"/>
      <c r="E1025" s="65"/>
      <c r="F1025" s="84" t="s">
        <v>1333</v>
      </c>
      <c r="G1025" s="84" t="str">
        <f>+VLOOKUP(423,prueba!$D$2:$E$733,2,FALSE)</f>
        <v>JURÍDICA</v>
      </c>
      <c r="H1025" s="50" t="s">
        <v>8422</v>
      </c>
    </row>
    <row r="1026" spans="1:8" ht="30" customHeight="1" thickBot="1" x14ac:dyDescent="0.3">
      <c r="A1026" s="83"/>
      <c r="B1026" s="91"/>
      <c r="C1026" s="88" t="s">
        <v>1334</v>
      </c>
      <c r="D1026" s="89"/>
      <c r="E1026" s="90"/>
      <c r="F1026" s="77"/>
      <c r="G1026" s="77"/>
      <c r="H1026" s="91"/>
    </row>
    <row r="1027" spans="1:8" ht="30" customHeight="1" thickBot="1" x14ac:dyDescent="0.3">
      <c r="A1027" s="313">
        <f>+A1025+1</f>
        <v>424</v>
      </c>
      <c r="B1027" s="52" t="s">
        <v>1210</v>
      </c>
      <c r="C1027" s="108" t="s">
        <v>1335</v>
      </c>
      <c r="D1027" s="109"/>
      <c r="E1027" s="110"/>
      <c r="F1027" s="78" t="s">
        <v>1336</v>
      </c>
      <c r="G1027" s="107" t="str">
        <f>+VLOOKUP(424,prueba!$D$2:$E$733,2,FALSE)</f>
        <v xml:space="preserve">FINANCIERA </v>
      </c>
      <c r="H1027" s="52" t="s">
        <v>8910</v>
      </c>
    </row>
    <row r="1028" spans="1:8" ht="30" customHeight="1" x14ac:dyDescent="0.25">
      <c r="A1028" s="76">
        <f>+A1027+1</f>
        <v>425</v>
      </c>
      <c r="B1028" s="50" t="s">
        <v>1210</v>
      </c>
      <c r="C1028" s="144" t="s">
        <v>1337</v>
      </c>
      <c r="D1028" s="145"/>
      <c r="E1028" s="146"/>
      <c r="F1028" s="84" t="s">
        <v>1338</v>
      </c>
      <c r="G1028" s="84" t="str">
        <f>+VLOOKUP(425,prueba!$D$2:$E$733,2,FALSE)</f>
        <v xml:space="preserve">FINANCIERA </v>
      </c>
      <c r="H1028" s="50" t="s">
        <v>1339</v>
      </c>
    </row>
    <row r="1029" spans="1:8" ht="30" customHeight="1" x14ac:dyDescent="0.25">
      <c r="A1029" s="312"/>
      <c r="B1029" s="86"/>
      <c r="C1029" s="147"/>
      <c r="D1029" s="148"/>
      <c r="E1029" s="149"/>
      <c r="F1029" s="85"/>
      <c r="G1029" s="85"/>
      <c r="H1029" s="86"/>
    </row>
    <row r="1030" spans="1:8" ht="30" customHeight="1" x14ac:dyDescent="0.25">
      <c r="A1030" s="312"/>
      <c r="B1030" s="86"/>
      <c r="C1030" s="147"/>
      <c r="D1030" s="148"/>
      <c r="E1030" s="149"/>
      <c r="F1030" s="85"/>
      <c r="G1030" s="85"/>
      <c r="H1030" s="86"/>
    </row>
    <row r="1031" spans="1:8" ht="30" customHeight="1" x14ac:dyDescent="0.25">
      <c r="A1031" s="312"/>
      <c r="B1031" s="86"/>
      <c r="C1031" s="147"/>
      <c r="D1031" s="148"/>
      <c r="E1031" s="149"/>
      <c r="F1031" s="85"/>
      <c r="G1031" s="85"/>
      <c r="H1031" s="86"/>
    </row>
    <row r="1032" spans="1:8" ht="30" customHeight="1" thickBot="1" x14ac:dyDescent="0.3">
      <c r="A1032" s="83"/>
      <c r="B1032" s="91"/>
      <c r="C1032" s="150"/>
      <c r="D1032" s="151"/>
      <c r="E1032" s="152"/>
      <c r="F1032" s="77"/>
      <c r="G1032" s="77"/>
      <c r="H1032" s="91"/>
    </row>
    <row r="1033" spans="1:8" ht="30" customHeight="1" x14ac:dyDescent="0.25">
      <c r="A1033" s="76">
        <f>+A1028+1</f>
        <v>426</v>
      </c>
      <c r="B1033" s="50" t="s">
        <v>1210</v>
      </c>
      <c r="C1033" s="63" t="s">
        <v>1340</v>
      </c>
      <c r="D1033" s="64"/>
      <c r="E1033" s="65"/>
      <c r="F1033" s="84" t="s">
        <v>1341</v>
      </c>
      <c r="G1033" s="84" t="str">
        <f>+VLOOKUP(426,prueba!$D$2:$E$733,2,FALSE)</f>
        <v xml:space="preserve">FINANCIERA </v>
      </c>
      <c r="H1033" s="50" t="s">
        <v>6988</v>
      </c>
    </row>
    <row r="1034" spans="1:8" ht="30" customHeight="1" x14ac:dyDescent="0.25">
      <c r="A1034" s="312"/>
      <c r="B1034" s="86"/>
      <c r="C1034" s="53"/>
      <c r="D1034" s="54"/>
      <c r="E1034" s="55"/>
      <c r="F1034" s="85"/>
      <c r="G1034" s="85"/>
      <c r="H1034" s="86"/>
    </row>
    <row r="1035" spans="1:8" ht="30" customHeight="1" x14ac:dyDescent="0.25">
      <c r="A1035" s="312"/>
      <c r="B1035" s="86"/>
      <c r="C1035" s="53"/>
      <c r="D1035" s="54"/>
      <c r="E1035" s="55"/>
      <c r="F1035" s="85"/>
      <c r="G1035" s="85"/>
      <c r="H1035" s="86"/>
    </row>
    <row r="1036" spans="1:8" ht="30" customHeight="1" thickBot="1" x14ac:dyDescent="0.3">
      <c r="A1036" s="83"/>
      <c r="B1036" s="91"/>
      <c r="C1036" s="88"/>
      <c r="D1036" s="89"/>
      <c r="E1036" s="90"/>
      <c r="F1036" s="77"/>
      <c r="G1036" s="77"/>
      <c r="H1036" s="91"/>
    </row>
    <row r="1037" spans="1:8" ht="30" customHeight="1" thickBot="1" x14ac:dyDescent="0.3">
      <c r="A1037" s="313">
        <f>+A1033+1</f>
        <v>427</v>
      </c>
      <c r="B1037" s="52" t="s">
        <v>1210</v>
      </c>
      <c r="C1037" s="108" t="s">
        <v>1342</v>
      </c>
      <c r="D1037" s="109"/>
      <c r="E1037" s="110"/>
      <c r="F1037" s="78" t="s">
        <v>1343</v>
      </c>
      <c r="G1037" s="107" t="str">
        <f>+VLOOKUP(427,prueba!$D$2:$E$733,2,FALSE)</f>
        <v xml:space="preserve">JURÍDICA PREDIAL </v>
      </c>
      <c r="H1037" s="52" t="s">
        <v>1344</v>
      </c>
    </row>
    <row r="1038" spans="1:8" ht="30" customHeight="1" thickBot="1" x14ac:dyDescent="0.3">
      <c r="A1038" s="313">
        <f>+A1037+1</f>
        <v>428</v>
      </c>
      <c r="B1038" s="52" t="s">
        <v>1210</v>
      </c>
      <c r="C1038" s="108" t="s">
        <v>1345</v>
      </c>
      <c r="D1038" s="109"/>
      <c r="E1038" s="110"/>
      <c r="F1038" s="78" t="s">
        <v>1346</v>
      </c>
      <c r="G1038" s="107" t="str">
        <f>+VLOOKUP(428,prueba!$D$2:$E$733,2,FALSE)</f>
        <v>JURÍDICA - SANCIONATORIO</v>
      </c>
      <c r="H1038" s="52" t="s">
        <v>172</v>
      </c>
    </row>
    <row r="1039" spans="1:8" ht="30" customHeight="1" thickBot="1" x14ac:dyDescent="0.3">
      <c r="A1039" s="313">
        <f>+A1038+1</f>
        <v>429</v>
      </c>
      <c r="B1039" s="52" t="s">
        <v>1210</v>
      </c>
      <c r="C1039" s="108" t="s">
        <v>1347</v>
      </c>
      <c r="D1039" s="109"/>
      <c r="E1039" s="110"/>
      <c r="F1039" s="78" t="s">
        <v>1348</v>
      </c>
      <c r="G1039" s="107" t="str">
        <f>+VLOOKUP(429,prueba!$D$2:$E$733,2,FALSE)</f>
        <v xml:space="preserve">FINANCIERA RIESGOS </v>
      </c>
      <c r="H1039" s="52" t="s">
        <v>8911</v>
      </c>
    </row>
    <row r="1040" spans="1:8" ht="30" customHeight="1" thickBot="1" x14ac:dyDescent="0.3">
      <c r="A1040" s="313">
        <f>+A1039+1</f>
        <v>430</v>
      </c>
      <c r="B1040" s="52" t="s">
        <v>1210</v>
      </c>
      <c r="C1040" s="108" t="s">
        <v>1349</v>
      </c>
      <c r="D1040" s="109"/>
      <c r="E1040" s="110"/>
      <c r="F1040" s="78" t="s">
        <v>1350</v>
      </c>
      <c r="G1040" s="107" t="str">
        <f>+VLOOKUP(430,prueba!$D$2:$E$733,2,FALSE)</f>
        <v xml:space="preserve">TÉNICA </v>
      </c>
      <c r="H1040" s="52" t="s">
        <v>1351</v>
      </c>
    </row>
    <row r="1041" spans="1:8" ht="30" customHeight="1" thickBot="1" x14ac:dyDescent="0.3">
      <c r="A1041" s="313">
        <f>+A1040+1</f>
        <v>431</v>
      </c>
      <c r="B1041" s="52" t="s">
        <v>1210</v>
      </c>
      <c r="C1041" s="108" t="s">
        <v>1352</v>
      </c>
      <c r="D1041" s="109"/>
      <c r="E1041" s="110"/>
      <c r="F1041" s="78" t="s">
        <v>1353</v>
      </c>
      <c r="G1041" s="107" t="str">
        <f>+VLOOKUP(431,prueba!$D$2:$E$733,2,FALSE)</f>
        <v xml:space="preserve">TÉCNICA FINANCIERA </v>
      </c>
      <c r="H1041" s="52" t="s">
        <v>1354</v>
      </c>
    </row>
    <row r="1042" spans="1:8" ht="30" customHeight="1" x14ac:dyDescent="0.25">
      <c r="A1042" s="76">
        <f>+A1041+1</f>
        <v>432</v>
      </c>
      <c r="B1042" s="50" t="s">
        <v>1210</v>
      </c>
      <c r="C1042" s="63" t="s">
        <v>1355</v>
      </c>
      <c r="D1042" s="64"/>
      <c r="E1042" s="65"/>
      <c r="F1042" s="84" t="s">
        <v>1353</v>
      </c>
      <c r="G1042" s="84" t="str">
        <f>+VLOOKUP(432,prueba!$D$2:$E$733,2,FALSE)</f>
        <v>TÉCNICA</v>
      </c>
      <c r="H1042" s="50" t="s">
        <v>1356</v>
      </c>
    </row>
    <row r="1043" spans="1:8" ht="30" customHeight="1" thickBot="1" x14ac:dyDescent="0.3">
      <c r="A1043" s="83"/>
      <c r="B1043" s="91"/>
      <c r="C1043" s="88" t="s">
        <v>1357</v>
      </c>
      <c r="D1043" s="89"/>
      <c r="E1043" s="90"/>
      <c r="F1043" s="77"/>
      <c r="G1043" s="77"/>
      <c r="H1043" s="91"/>
    </row>
    <row r="1044" spans="1:8" ht="30" customHeight="1" thickBot="1" x14ac:dyDescent="0.3">
      <c r="A1044" s="313">
        <f>+A1042+1</f>
        <v>433</v>
      </c>
      <c r="B1044" s="52" t="s">
        <v>1210</v>
      </c>
      <c r="C1044" s="108" t="s">
        <v>1358</v>
      </c>
      <c r="D1044" s="109"/>
      <c r="E1044" s="110"/>
      <c r="F1044" s="78" t="s">
        <v>1359</v>
      </c>
      <c r="G1044" s="107" t="str">
        <f>+VLOOKUP(433,prueba!$D$2:$E$733,2,FALSE)</f>
        <v>TÉCNICA</v>
      </c>
      <c r="H1044" s="52" t="s">
        <v>1360</v>
      </c>
    </row>
    <row r="1045" spans="1:8" ht="30" customHeight="1" thickBot="1" x14ac:dyDescent="0.3">
      <c r="A1045" s="313">
        <f t="shared" ref="A1045:A1063" si="13">+A1044+1</f>
        <v>434</v>
      </c>
      <c r="B1045" s="52" t="s">
        <v>1210</v>
      </c>
      <c r="C1045" s="108" t="s">
        <v>1361</v>
      </c>
      <c r="D1045" s="109"/>
      <c r="E1045" s="110"/>
      <c r="F1045" s="78" t="s">
        <v>1362</v>
      </c>
      <c r="G1045" s="107" t="str">
        <f>+VLOOKUP(434,prueba!$D$2:$E$733,2,FALSE)</f>
        <v>TÉCNICA</v>
      </c>
      <c r="H1045" s="52" t="s">
        <v>1363</v>
      </c>
    </row>
    <row r="1046" spans="1:8" ht="30" customHeight="1" thickBot="1" x14ac:dyDescent="0.3">
      <c r="A1046" s="313">
        <f t="shared" si="13"/>
        <v>435</v>
      </c>
      <c r="B1046" s="52" t="s">
        <v>1210</v>
      </c>
      <c r="C1046" s="108" t="s">
        <v>1364</v>
      </c>
      <c r="D1046" s="109"/>
      <c r="E1046" s="110"/>
      <c r="F1046" s="78" t="s">
        <v>1365</v>
      </c>
      <c r="G1046" s="107" t="str">
        <f>+VLOOKUP(435,prueba!$D$2:$E$733,2,FALSE)</f>
        <v xml:space="preserve">TÉCNICA </v>
      </c>
      <c r="H1046" s="52" t="s">
        <v>1366</v>
      </c>
    </row>
    <row r="1047" spans="1:8" ht="30" customHeight="1" thickBot="1" x14ac:dyDescent="0.3">
      <c r="A1047" s="313">
        <f t="shared" si="13"/>
        <v>436</v>
      </c>
      <c r="B1047" s="52" t="s">
        <v>1210</v>
      </c>
      <c r="C1047" s="108" t="s">
        <v>1364</v>
      </c>
      <c r="D1047" s="109"/>
      <c r="E1047" s="110"/>
      <c r="F1047" s="78" t="s">
        <v>1367</v>
      </c>
      <c r="G1047" s="107" t="str">
        <f>+VLOOKUP(436,prueba!$D$2:$E$733,2,FALSE)</f>
        <v>TÉCNICA</v>
      </c>
      <c r="H1047" s="52" t="s">
        <v>1366</v>
      </c>
    </row>
    <row r="1048" spans="1:8" ht="30" customHeight="1" thickBot="1" x14ac:dyDescent="0.3">
      <c r="A1048" s="313">
        <f t="shared" si="13"/>
        <v>437</v>
      </c>
      <c r="B1048" s="52" t="s">
        <v>1210</v>
      </c>
      <c r="C1048" s="108" t="s">
        <v>1364</v>
      </c>
      <c r="D1048" s="109"/>
      <c r="E1048" s="110"/>
      <c r="F1048" s="78" t="s">
        <v>1368</v>
      </c>
      <c r="G1048" s="107" t="str">
        <f>+VLOOKUP(437,prueba!$D$2:$E$733,2,FALSE)</f>
        <v xml:space="preserve">TÉCNICA </v>
      </c>
      <c r="H1048" s="52" t="s">
        <v>1366</v>
      </c>
    </row>
    <row r="1049" spans="1:8" ht="30" customHeight="1" thickBot="1" x14ac:dyDescent="0.3">
      <c r="A1049" s="313">
        <f t="shared" si="13"/>
        <v>438</v>
      </c>
      <c r="B1049" s="52" t="s">
        <v>1210</v>
      </c>
      <c r="C1049" s="108" t="s">
        <v>1364</v>
      </c>
      <c r="D1049" s="109"/>
      <c r="E1049" s="110"/>
      <c r="F1049" s="78" t="s">
        <v>1369</v>
      </c>
      <c r="G1049" s="107" t="str">
        <f>+VLOOKUP(438,prueba!$D$2:$E$733,2,FALSE)</f>
        <v>TÉCNICA</v>
      </c>
      <c r="H1049" s="52" t="s">
        <v>1366</v>
      </c>
    </row>
    <row r="1050" spans="1:8" ht="30" customHeight="1" thickBot="1" x14ac:dyDescent="0.3">
      <c r="A1050" s="313">
        <f t="shared" si="13"/>
        <v>439</v>
      </c>
      <c r="B1050" s="52" t="s">
        <v>1210</v>
      </c>
      <c r="C1050" s="108" t="s">
        <v>1370</v>
      </c>
      <c r="D1050" s="109"/>
      <c r="E1050" s="110"/>
      <c r="F1050" s="78" t="s">
        <v>1371</v>
      </c>
      <c r="G1050" s="107" t="str">
        <f>+VLOOKUP(439,prueba!$D$2:$E$733,2,FALSE)</f>
        <v>TÉCNICA</v>
      </c>
      <c r="H1050" s="52" t="s">
        <v>1366</v>
      </c>
    </row>
    <row r="1051" spans="1:8" ht="30" customHeight="1" thickBot="1" x14ac:dyDescent="0.3">
      <c r="A1051" s="313">
        <f t="shared" si="13"/>
        <v>440</v>
      </c>
      <c r="B1051" s="52" t="s">
        <v>1210</v>
      </c>
      <c r="C1051" s="108" t="s">
        <v>1364</v>
      </c>
      <c r="D1051" s="109"/>
      <c r="E1051" s="110"/>
      <c r="F1051" s="78" t="s">
        <v>1372</v>
      </c>
      <c r="G1051" s="107" t="str">
        <f>+VLOOKUP(440,prueba!$D$2:$E$733,2,FALSE)</f>
        <v xml:space="preserve">TÉCNICA </v>
      </c>
      <c r="H1051" s="52" t="s">
        <v>1366</v>
      </c>
    </row>
    <row r="1052" spans="1:8" ht="30" customHeight="1" thickBot="1" x14ac:dyDescent="0.3">
      <c r="A1052" s="313">
        <f t="shared" si="13"/>
        <v>441</v>
      </c>
      <c r="B1052" s="52" t="s">
        <v>1210</v>
      </c>
      <c r="C1052" s="108" t="s">
        <v>1373</v>
      </c>
      <c r="D1052" s="109"/>
      <c r="E1052" s="110"/>
      <c r="F1052" s="78" t="s">
        <v>1374</v>
      </c>
      <c r="G1052" s="107" t="str">
        <f>+VLOOKUP(441,prueba!$D$2:$E$733,2,FALSE)</f>
        <v>TÉCNICA</v>
      </c>
      <c r="H1052" s="52" t="s">
        <v>1375</v>
      </c>
    </row>
    <row r="1053" spans="1:8" ht="30" customHeight="1" thickBot="1" x14ac:dyDescent="0.3">
      <c r="A1053" s="313">
        <f t="shared" si="13"/>
        <v>442</v>
      </c>
      <c r="B1053" s="52" t="s">
        <v>1210</v>
      </c>
      <c r="C1053" s="108" t="s">
        <v>1376</v>
      </c>
      <c r="D1053" s="109"/>
      <c r="E1053" s="110"/>
      <c r="F1053" s="78" t="s">
        <v>1374</v>
      </c>
      <c r="G1053" s="107" t="str">
        <f>+VLOOKUP(442,prueba!$D$2:$E$733,2,FALSE)</f>
        <v>TÉCNICA</v>
      </c>
      <c r="H1053" s="52" t="s">
        <v>1375</v>
      </c>
    </row>
    <row r="1054" spans="1:8" ht="30" customHeight="1" thickBot="1" x14ac:dyDescent="0.3">
      <c r="A1054" s="313">
        <f t="shared" si="13"/>
        <v>443</v>
      </c>
      <c r="B1054" s="52" t="s">
        <v>1210</v>
      </c>
      <c r="C1054" s="108" t="s">
        <v>1377</v>
      </c>
      <c r="D1054" s="109"/>
      <c r="E1054" s="110"/>
      <c r="F1054" s="78" t="s">
        <v>1378</v>
      </c>
      <c r="G1054" s="107" t="str">
        <f>+VLOOKUP(443,prueba!$D$2:$E$733,2,FALSE)</f>
        <v>TÉCNICA</v>
      </c>
      <c r="H1054" s="52" t="s">
        <v>1379</v>
      </c>
    </row>
    <row r="1055" spans="1:8" ht="30" customHeight="1" thickBot="1" x14ac:dyDescent="0.3">
      <c r="A1055" s="313">
        <f t="shared" si="13"/>
        <v>444</v>
      </c>
      <c r="B1055" s="52" t="s">
        <v>1210</v>
      </c>
      <c r="C1055" s="108" t="s">
        <v>1380</v>
      </c>
      <c r="D1055" s="109"/>
      <c r="E1055" s="110"/>
      <c r="F1055" s="78" t="s">
        <v>1381</v>
      </c>
      <c r="G1055" s="107" t="str">
        <f>+VLOOKUP(444,prueba!$D$2:$E$733,2,FALSE)</f>
        <v>TÉCNICA</v>
      </c>
      <c r="H1055" s="52" t="s">
        <v>1382</v>
      </c>
    </row>
    <row r="1056" spans="1:8" ht="30" customHeight="1" thickBot="1" x14ac:dyDescent="0.3">
      <c r="A1056" s="313">
        <f t="shared" si="13"/>
        <v>445</v>
      </c>
      <c r="B1056" s="52" t="s">
        <v>1210</v>
      </c>
      <c r="C1056" s="108" t="s">
        <v>1383</v>
      </c>
      <c r="D1056" s="109"/>
      <c r="E1056" s="110"/>
      <c r="F1056" s="78" t="s">
        <v>1384</v>
      </c>
      <c r="G1056" s="107" t="str">
        <f>+VLOOKUP(445,prueba!$D$2:$E$733,2,FALSE)</f>
        <v xml:space="preserve">TÉCNICA </v>
      </c>
      <c r="H1056" s="52" t="s">
        <v>1385</v>
      </c>
    </row>
    <row r="1057" spans="1:8" ht="30" customHeight="1" thickBot="1" x14ac:dyDescent="0.3">
      <c r="A1057" s="313">
        <f t="shared" si="13"/>
        <v>446</v>
      </c>
      <c r="B1057" s="52" t="s">
        <v>1210</v>
      </c>
      <c r="C1057" s="108" t="s">
        <v>1386</v>
      </c>
      <c r="D1057" s="109"/>
      <c r="E1057" s="110"/>
      <c r="F1057" s="78" t="s">
        <v>1387</v>
      </c>
      <c r="G1057" s="107" t="str">
        <f>+VLOOKUP(446,prueba!$D$2:$E$733,2,FALSE)</f>
        <v xml:space="preserve">TÉCNICA </v>
      </c>
      <c r="H1057" s="52" t="s">
        <v>1388</v>
      </c>
    </row>
    <row r="1058" spans="1:8" ht="30" customHeight="1" thickBot="1" x14ac:dyDescent="0.3">
      <c r="A1058" s="313">
        <f t="shared" si="13"/>
        <v>447</v>
      </c>
      <c r="B1058" s="52" t="s">
        <v>1210</v>
      </c>
      <c r="C1058" s="108" t="s">
        <v>1389</v>
      </c>
      <c r="D1058" s="109"/>
      <c r="E1058" s="110"/>
      <c r="F1058" s="78" t="s">
        <v>1390</v>
      </c>
      <c r="G1058" s="107" t="str">
        <f>+VLOOKUP(447,prueba!$D$2:$E$733,2,FALSE)</f>
        <v>TÉCNICA</v>
      </c>
      <c r="H1058" s="52" t="s">
        <v>1391</v>
      </c>
    </row>
    <row r="1059" spans="1:8" ht="30" customHeight="1" thickBot="1" x14ac:dyDescent="0.3">
      <c r="A1059" s="313">
        <f t="shared" si="13"/>
        <v>448</v>
      </c>
      <c r="B1059" s="52" t="s">
        <v>1210</v>
      </c>
      <c r="C1059" s="108" t="s">
        <v>1392</v>
      </c>
      <c r="D1059" s="109"/>
      <c r="E1059" s="110"/>
      <c r="F1059" s="78" t="s">
        <v>1393</v>
      </c>
      <c r="G1059" s="107" t="str">
        <f>+VLOOKUP(448,prueba!$D$2:$E$733,2,FALSE)</f>
        <v>TÉCNICA</v>
      </c>
      <c r="H1059" s="52" t="s">
        <v>8256</v>
      </c>
    </row>
    <row r="1060" spans="1:8" ht="30" customHeight="1" thickBot="1" x14ac:dyDescent="0.3">
      <c r="A1060" s="313">
        <f t="shared" si="13"/>
        <v>449</v>
      </c>
      <c r="B1060" s="52" t="s">
        <v>1210</v>
      </c>
      <c r="C1060" s="108" t="s">
        <v>1394</v>
      </c>
      <c r="D1060" s="109"/>
      <c r="E1060" s="110"/>
      <c r="F1060" s="78" t="s">
        <v>1395</v>
      </c>
      <c r="G1060" s="107" t="str">
        <f>+VLOOKUP(449,prueba!$D$2:$E$733,2,FALSE)</f>
        <v>TÉCNICA</v>
      </c>
      <c r="H1060" s="52" t="s">
        <v>1396</v>
      </c>
    </row>
    <row r="1061" spans="1:8" ht="30" customHeight="1" thickBot="1" x14ac:dyDescent="0.3">
      <c r="A1061" s="313">
        <f t="shared" si="13"/>
        <v>450</v>
      </c>
      <c r="B1061" s="52" t="s">
        <v>1210</v>
      </c>
      <c r="C1061" s="108" t="s">
        <v>1397</v>
      </c>
      <c r="D1061" s="109"/>
      <c r="E1061" s="110"/>
      <c r="F1061" s="78" t="s">
        <v>1395</v>
      </c>
      <c r="G1061" s="107" t="str">
        <f>+VLOOKUP(450,prueba!$D$2:$E$733,2,FALSE)</f>
        <v xml:space="preserve">TÉCNICA </v>
      </c>
      <c r="H1061" s="52" t="s">
        <v>1396</v>
      </c>
    </row>
    <row r="1062" spans="1:8" ht="30" customHeight="1" thickBot="1" x14ac:dyDescent="0.3">
      <c r="A1062" s="313">
        <f t="shared" si="13"/>
        <v>451</v>
      </c>
      <c r="B1062" s="52" t="s">
        <v>1210</v>
      </c>
      <c r="C1062" s="108" t="s">
        <v>1398</v>
      </c>
      <c r="D1062" s="109"/>
      <c r="E1062" s="110"/>
      <c r="F1062" s="78" t="s">
        <v>1399</v>
      </c>
      <c r="G1062" s="107" t="str">
        <f>+VLOOKUP(451,prueba!$D$2:$E$733,2,FALSE)</f>
        <v xml:space="preserve">TÉCNICA </v>
      </c>
      <c r="H1062" s="52" t="s">
        <v>1400</v>
      </c>
    </row>
    <row r="1063" spans="1:8" ht="30" customHeight="1" x14ac:dyDescent="0.25">
      <c r="A1063" s="76">
        <f t="shared" si="13"/>
        <v>452</v>
      </c>
      <c r="B1063" s="50" t="s">
        <v>1210</v>
      </c>
      <c r="C1063" s="63" t="s">
        <v>1401</v>
      </c>
      <c r="D1063" s="64"/>
      <c r="E1063" s="65"/>
      <c r="F1063" s="84" t="s">
        <v>1402</v>
      </c>
      <c r="G1063" s="84" t="str">
        <f>+VLOOKUP(452,prueba!$D$2:$E$733,2,FALSE)</f>
        <v xml:space="preserve">JURÍDICA PREDIAL </v>
      </c>
      <c r="H1063" s="50" t="s">
        <v>1403</v>
      </c>
    </row>
    <row r="1064" spans="1:8" ht="30" customHeight="1" thickBot="1" x14ac:dyDescent="0.3">
      <c r="A1064" s="83"/>
      <c r="B1064" s="91"/>
      <c r="C1064" s="88" t="s">
        <v>1404</v>
      </c>
      <c r="D1064" s="89"/>
      <c r="E1064" s="90"/>
      <c r="F1064" s="77"/>
      <c r="G1064" s="77"/>
      <c r="H1064" s="91"/>
    </row>
    <row r="1065" spans="1:8" ht="30" customHeight="1" x14ac:dyDescent="0.25">
      <c r="A1065" s="76">
        <f>+A1063+1</f>
        <v>453</v>
      </c>
      <c r="B1065" s="50" t="s">
        <v>1210</v>
      </c>
      <c r="C1065" s="63" t="s">
        <v>1401</v>
      </c>
      <c r="D1065" s="64"/>
      <c r="E1065" s="65"/>
      <c r="F1065" s="84" t="s">
        <v>1402</v>
      </c>
      <c r="G1065" s="84" t="str">
        <f>+VLOOKUP(453,prueba!$D$2:$E$733,2,FALSE)</f>
        <v>TÉCNICA PREDIAL</v>
      </c>
      <c r="H1065" s="50" t="s">
        <v>1405</v>
      </c>
    </row>
    <row r="1066" spans="1:8" ht="30" customHeight="1" thickBot="1" x14ac:dyDescent="0.3">
      <c r="A1066" s="83"/>
      <c r="B1066" s="91"/>
      <c r="C1066" s="88" t="s">
        <v>1406</v>
      </c>
      <c r="D1066" s="89"/>
      <c r="E1066" s="90"/>
      <c r="F1066" s="77"/>
      <c r="G1066" s="77"/>
      <c r="H1066" s="91"/>
    </row>
    <row r="1067" spans="1:8" ht="30" customHeight="1" thickBot="1" x14ac:dyDescent="0.3">
      <c r="A1067" s="313">
        <f>+A1065+1</f>
        <v>454</v>
      </c>
      <c r="B1067" s="52" t="s">
        <v>1210</v>
      </c>
      <c r="C1067" s="108" t="s">
        <v>1407</v>
      </c>
      <c r="D1067" s="109"/>
      <c r="E1067" s="110"/>
      <c r="F1067" s="78" t="s">
        <v>1408</v>
      </c>
      <c r="G1067" s="107" t="str">
        <f>+VLOOKUP(454,prueba!$D$2:$E$733,2,FALSE)</f>
        <v>TÉCNICA PREDIAL</v>
      </c>
      <c r="H1067" s="52" t="s">
        <v>1409</v>
      </c>
    </row>
    <row r="1068" spans="1:8" ht="30" customHeight="1" thickBot="1" x14ac:dyDescent="0.3">
      <c r="A1068" s="313">
        <f>+A1067+1</f>
        <v>455</v>
      </c>
      <c r="B1068" s="52" t="s">
        <v>1210</v>
      </c>
      <c r="C1068" s="108" t="s">
        <v>1410</v>
      </c>
      <c r="D1068" s="109"/>
      <c r="E1068" s="110"/>
      <c r="F1068" s="78" t="s">
        <v>1411</v>
      </c>
      <c r="G1068" s="107" t="str">
        <f>+VLOOKUP(455,prueba!$D$2:$E$733,2,FALSE)</f>
        <v>TÉCNICA PREDIAL</v>
      </c>
      <c r="H1068" s="52" t="s">
        <v>1412</v>
      </c>
    </row>
    <row r="1069" spans="1:8" ht="30" customHeight="1" thickBot="1" x14ac:dyDescent="0.3">
      <c r="A1069" s="313">
        <f>+A1068+1</f>
        <v>456</v>
      </c>
      <c r="B1069" s="52" t="s">
        <v>1210</v>
      </c>
      <c r="C1069" s="108" t="s">
        <v>1413</v>
      </c>
      <c r="D1069" s="109"/>
      <c r="E1069" s="110"/>
      <c r="F1069" s="78" t="s">
        <v>1414</v>
      </c>
      <c r="G1069" s="107" t="str">
        <f>+VLOOKUP(456,prueba!$D$2:$E$733,2,FALSE)</f>
        <v>TÉCNICA</v>
      </c>
      <c r="H1069" s="52" t="s">
        <v>9247</v>
      </c>
    </row>
    <row r="1070" spans="1:8" ht="30" customHeight="1" thickBot="1" x14ac:dyDescent="0.3">
      <c r="A1070" s="313">
        <f>+A1069+1</f>
        <v>457</v>
      </c>
      <c r="B1070" s="52" t="s">
        <v>1210</v>
      </c>
      <c r="C1070" s="108" t="s">
        <v>1415</v>
      </c>
      <c r="D1070" s="109"/>
      <c r="E1070" s="110"/>
      <c r="F1070" s="78" t="s">
        <v>1416</v>
      </c>
      <c r="G1070" s="107" t="str">
        <f>+VLOOKUP(457,prueba!$D$2:$E$733,2,FALSE)</f>
        <v xml:space="preserve">FINANCIERA </v>
      </c>
      <c r="H1070" s="52" t="s">
        <v>1417</v>
      </c>
    </row>
    <row r="1071" spans="1:8" ht="30" customHeight="1" x14ac:dyDescent="0.25">
      <c r="A1071" s="76">
        <f>+A1070+1</f>
        <v>458</v>
      </c>
      <c r="B1071" s="50" t="s">
        <v>1419</v>
      </c>
      <c r="C1071" s="63" t="s">
        <v>1420</v>
      </c>
      <c r="D1071" s="64"/>
      <c r="E1071" s="65"/>
      <c r="F1071" s="84" t="s">
        <v>1421</v>
      </c>
      <c r="G1071" s="84" t="str">
        <f>+VLOOKUP(458,prueba!$D$2:$E$733,2,FALSE)</f>
        <v>FINANCIERA JURÍDICA – ESTRUCTURACIÓN Y CONTRATACIÓN</v>
      </c>
      <c r="H1071" s="50" t="s">
        <v>1422</v>
      </c>
    </row>
    <row r="1072" spans="1:8" ht="30" customHeight="1" x14ac:dyDescent="0.25">
      <c r="A1072" s="312"/>
      <c r="B1072" s="86"/>
      <c r="C1072" s="53"/>
      <c r="D1072" s="54"/>
      <c r="E1072" s="55"/>
      <c r="F1072" s="85"/>
      <c r="G1072" s="85"/>
      <c r="H1072" s="86"/>
    </row>
    <row r="1073" spans="1:8" ht="30" customHeight="1" x14ac:dyDescent="0.25">
      <c r="A1073" s="312"/>
      <c r="B1073" s="86"/>
      <c r="C1073" s="53" t="s">
        <v>1423</v>
      </c>
      <c r="D1073" s="54"/>
      <c r="E1073" s="55"/>
      <c r="F1073" s="85"/>
      <c r="G1073" s="85"/>
      <c r="H1073" s="86"/>
    </row>
    <row r="1074" spans="1:8" ht="30" customHeight="1" x14ac:dyDescent="0.25">
      <c r="A1074" s="312"/>
      <c r="B1074" s="86"/>
      <c r="C1074" s="53"/>
      <c r="D1074" s="54"/>
      <c r="E1074" s="55"/>
      <c r="F1074" s="85"/>
      <c r="G1074" s="85"/>
      <c r="H1074" s="86"/>
    </row>
    <row r="1075" spans="1:8" ht="30" customHeight="1" x14ac:dyDescent="0.25">
      <c r="A1075" s="312"/>
      <c r="B1075" s="86"/>
      <c r="C1075" s="53" t="s">
        <v>1424</v>
      </c>
      <c r="D1075" s="54"/>
      <c r="E1075" s="55"/>
      <c r="F1075" s="85"/>
      <c r="G1075" s="85"/>
      <c r="H1075" s="86"/>
    </row>
    <row r="1076" spans="1:8" ht="30" customHeight="1" x14ac:dyDescent="0.25">
      <c r="A1076" s="312"/>
      <c r="B1076" s="86"/>
      <c r="C1076" s="53"/>
      <c r="D1076" s="54"/>
      <c r="E1076" s="55"/>
      <c r="F1076" s="85"/>
      <c r="G1076" s="85"/>
      <c r="H1076" s="86"/>
    </row>
    <row r="1077" spans="1:8" ht="30" customHeight="1" x14ac:dyDescent="0.25">
      <c r="A1077" s="312"/>
      <c r="B1077" s="86"/>
      <c r="C1077" s="53" t="s">
        <v>1425</v>
      </c>
      <c r="D1077" s="54"/>
      <c r="E1077" s="55"/>
      <c r="F1077" s="85"/>
      <c r="G1077" s="85"/>
      <c r="H1077" s="86"/>
    </row>
    <row r="1078" spans="1:8" ht="30" customHeight="1" x14ac:dyDescent="0.25">
      <c r="A1078" s="312"/>
      <c r="B1078" s="86"/>
      <c r="C1078" s="53"/>
      <c r="D1078" s="54"/>
      <c r="E1078" s="55"/>
      <c r="F1078" s="85"/>
      <c r="G1078" s="85"/>
      <c r="H1078" s="86"/>
    </row>
    <row r="1079" spans="1:8" ht="30" customHeight="1" x14ac:dyDescent="0.25">
      <c r="A1079" s="312"/>
      <c r="B1079" s="86"/>
      <c r="C1079" s="53" t="s">
        <v>1426</v>
      </c>
      <c r="D1079" s="54"/>
      <c r="E1079" s="55"/>
      <c r="F1079" s="85"/>
      <c r="G1079" s="85"/>
      <c r="H1079" s="86"/>
    </row>
    <row r="1080" spans="1:8" ht="30" customHeight="1" x14ac:dyDescent="0.25">
      <c r="A1080" s="312"/>
      <c r="B1080" s="86"/>
      <c r="C1080" s="53"/>
      <c r="D1080" s="54"/>
      <c r="E1080" s="55"/>
      <c r="F1080" s="85"/>
      <c r="G1080" s="85"/>
      <c r="H1080" s="86"/>
    </row>
    <row r="1081" spans="1:8" ht="30" customHeight="1" thickBot="1" x14ac:dyDescent="0.3">
      <c r="A1081" s="83"/>
      <c r="B1081" s="91"/>
      <c r="C1081" s="88" t="s">
        <v>1427</v>
      </c>
      <c r="D1081" s="89"/>
      <c r="E1081" s="90"/>
      <c r="F1081" s="77"/>
      <c r="G1081" s="77"/>
      <c r="H1081" s="91"/>
    </row>
    <row r="1082" spans="1:8" ht="30" customHeight="1" x14ac:dyDescent="0.25">
      <c r="A1082" s="76">
        <f>+A1071+1</f>
        <v>459</v>
      </c>
      <c r="B1082" s="50" t="s">
        <v>1419</v>
      </c>
      <c r="C1082" s="63" t="s">
        <v>1428</v>
      </c>
      <c r="D1082" s="64"/>
      <c r="E1082" s="65"/>
      <c r="F1082" s="84" t="s">
        <v>1429</v>
      </c>
      <c r="G1082" s="84" t="str">
        <f>+VLOOKUP(459,prueba!$D$2:$E$733,2,FALSE)</f>
        <v>JURÍDICA – CONTRATACIÓN</v>
      </c>
      <c r="H1082" s="50" t="s">
        <v>1430</v>
      </c>
    </row>
    <row r="1083" spans="1:8" ht="30" customHeight="1" x14ac:dyDescent="0.25">
      <c r="A1083" s="312"/>
      <c r="B1083" s="86"/>
      <c r="C1083" s="53"/>
      <c r="D1083" s="54"/>
      <c r="E1083" s="55"/>
      <c r="F1083" s="85"/>
      <c r="G1083" s="85"/>
      <c r="H1083" s="86"/>
    </row>
    <row r="1084" spans="1:8" ht="30" customHeight="1" x14ac:dyDescent="0.25">
      <c r="A1084" s="312"/>
      <c r="B1084" s="86"/>
      <c r="C1084" s="53" t="s">
        <v>1431</v>
      </c>
      <c r="D1084" s="54"/>
      <c r="E1084" s="55"/>
      <c r="F1084" s="85"/>
      <c r="G1084" s="85"/>
      <c r="H1084" s="86"/>
    </row>
    <row r="1085" spans="1:8" ht="30" customHeight="1" x14ac:dyDescent="0.25">
      <c r="A1085" s="312"/>
      <c r="B1085" s="86"/>
      <c r="C1085" s="53"/>
      <c r="D1085" s="54"/>
      <c r="E1085" s="55"/>
      <c r="F1085" s="85"/>
      <c r="G1085" s="85"/>
      <c r="H1085" s="86"/>
    </row>
    <row r="1086" spans="1:8" ht="30" customHeight="1" x14ac:dyDescent="0.25">
      <c r="A1086" s="312"/>
      <c r="B1086" s="86"/>
      <c r="C1086" s="53" t="s">
        <v>1432</v>
      </c>
      <c r="D1086" s="54"/>
      <c r="E1086" s="55"/>
      <c r="F1086" s="85"/>
      <c r="G1086" s="85"/>
      <c r="H1086" s="86"/>
    </row>
    <row r="1087" spans="1:8" ht="30" customHeight="1" x14ac:dyDescent="0.25">
      <c r="A1087" s="312"/>
      <c r="B1087" s="86"/>
      <c r="C1087" s="53"/>
      <c r="D1087" s="54"/>
      <c r="E1087" s="55"/>
      <c r="F1087" s="85"/>
      <c r="G1087" s="85"/>
      <c r="H1087" s="86"/>
    </row>
    <row r="1088" spans="1:8" ht="30" customHeight="1" x14ac:dyDescent="0.25">
      <c r="A1088" s="312"/>
      <c r="B1088" s="86"/>
      <c r="C1088" s="53" t="s">
        <v>1433</v>
      </c>
      <c r="D1088" s="54"/>
      <c r="E1088" s="55"/>
      <c r="F1088" s="85"/>
      <c r="G1088" s="85"/>
      <c r="H1088" s="86"/>
    </row>
    <row r="1089" spans="1:8" ht="30" customHeight="1" x14ac:dyDescent="0.25">
      <c r="A1089" s="312"/>
      <c r="B1089" s="86"/>
      <c r="C1089" s="53"/>
      <c r="D1089" s="54"/>
      <c r="E1089" s="55"/>
      <c r="F1089" s="85"/>
      <c r="G1089" s="85"/>
      <c r="H1089" s="86"/>
    </row>
    <row r="1090" spans="1:8" ht="30" customHeight="1" thickBot="1" x14ac:dyDescent="0.3">
      <c r="A1090" s="83"/>
      <c r="B1090" s="91"/>
      <c r="C1090" s="88" t="s">
        <v>1434</v>
      </c>
      <c r="D1090" s="89"/>
      <c r="E1090" s="90"/>
      <c r="F1090" s="77"/>
      <c r="G1090" s="77"/>
      <c r="H1090" s="91"/>
    </row>
    <row r="1091" spans="1:8" ht="30" customHeight="1" x14ac:dyDescent="0.25">
      <c r="A1091" s="76">
        <f>+A1082+1</f>
        <v>460</v>
      </c>
      <c r="B1091" s="50" t="s">
        <v>1419</v>
      </c>
      <c r="C1091" s="63" t="s">
        <v>1435</v>
      </c>
      <c r="D1091" s="64"/>
      <c r="E1091" s="65"/>
      <c r="F1091" s="84" t="s">
        <v>1436</v>
      </c>
      <c r="G1091" s="84" t="str">
        <f>+VLOOKUP(460,prueba!$D$2:$E$733,2,FALSE)</f>
        <v>JURÍDICA – ESTRUCTURACIÓN</v>
      </c>
      <c r="H1091" s="50" t="s">
        <v>8254</v>
      </c>
    </row>
    <row r="1092" spans="1:8" ht="30" customHeight="1" x14ac:dyDescent="0.25">
      <c r="A1092" s="312"/>
      <c r="B1092" s="86"/>
      <c r="C1092" s="53"/>
      <c r="D1092" s="54"/>
      <c r="E1092" s="55"/>
      <c r="F1092" s="85"/>
      <c r="G1092" s="85"/>
      <c r="H1092" s="86"/>
    </row>
    <row r="1093" spans="1:8" ht="30" customHeight="1" x14ac:dyDescent="0.25">
      <c r="A1093" s="312"/>
      <c r="B1093" s="86"/>
      <c r="C1093" s="53" t="s">
        <v>1437</v>
      </c>
      <c r="D1093" s="54"/>
      <c r="E1093" s="55"/>
      <c r="F1093" s="85"/>
      <c r="G1093" s="85"/>
      <c r="H1093" s="86"/>
    </row>
    <row r="1094" spans="1:8" ht="30" customHeight="1" x14ac:dyDescent="0.25">
      <c r="A1094" s="312"/>
      <c r="B1094" s="86"/>
      <c r="C1094" s="53"/>
      <c r="D1094" s="54"/>
      <c r="E1094" s="55"/>
      <c r="F1094" s="85"/>
      <c r="G1094" s="85"/>
      <c r="H1094" s="86"/>
    </row>
    <row r="1095" spans="1:8" ht="30" customHeight="1" x14ac:dyDescent="0.25">
      <c r="A1095" s="312"/>
      <c r="B1095" s="86"/>
      <c r="C1095" s="53" t="s">
        <v>1438</v>
      </c>
      <c r="D1095" s="54"/>
      <c r="E1095" s="55"/>
      <c r="F1095" s="85"/>
      <c r="G1095" s="85"/>
      <c r="H1095" s="86"/>
    </row>
    <row r="1096" spans="1:8" ht="30" customHeight="1" x14ac:dyDescent="0.25">
      <c r="A1096" s="312"/>
      <c r="B1096" s="86"/>
      <c r="C1096" s="53"/>
      <c r="D1096" s="54"/>
      <c r="E1096" s="55"/>
      <c r="F1096" s="85"/>
      <c r="G1096" s="85"/>
      <c r="H1096" s="86"/>
    </row>
    <row r="1097" spans="1:8" ht="30" customHeight="1" x14ac:dyDescent="0.25">
      <c r="A1097" s="312"/>
      <c r="B1097" s="86"/>
      <c r="C1097" s="53" t="s">
        <v>1439</v>
      </c>
      <c r="D1097" s="54"/>
      <c r="E1097" s="55"/>
      <c r="F1097" s="85"/>
      <c r="G1097" s="85"/>
      <c r="H1097" s="86"/>
    </row>
    <row r="1098" spans="1:8" ht="30" customHeight="1" x14ac:dyDescent="0.25">
      <c r="A1098" s="312"/>
      <c r="B1098" s="86"/>
      <c r="C1098" s="53"/>
      <c r="D1098" s="54"/>
      <c r="E1098" s="55"/>
      <c r="F1098" s="85"/>
      <c r="G1098" s="85"/>
      <c r="H1098" s="86"/>
    </row>
    <row r="1099" spans="1:8" ht="30" customHeight="1" x14ac:dyDescent="0.25">
      <c r="A1099" s="312"/>
      <c r="B1099" s="86"/>
      <c r="C1099" s="53" t="s">
        <v>1440</v>
      </c>
      <c r="D1099" s="54"/>
      <c r="E1099" s="55"/>
      <c r="F1099" s="85"/>
      <c r="G1099" s="85"/>
      <c r="H1099" s="86"/>
    </row>
    <row r="1100" spans="1:8" ht="30" customHeight="1" x14ac:dyDescent="0.25">
      <c r="A1100" s="312"/>
      <c r="B1100" s="86"/>
      <c r="C1100" s="53"/>
      <c r="D1100" s="54"/>
      <c r="E1100" s="55"/>
      <c r="F1100" s="85"/>
      <c r="G1100" s="85"/>
      <c r="H1100" s="86"/>
    </row>
    <row r="1101" spans="1:8" ht="30" customHeight="1" x14ac:dyDescent="0.25">
      <c r="A1101" s="312"/>
      <c r="B1101" s="86"/>
      <c r="C1101" s="53" t="s">
        <v>1441</v>
      </c>
      <c r="D1101" s="54"/>
      <c r="E1101" s="55"/>
      <c r="F1101" s="85"/>
      <c r="G1101" s="85"/>
      <c r="H1101" s="86"/>
    </row>
    <row r="1102" spans="1:8" ht="30" customHeight="1" x14ac:dyDescent="0.25">
      <c r="A1102" s="312"/>
      <c r="B1102" s="86"/>
      <c r="C1102" s="53"/>
      <c r="D1102" s="54"/>
      <c r="E1102" s="55"/>
      <c r="F1102" s="85"/>
      <c r="G1102" s="85"/>
      <c r="H1102" s="86"/>
    </row>
    <row r="1103" spans="1:8" ht="30" customHeight="1" x14ac:dyDescent="0.25">
      <c r="A1103" s="312"/>
      <c r="B1103" s="86"/>
      <c r="C1103" s="53" t="s">
        <v>1442</v>
      </c>
      <c r="D1103" s="54"/>
      <c r="E1103" s="55"/>
      <c r="F1103" s="85"/>
      <c r="G1103" s="85"/>
      <c r="H1103" s="86"/>
    </row>
    <row r="1104" spans="1:8" ht="30" customHeight="1" x14ac:dyDescent="0.25">
      <c r="A1104" s="312"/>
      <c r="B1104" s="86"/>
      <c r="C1104" s="53"/>
      <c r="D1104" s="54"/>
      <c r="E1104" s="55"/>
      <c r="F1104" s="85"/>
      <c r="G1104" s="85"/>
      <c r="H1104" s="86"/>
    </row>
    <row r="1105" spans="1:8" ht="30" customHeight="1" thickBot="1" x14ac:dyDescent="0.3">
      <c r="A1105" s="83"/>
      <c r="B1105" s="91"/>
      <c r="C1105" s="88" t="s">
        <v>1443</v>
      </c>
      <c r="D1105" s="89"/>
      <c r="E1105" s="90"/>
      <c r="F1105" s="77"/>
      <c r="G1105" s="77"/>
      <c r="H1105" s="91"/>
    </row>
    <row r="1106" spans="1:8" ht="30" customHeight="1" x14ac:dyDescent="0.25">
      <c r="A1106" s="76">
        <f>+A1091+1</f>
        <v>461</v>
      </c>
      <c r="B1106" s="50" t="s">
        <v>1419</v>
      </c>
      <c r="C1106" s="63" t="s">
        <v>1444</v>
      </c>
      <c r="D1106" s="64"/>
      <c r="E1106" s="65"/>
      <c r="F1106" s="84" t="s">
        <v>1445</v>
      </c>
      <c r="G1106" s="84" t="str">
        <f>+VLOOKUP(461,prueba!$D$2:$E$733,2,FALSE)</f>
        <v xml:space="preserve">JURÍDICA – ESTRUCTURACIÓN </v>
      </c>
      <c r="H1106" s="50" t="s">
        <v>1446</v>
      </c>
    </row>
    <row r="1107" spans="1:8" ht="30" customHeight="1" x14ac:dyDescent="0.25">
      <c r="A1107" s="312"/>
      <c r="B1107" s="86"/>
      <c r="C1107" s="53"/>
      <c r="D1107" s="54"/>
      <c r="E1107" s="55"/>
      <c r="F1107" s="85"/>
      <c r="G1107" s="85"/>
      <c r="H1107" s="86"/>
    </row>
    <row r="1108" spans="1:8" ht="30" customHeight="1" x14ac:dyDescent="0.25">
      <c r="A1108" s="312"/>
      <c r="B1108" s="86"/>
      <c r="C1108" s="53" t="s">
        <v>1447</v>
      </c>
      <c r="D1108" s="54"/>
      <c r="E1108" s="55"/>
      <c r="F1108" s="85"/>
      <c r="G1108" s="85"/>
      <c r="H1108" s="86"/>
    </row>
    <row r="1109" spans="1:8" ht="30" customHeight="1" x14ac:dyDescent="0.25">
      <c r="A1109" s="312"/>
      <c r="B1109" s="86"/>
      <c r="C1109" s="53"/>
      <c r="D1109" s="54"/>
      <c r="E1109" s="55"/>
      <c r="F1109" s="85"/>
      <c r="G1109" s="85"/>
      <c r="H1109" s="86"/>
    </row>
    <row r="1110" spans="1:8" ht="30" customHeight="1" x14ac:dyDescent="0.25">
      <c r="A1110" s="312"/>
      <c r="B1110" s="86"/>
      <c r="C1110" s="53" t="s">
        <v>1448</v>
      </c>
      <c r="D1110" s="54"/>
      <c r="E1110" s="55"/>
      <c r="F1110" s="85"/>
      <c r="G1110" s="85"/>
      <c r="H1110" s="86"/>
    </row>
    <row r="1111" spans="1:8" ht="30" customHeight="1" x14ac:dyDescent="0.25">
      <c r="A1111" s="312"/>
      <c r="B1111" s="86"/>
      <c r="C1111" s="53" t="s">
        <v>1449</v>
      </c>
      <c r="D1111" s="54"/>
      <c r="E1111" s="55"/>
      <c r="F1111" s="85"/>
      <c r="G1111" s="85"/>
      <c r="H1111" s="86"/>
    </row>
    <row r="1112" spans="1:8" ht="30" customHeight="1" x14ac:dyDescent="0.25">
      <c r="A1112" s="312"/>
      <c r="B1112" s="86"/>
      <c r="C1112" s="53" t="s">
        <v>1450</v>
      </c>
      <c r="D1112" s="54"/>
      <c r="E1112" s="55"/>
      <c r="F1112" s="85"/>
      <c r="G1112" s="85"/>
      <c r="H1112" s="86"/>
    </row>
    <row r="1113" spans="1:8" ht="30" customHeight="1" x14ac:dyDescent="0.25">
      <c r="A1113" s="312"/>
      <c r="B1113" s="86"/>
      <c r="C1113" s="53"/>
      <c r="D1113" s="54"/>
      <c r="E1113" s="55"/>
      <c r="F1113" s="85"/>
      <c r="G1113" s="85"/>
      <c r="H1113" s="86"/>
    </row>
    <row r="1114" spans="1:8" ht="30" customHeight="1" x14ac:dyDescent="0.25">
      <c r="A1114" s="312"/>
      <c r="B1114" s="86"/>
      <c r="C1114" s="53" t="s">
        <v>1451</v>
      </c>
      <c r="D1114" s="54"/>
      <c r="E1114" s="55"/>
      <c r="F1114" s="85"/>
      <c r="G1114" s="85"/>
      <c r="H1114" s="86"/>
    </row>
    <row r="1115" spans="1:8" ht="30" customHeight="1" x14ac:dyDescent="0.25">
      <c r="A1115" s="312"/>
      <c r="B1115" s="86"/>
      <c r="C1115" s="53"/>
      <c r="D1115" s="54"/>
      <c r="E1115" s="55"/>
      <c r="F1115" s="85"/>
      <c r="G1115" s="85"/>
      <c r="H1115" s="86"/>
    </row>
    <row r="1116" spans="1:8" ht="30" customHeight="1" x14ac:dyDescent="0.25">
      <c r="A1116" s="312"/>
      <c r="B1116" s="86"/>
      <c r="C1116" s="53" t="s">
        <v>1452</v>
      </c>
      <c r="D1116" s="54"/>
      <c r="E1116" s="55"/>
      <c r="F1116" s="85"/>
      <c r="G1116" s="85"/>
      <c r="H1116" s="86"/>
    </row>
    <row r="1117" spans="1:8" ht="30" customHeight="1" x14ac:dyDescent="0.25">
      <c r="A1117" s="312"/>
      <c r="B1117" s="86"/>
      <c r="C1117" s="53"/>
      <c r="D1117" s="54"/>
      <c r="E1117" s="55"/>
      <c r="F1117" s="85"/>
      <c r="G1117" s="85"/>
      <c r="H1117" s="86"/>
    </row>
    <row r="1118" spans="1:8" ht="30" customHeight="1" thickBot="1" x14ac:dyDescent="0.3">
      <c r="A1118" s="83"/>
      <c r="B1118" s="91"/>
      <c r="C1118" s="88" t="s">
        <v>1453</v>
      </c>
      <c r="D1118" s="89"/>
      <c r="E1118" s="90"/>
      <c r="F1118" s="77"/>
      <c r="G1118" s="77"/>
      <c r="H1118" s="91"/>
    </row>
    <row r="1119" spans="1:8" ht="30" customHeight="1" x14ac:dyDescent="0.25">
      <c r="A1119" s="76">
        <f>+A1106+1</f>
        <v>462</v>
      </c>
      <c r="B1119" s="50" t="s">
        <v>1419</v>
      </c>
      <c r="C1119" s="63" t="s">
        <v>1454</v>
      </c>
      <c r="D1119" s="64"/>
      <c r="E1119" s="65"/>
      <c r="F1119" s="56"/>
      <c r="G1119" s="84" t="str">
        <f>+VLOOKUP(462,prueba!$D$2:$E$733,2,FALSE)</f>
        <v>JURÍDICA – ESTRUCTURACIÓN Y CONTRATACIÓN</v>
      </c>
      <c r="H1119" s="50" t="s">
        <v>1455</v>
      </c>
    </row>
    <row r="1120" spans="1:8" ht="30" customHeight="1" thickBot="1" x14ac:dyDescent="0.3">
      <c r="A1120" s="83"/>
      <c r="B1120" s="91"/>
      <c r="C1120" s="88"/>
      <c r="D1120" s="89"/>
      <c r="E1120" s="90"/>
      <c r="F1120" s="78" t="s">
        <v>1456</v>
      </c>
      <c r="G1120" s="77"/>
      <c r="H1120" s="91"/>
    </row>
    <row r="1121" spans="1:8" ht="30" customHeight="1" x14ac:dyDescent="0.25">
      <c r="A1121" s="76">
        <f>+A1119+1</f>
        <v>463</v>
      </c>
      <c r="B1121" s="50" t="s">
        <v>1419</v>
      </c>
      <c r="C1121" s="63" t="s">
        <v>1457</v>
      </c>
      <c r="D1121" s="64"/>
      <c r="E1121" s="65"/>
      <c r="F1121" s="56" t="s">
        <v>1458</v>
      </c>
      <c r="G1121" s="84" t="str">
        <f>+VLOOKUP(463,prueba!$D$2:$E$733,2,FALSE)</f>
        <v>FINANCIERA</v>
      </c>
      <c r="H1121" s="50" t="s">
        <v>1459</v>
      </c>
    </row>
    <row r="1122" spans="1:8" ht="30" customHeight="1" thickBot="1" x14ac:dyDescent="0.3">
      <c r="A1122" s="83"/>
      <c r="B1122" s="91"/>
      <c r="C1122" s="88"/>
      <c r="D1122" s="89"/>
      <c r="E1122" s="90"/>
      <c r="F1122" s="78" t="s">
        <v>1460</v>
      </c>
      <c r="G1122" s="77"/>
      <c r="H1122" s="91"/>
    </row>
    <row r="1123" spans="1:8" ht="30" customHeight="1" x14ac:dyDescent="0.25">
      <c r="A1123" s="76">
        <f>+A1121+1</f>
        <v>464</v>
      </c>
      <c r="B1123" s="50" t="s">
        <v>1419</v>
      </c>
      <c r="C1123" s="63" t="s">
        <v>1461</v>
      </c>
      <c r="D1123" s="64"/>
      <c r="E1123" s="65"/>
      <c r="F1123" s="84" t="s">
        <v>1462</v>
      </c>
      <c r="G1123" s="84" t="str">
        <f>+VLOOKUP(464,prueba!$D$2:$E$733,2,FALSE)</f>
        <v>FINANCIERA</v>
      </c>
      <c r="H1123" s="50" t="s">
        <v>1463</v>
      </c>
    </row>
    <row r="1124" spans="1:8" ht="30" customHeight="1" x14ac:dyDescent="0.25">
      <c r="A1124" s="312"/>
      <c r="B1124" s="86"/>
      <c r="C1124" s="53"/>
      <c r="D1124" s="54"/>
      <c r="E1124" s="55"/>
      <c r="F1124" s="85"/>
      <c r="G1124" s="85"/>
      <c r="H1124" s="86"/>
    </row>
    <row r="1125" spans="1:8" ht="30" customHeight="1" thickBot="1" x14ac:dyDescent="0.3">
      <c r="A1125" s="83"/>
      <c r="B1125" s="91"/>
      <c r="C1125" s="88" t="s">
        <v>1464</v>
      </c>
      <c r="D1125" s="89"/>
      <c r="E1125" s="90"/>
      <c r="F1125" s="77"/>
      <c r="G1125" s="77"/>
      <c r="H1125" s="91"/>
    </row>
    <row r="1126" spans="1:8" ht="30" customHeight="1" x14ac:dyDescent="0.25">
      <c r="A1126" s="76">
        <f>+A1123+1</f>
        <v>465</v>
      </c>
      <c r="B1126" s="50" t="s">
        <v>1419</v>
      </c>
      <c r="C1126" s="63" t="s">
        <v>1465</v>
      </c>
      <c r="D1126" s="64"/>
      <c r="E1126" s="65"/>
      <c r="F1126" s="56" t="s">
        <v>1466</v>
      </c>
      <c r="G1126" s="84" t="str">
        <f>+VLOOKUP(465,prueba!$D$2:$E$733,2,FALSE)</f>
        <v>JURÍDICA – CONTRATACIÓN</v>
      </c>
      <c r="H1126" s="50" t="s">
        <v>1467</v>
      </c>
    </row>
    <row r="1127" spans="1:8" ht="30" customHeight="1" x14ac:dyDescent="0.25">
      <c r="A1127" s="312"/>
      <c r="B1127" s="86"/>
      <c r="C1127" s="53"/>
      <c r="D1127" s="54"/>
      <c r="E1127" s="55"/>
      <c r="F1127" s="56" t="s">
        <v>1468</v>
      </c>
      <c r="G1127" s="85"/>
      <c r="H1127" s="86"/>
    </row>
    <row r="1128" spans="1:8" ht="30" customHeight="1" x14ac:dyDescent="0.25">
      <c r="A1128" s="312"/>
      <c r="B1128" s="86"/>
      <c r="C1128" s="53" t="s">
        <v>1469</v>
      </c>
      <c r="D1128" s="54"/>
      <c r="E1128" s="55"/>
      <c r="F1128" s="45"/>
      <c r="G1128" s="85"/>
      <c r="H1128" s="86"/>
    </row>
    <row r="1129" spans="1:8" ht="30" customHeight="1" x14ac:dyDescent="0.25">
      <c r="A1129" s="312"/>
      <c r="B1129" s="86"/>
      <c r="C1129" s="53"/>
      <c r="D1129" s="54"/>
      <c r="E1129" s="55"/>
      <c r="F1129" s="45"/>
      <c r="G1129" s="85"/>
      <c r="H1129" s="86"/>
    </row>
    <row r="1130" spans="1:8" ht="30" customHeight="1" thickBot="1" x14ac:dyDescent="0.3">
      <c r="A1130" s="83"/>
      <c r="B1130" s="91"/>
      <c r="C1130" s="88" t="s">
        <v>1470</v>
      </c>
      <c r="D1130" s="89"/>
      <c r="E1130" s="90"/>
      <c r="F1130" s="46"/>
      <c r="G1130" s="77"/>
      <c r="H1130" s="91"/>
    </row>
    <row r="1131" spans="1:8" ht="30" customHeight="1" x14ac:dyDescent="0.25">
      <c r="A1131" s="76">
        <f>+A1126+1</f>
        <v>466</v>
      </c>
      <c r="B1131" s="50" t="s">
        <v>1419</v>
      </c>
      <c r="C1131" s="63" t="s">
        <v>1471</v>
      </c>
      <c r="D1131" s="64"/>
      <c r="E1131" s="65"/>
      <c r="F1131" s="56" t="s">
        <v>1472</v>
      </c>
      <c r="G1131" s="84" t="str">
        <f>+VLOOKUP(466,prueba!$D$2:$E$733,2,FALSE)</f>
        <v>JURÍDICA - CONTRATACIÓN</v>
      </c>
      <c r="H1131" s="50" t="s">
        <v>1473</v>
      </c>
    </row>
    <row r="1132" spans="1:8" ht="30" customHeight="1" x14ac:dyDescent="0.25">
      <c r="A1132" s="312"/>
      <c r="B1132" s="86"/>
      <c r="C1132" s="53"/>
      <c r="D1132" s="54"/>
      <c r="E1132" s="55"/>
      <c r="F1132" s="56" t="s">
        <v>1474</v>
      </c>
      <c r="G1132" s="85"/>
      <c r="H1132" s="86"/>
    </row>
    <row r="1133" spans="1:8" ht="30" customHeight="1" x14ac:dyDescent="0.25">
      <c r="A1133" s="312"/>
      <c r="B1133" s="86"/>
      <c r="C1133" s="53" t="s">
        <v>1475</v>
      </c>
      <c r="D1133" s="54"/>
      <c r="E1133" s="55"/>
      <c r="F1133" s="45"/>
      <c r="G1133" s="85"/>
      <c r="H1133" s="86"/>
    </row>
    <row r="1134" spans="1:8" ht="30" customHeight="1" x14ac:dyDescent="0.25">
      <c r="A1134" s="312"/>
      <c r="B1134" s="86"/>
      <c r="C1134" s="53"/>
      <c r="D1134" s="54"/>
      <c r="E1134" s="55"/>
      <c r="F1134" s="45"/>
      <c r="G1134" s="85"/>
      <c r="H1134" s="86"/>
    </row>
    <row r="1135" spans="1:8" ht="30" customHeight="1" x14ac:dyDescent="0.25">
      <c r="A1135" s="312"/>
      <c r="B1135" s="86"/>
      <c r="C1135" s="53" t="s">
        <v>1476</v>
      </c>
      <c r="D1135" s="54"/>
      <c r="E1135" s="55"/>
      <c r="F1135" s="45"/>
      <c r="G1135" s="85"/>
      <c r="H1135" s="86"/>
    </row>
    <row r="1136" spans="1:8" ht="30" customHeight="1" x14ac:dyDescent="0.25">
      <c r="A1136" s="312"/>
      <c r="B1136" s="86"/>
      <c r="C1136" s="53"/>
      <c r="D1136" s="54"/>
      <c r="E1136" s="55"/>
      <c r="F1136" s="45"/>
      <c r="G1136" s="85"/>
      <c r="H1136" s="86"/>
    </row>
    <row r="1137" spans="1:8" ht="30" customHeight="1" thickBot="1" x14ac:dyDescent="0.3">
      <c r="A1137" s="83"/>
      <c r="B1137" s="91"/>
      <c r="C1137" s="88" t="s">
        <v>1477</v>
      </c>
      <c r="D1137" s="89"/>
      <c r="E1137" s="90"/>
      <c r="F1137" s="46"/>
      <c r="G1137" s="77"/>
      <c r="H1137" s="91"/>
    </row>
    <row r="1138" spans="1:8" ht="30" customHeight="1" x14ac:dyDescent="0.25">
      <c r="A1138" s="76">
        <f>+A1131+1</f>
        <v>467</v>
      </c>
      <c r="B1138" s="50" t="s">
        <v>1419</v>
      </c>
      <c r="C1138" s="63" t="s">
        <v>1478</v>
      </c>
      <c r="D1138" s="64"/>
      <c r="E1138" s="65"/>
      <c r="F1138" s="84" t="s">
        <v>1479</v>
      </c>
      <c r="G1138" s="84" t="str">
        <f>+VLOOKUP(467,prueba!$D$2:$E$733,2,FALSE)</f>
        <v xml:space="preserve">TÉCNICA </v>
      </c>
      <c r="H1138" s="50" t="s">
        <v>9073</v>
      </c>
    </row>
    <row r="1139" spans="1:8" ht="30" customHeight="1" x14ac:dyDescent="0.25">
      <c r="A1139" s="312"/>
      <c r="B1139" s="86"/>
      <c r="C1139" s="53"/>
      <c r="D1139" s="54"/>
      <c r="E1139" s="55"/>
      <c r="F1139" s="85"/>
      <c r="G1139" s="85"/>
      <c r="H1139" s="86"/>
    </row>
    <row r="1140" spans="1:8" ht="30" customHeight="1" thickBot="1" x14ac:dyDescent="0.3">
      <c r="A1140" s="83"/>
      <c r="B1140" s="91"/>
      <c r="C1140" s="88" t="s">
        <v>1480</v>
      </c>
      <c r="D1140" s="89"/>
      <c r="E1140" s="90"/>
      <c r="F1140" s="77"/>
      <c r="G1140" s="77"/>
      <c r="H1140" s="91"/>
    </row>
    <row r="1141" spans="1:8" ht="30" customHeight="1" x14ac:dyDescent="0.25">
      <c r="A1141" s="76">
        <f>+A1138+1</f>
        <v>468</v>
      </c>
      <c r="B1141" s="50" t="s">
        <v>1419</v>
      </c>
      <c r="C1141" s="63" t="s">
        <v>1481</v>
      </c>
      <c r="D1141" s="64"/>
      <c r="E1141" s="65"/>
      <c r="F1141" s="84" t="s">
        <v>1482</v>
      </c>
      <c r="G1141" s="84" t="str">
        <f>+VLOOKUP(468,prueba!$D$2:$E$733,2,FALSE)</f>
        <v>JURÍDICA - CONTRATACIÓN</v>
      </c>
      <c r="H1141" s="50" t="s">
        <v>1483</v>
      </c>
    </row>
    <row r="1142" spans="1:8" ht="30" customHeight="1" x14ac:dyDescent="0.25">
      <c r="A1142" s="312"/>
      <c r="B1142" s="86"/>
      <c r="C1142" s="53"/>
      <c r="D1142" s="54"/>
      <c r="E1142" s="55"/>
      <c r="F1142" s="85"/>
      <c r="G1142" s="85"/>
      <c r="H1142" s="86"/>
    </row>
    <row r="1143" spans="1:8" ht="30" customHeight="1" thickBot="1" x14ac:dyDescent="0.3">
      <c r="A1143" s="83"/>
      <c r="B1143" s="91"/>
      <c r="C1143" s="88" t="s">
        <v>1484</v>
      </c>
      <c r="D1143" s="89"/>
      <c r="E1143" s="90"/>
      <c r="F1143" s="77"/>
      <c r="G1143" s="77"/>
      <c r="H1143" s="91"/>
    </row>
    <row r="1144" spans="1:8" ht="30" customHeight="1" x14ac:dyDescent="0.25">
      <c r="A1144" s="76">
        <f>+A1141+1</f>
        <v>469</v>
      </c>
      <c r="B1144" s="50" t="s">
        <v>1419</v>
      </c>
      <c r="C1144" s="63" t="s">
        <v>1485</v>
      </c>
      <c r="D1144" s="64"/>
      <c r="E1144" s="65"/>
      <c r="F1144" s="84" t="s">
        <v>1486</v>
      </c>
      <c r="G1144" s="84" t="str">
        <f>+VLOOKUP(469,prueba!$D$2:$E$733,2,FALSE)</f>
        <v>FINANCIERA RIESGOS</v>
      </c>
      <c r="H1144" s="50" t="s">
        <v>8912</v>
      </c>
    </row>
    <row r="1145" spans="1:8" ht="30" customHeight="1" thickBot="1" x14ac:dyDescent="0.3">
      <c r="A1145" s="83"/>
      <c r="B1145" s="91"/>
      <c r="C1145" s="88" t="s">
        <v>1487</v>
      </c>
      <c r="D1145" s="89"/>
      <c r="E1145" s="90"/>
      <c r="F1145" s="77"/>
      <c r="G1145" s="77"/>
      <c r="H1145" s="91"/>
    </row>
    <row r="1146" spans="1:8" ht="30" customHeight="1" thickBot="1" x14ac:dyDescent="0.3">
      <c r="A1146" s="313">
        <f>+A1144+1</f>
        <v>470</v>
      </c>
      <c r="B1146" s="52" t="s">
        <v>1419</v>
      </c>
      <c r="C1146" s="108" t="s">
        <v>1488</v>
      </c>
      <c r="D1146" s="109"/>
      <c r="E1146" s="110"/>
      <c r="F1146" s="78" t="s">
        <v>1489</v>
      </c>
      <c r="G1146" s="107" t="str">
        <f>+VLOOKUP(470,prueba!$D$2:$E$733,2,FALSE)</f>
        <v>JURÍDICA – CONTRATACIÓN</v>
      </c>
      <c r="H1146" s="52" t="s">
        <v>9074</v>
      </c>
    </row>
    <row r="1147" spans="1:8" ht="30" customHeight="1" thickBot="1" x14ac:dyDescent="0.3">
      <c r="A1147" s="313">
        <f>+A1146+1</f>
        <v>471</v>
      </c>
      <c r="B1147" s="52" t="s">
        <v>1419</v>
      </c>
      <c r="C1147" s="108" t="s">
        <v>1490</v>
      </c>
      <c r="D1147" s="109"/>
      <c r="E1147" s="110"/>
      <c r="F1147" s="78" t="s">
        <v>1491</v>
      </c>
      <c r="G1147" s="107" t="str">
        <f>+VLOOKUP(471,prueba!$D$2:$E$733,2,FALSE)</f>
        <v>TÉCNICA RIESGOS</v>
      </c>
      <c r="H1147" s="52" t="s">
        <v>8913</v>
      </c>
    </row>
    <row r="1148" spans="1:8" ht="30" customHeight="1" x14ac:dyDescent="0.25">
      <c r="A1148" s="76">
        <f>+A1147+1</f>
        <v>472</v>
      </c>
      <c r="B1148" s="50" t="s">
        <v>1419</v>
      </c>
      <c r="C1148" s="63" t="s">
        <v>1492</v>
      </c>
      <c r="D1148" s="64"/>
      <c r="E1148" s="65"/>
      <c r="F1148" s="84" t="s">
        <v>1493</v>
      </c>
      <c r="G1148" s="84" t="str">
        <f>+VLOOKUP(472,prueba!$D$2:$E$733,2,FALSE)</f>
        <v>JURÍDICA - SANCIONATORIO</v>
      </c>
      <c r="H1148" s="50" t="s">
        <v>1494</v>
      </c>
    </row>
    <row r="1149" spans="1:8" ht="30" customHeight="1" x14ac:dyDescent="0.25">
      <c r="A1149" s="312"/>
      <c r="B1149" s="86"/>
      <c r="C1149" s="53"/>
      <c r="D1149" s="54"/>
      <c r="E1149" s="55"/>
      <c r="F1149" s="85"/>
      <c r="G1149" s="85"/>
      <c r="H1149" s="86"/>
    </row>
    <row r="1150" spans="1:8" ht="30" customHeight="1" thickBot="1" x14ac:dyDescent="0.3">
      <c r="A1150" s="83"/>
      <c r="B1150" s="91"/>
      <c r="C1150" s="88" t="s">
        <v>1495</v>
      </c>
      <c r="D1150" s="89"/>
      <c r="E1150" s="90"/>
      <c r="F1150" s="77"/>
      <c r="G1150" s="77"/>
      <c r="H1150" s="91"/>
    </row>
    <row r="1151" spans="1:8" ht="30" customHeight="1" thickBot="1" x14ac:dyDescent="0.3">
      <c r="A1151" s="313">
        <f>+A1148+1</f>
        <v>473</v>
      </c>
      <c r="B1151" s="52" t="s">
        <v>1419</v>
      </c>
      <c r="C1151" s="108" t="s">
        <v>9711</v>
      </c>
      <c r="D1151" s="109"/>
      <c r="E1151" s="110"/>
      <c r="F1151" s="78" t="s">
        <v>1496</v>
      </c>
      <c r="G1151" s="107" t="str">
        <f>+VLOOKUP(473,prueba!$D$2:$E$733,2,FALSE)</f>
        <v>FINANCIERA</v>
      </c>
      <c r="H1151" s="52" t="s">
        <v>8914</v>
      </c>
    </row>
    <row r="1152" spans="1:8" ht="30" customHeight="1" x14ac:dyDescent="0.25">
      <c r="A1152" s="76">
        <f>+A1151+1</f>
        <v>474</v>
      </c>
      <c r="B1152" s="50" t="s">
        <v>1419</v>
      </c>
      <c r="C1152" s="63" t="s">
        <v>1497</v>
      </c>
      <c r="D1152" s="64"/>
      <c r="E1152" s="65"/>
      <c r="F1152" s="84" t="s">
        <v>1498</v>
      </c>
      <c r="G1152" s="84" t="str">
        <f>+VLOOKUP(474,prueba!$D$2:$E$733,2,FALSE)</f>
        <v>JURÍDICA ESTRUCTURACIÓN FINANCIERA</v>
      </c>
      <c r="H1152" s="50" t="s">
        <v>8514</v>
      </c>
    </row>
    <row r="1153" spans="1:8" ht="30" customHeight="1" thickBot="1" x14ac:dyDescent="0.3">
      <c r="A1153" s="83"/>
      <c r="B1153" s="91"/>
      <c r="C1153" s="88" t="s">
        <v>1499</v>
      </c>
      <c r="D1153" s="89"/>
      <c r="E1153" s="90"/>
      <c r="F1153" s="77"/>
      <c r="G1153" s="77"/>
      <c r="H1153" s="91"/>
    </row>
    <row r="1154" spans="1:8" ht="30" customHeight="1" thickBot="1" x14ac:dyDescent="0.3">
      <c r="A1154" s="313">
        <f>+A1152+1</f>
        <v>475</v>
      </c>
      <c r="B1154" s="52" t="s">
        <v>1419</v>
      </c>
      <c r="C1154" s="108" t="s">
        <v>1500</v>
      </c>
      <c r="D1154" s="109"/>
      <c r="E1154" s="110"/>
      <c r="F1154" s="78" t="s">
        <v>1501</v>
      </c>
      <c r="G1154" s="107" t="str">
        <f>+VLOOKUP(475,prueba!$D$2:$E$733,2,FALSE)</f>
        <v>JURÍDICA - ESTRUCTURACIÓN</v>
      </c>
      <c r="H1154" s="52" t="s">
        <v>1502</v>
      </c>
    </row>
    <row r="1155" spans="1:8" ht="30" customHeight="1" thickBot="1" x14ac:dyDescent="0.3">
      <c r="A1155" s="313">
        <f>+A1154+1</f>
        <v>476</v>
      </c>
      <c r="B1155" s="52" t="s">
        <v>1419</v>
      </c>
      <c r="C1155" s="108" t="s">
        <v>1503</v>
      </c>
      <c r="D1155" s="109"/>
      <c r="E1155" s="110"/>
      <c r="F1155" s="78" t="s">
        <v>1504</v>
      </c>
      <c r="G1155" s="107" t="str">
        <f>+VLOOKUP(476,prueba!$D$2:$E$733,2,FALSE)</f>
        <v>TÉCNICA</v>
      </c>
      <c r="H1155" s="52" t="s">
        <v>9075</v>
      </c>
    </row>
    <row r="1156" spans="1:8" ht="30" customHeight="1" x14ac:dyDescent="0.25">
      <c r="A1156" s="76">
        <f>+A1155+1</f>
        <v>477</v>
      </c>
      <c r="B1156" s="50" t="s">
        <v>1419</v>
      </c>
      <c r="C1156" s="63" t="s">
        <v>1505</v>
      </c>
      <c r="D1156" s="64"/>
      <c r="E1156" s="65"/>
      <c r="F1156" s="84" t="s">
        <v>1506</v>
      </c>
      <c r="G1156" s="84" t="str">
        <f>+VLOOKUP(477,prueba!$D$2:$E$733,2,FALSE)</f>
        <v>JURÍDICA - ESTRUCTURACIÓN</v>
      </c>
      <c r="H1156" s="50" t="s">
        <v>1507</v>
      </c>
    </row>
    <row r="1157" spans="1:8" ht="30" customHeight="1" x14ac:dyDescent="0.25">
      <c r="A1157" s="312"/>
      <c r="B1157" s="86"/>
      <c r="C1157" s="53"/>
      <c r="D1157" s="54"/>
      <c r="E1157" s="55"/>
      <c r="F1157" s="85"/>
      <c r="G1157" s="85"/>
      <c r="H1157" s="86"/>
    </row>
    <row r="1158" spans="1:8" ht="30" customHeight="1" thickBot="1" x14ac:dyDescent="0.3">
      <c r="A1158" s="83"/>
      <c r="B1158" s="91"/>
      <c r="C1158" s="88" t="s">
        <v>1508</v>
      </c>
      <c r="D1158" s="89"/>
      <c r="E1158" s="90"/>
      <c r="F1158" s="77"/>
      <c r="G1158" s="77"/>
      <c r="H1158" s="91"/>
    </row>
    <row r="1159" spans="1:8" ht="30" customHeight="1" x14ac:dyDescent="0.25">
      <c r="A1159" s="76">
        <f>+A1156+1</f>
        <v>478</v>
      </c>
      <c r="B1159" s="50" t="s">
        <v>1419</v>
      </c>
      <c r="C1159" s="63" t="s">
        <v>1509</v>
      </c>
      <c r="D1159" s="64"/>
      <c r="E1159" s="65"/>
      <c r="F1159" s="84" t="s">
        <v>1510</v>
      </c>
      <c r="G1159" s="84" t="str">
        <f>+VLOOKUP(478,prueba!$D$2:$E$733,2,FALSE)</f>
        <v>TÉCNICA</v>
      </c>
      <c r="H1159" s="50" t="s">
        <v>7126</v>
      </c>
    </row>
    <row r="1160" spans="1:8" ht="30" customHeight="1" x14ac:dyDescent="0.25">
      <c r="A1160" s="312"/>
      <c r="B1160" s="86"/>
      <c r="C1160" s="53"/>
      <c r="D1160" s="54"/>
      <c r="E1160" s="55"/>
      <c r="F1160" s="85"/>
      <c r="G1160" s="85"/>
      <c r="H1160" s="86"/>
    </row>
    <row r="1161" spans="1:8" ht="30" customHeight="1" thickBot="1" x14ac:dyDescent="0.3">
      <c r="A1161" s="83"/>
      <c r="B1161" s="91"/>
      <c r="C1161" s="88" t="s">
        <v>1511</v>
      </c>
      <c r="D1161" s="89"/>
      <c r="E1161" s="90"/>
      <c r="F1161" s="77"/>
      <c r="G1161" s="77"/>
      <c r="H1161" s="91"/>
    </row>
    <row r="1162" spans="1:8" ht="30" customHeight="1" x14ac:dyDescent="0.25">
      <c r="A1162" s="76">
        <f>+A1159+1</f>
        <v>479</v>
      </c>
      <c r="B1162" s="50" t="s">
        <v>1419</v>
      </c>
      <c r="C1162" s="63" t="s">
        <v>1512</v>
      </c>
      <c r="D1162" s="64"/>
      <c r="E1162" s="65"/>
      <c r="F1162" s="84" t="s">
        <v>1513</v>
      </c>
      <c r="G1162" s="84" t="str">
        <f>+VLOOKUP(479,prueba!$D$2:$E$733,2,FALSE)</f>
        <v>TÉCNICA JURÍDICA</v>
      </c>
      <c r="H1162" s="50" t="s">
        <v>1514</v>
      </c>
    </row>
    <row r="1163" spans="1:8" ht="30" customHeight="1" x14ac:dyDescent="0.25">
      <c r="A1163" s="312"/>
      <c r="B1163" s="86"/>
      <c r="C1163" s="53" t="s">
        <v>1515</v>
      </c>
      <c r="D1163" s="54"/>
      <c r="E1163" s="55"/>
      <c r="F1163" s="85"/>
      <c r="G1163" s="85"/>
      <c r="H1163" s="86"/>
    </row>
    <row r="1164" spans="1:8" ht="30" customHeight="1" x14ac:dyDescent="0.25">
      <c r="A1164" s="312"/>
      <c r="B1164" s="86"/>
      <c r="C1164" s="53"/>
      <c r="D1164" s="54"/>
      <c r="E1164" s="55"/>
      <c r="F1164" s="85"/>
      <c r="G1164" s="85"/>
      <c r="H1164" s="86"/>
    </row>
    <row r="1165" spans="1:8" ht="30" customHeight="1" x14ac:dyDescent="0.25">
      <c r="A1165" s="312"/>
      <c r="B1165" s="86"/>
      <c r="C1165" s="53" t="s">
        <v>1516</v>
      </c>
      <c r="D1165" s="54"/>
      <c r="E1165" s="55"/>
      <c r="F1165" s="85"/>
      <c r="G1165" s="85"/>
      <c r="H1165" s="86"/>
    </row>
    <row r="1166" spans="1:8" ht="30" customHeight="1" thickBot="1" x14ac:dyDescent="0.3">
      <c r="A1166" s="83"/>
      <c r="B1166" s="91"/>
      <c r="C1166" s="88" t="s">
        <v>1517</v>
      </c>
      <c r="D1166" s="89"/>
      <c r="E1166" s="90"/>
      <c r="F1166" s="77"/>
      <c r="G1166" s="77"/>
      <c r="H1166" s="91"/>
    </row>
    <row r="1167" spans="1:8" ht="30" customHeight="1" x14ac:dyDescent="0.25">
      <c r="A1167" s="76">
        <f>+A1162+1</f>
        <v>480</v>
      </c>
      <c r="B1167" s="50" t="s">
        <v>1419</v>
      </c>
      <c r="C1167" s="63" t="s">
        <v>1518</v>
      </c>
      <c r="D1167" s="64"/>
      <c r="E1167" s="65"/>
      <c r="F1167" s="84" t="s">
        <v>1519</v>
      </c>
      <c r="G1167" s="84" t="str">
        <f>+VLOOKUP(480,prueba!$D$2:$E$733,2,FALSE)</f>
        <v>JURÍDICA – DEFENSA JUDICIAL</v>
      </c>
      <c r="H1167" s="50" t="s">
        <v>8515</v>
      </c>
    </row>
    <row r="1168" spans="1:8" ht="30" customHeight="1" x14ac:dyDescent="0.25">
      <c r="A1168" s="312"/>
      <c r="B1168" s="86"/>
      <c r="C1168" s="53"/>
      <c r="D1168" s="54"/>
      <c r="E1168" s="55"/>
      <c r="F1168" s="85"/>
      <c r="G1168" s="85"/>
      <c r="H1168" s="86"/>
    </row>
    <row r="1169" spans="1:8" ht="30" customHeight="1" thickBot="1" x14ac:dyDescent="0.3">
      <c r="A1169" s="83"/>
      <c r="B1169" s="91"/>
      <c r="C1169" s="88" t="s">
        <v>1520</v>
      </c>
      <c r="D1169" s="89"/>
      <c r="E1169" s="90"/>
      <c r="F1169" s="77"/>
      <c r="G1169" s="77"/>
      <c r="H1169" s="91"/>
    </row>
    <row r="1170" spans="1:8" ht="30" customHeight="1" x14ac:dyDescent="0.25">
      <c r="A1170" s="76">
        <f>+A1167+1</f>
        <v>481</v>
      </c>
      <c r="B1170" s="50" t="s">
        <v>1419</v>
      </c>
      <c r="C1170" s="63" t="s">
        <v>1521</v>
      </c>
      <c r="D1170" s="64"/>
      <c r="E1170" s="65"/>
      <c r="F1170" s="84" t="s">
        <v>1522</v>
      </c>
      <c r="G1170" s="84" t="str">
        <f>+VLOOKUP(481,prueba!$D$2:$E$733,2,FALSE)</f>
        <v>JURÍDICA - ESTRUCTURACIÓN</v>
      </c>
      <c r="H1170" s="50" t="s">
        <v>8500</v>
      </c>
    </row>
    <row r="1171" spans="1:8" ht="30" customHeight="1" x14ac:dyDescent="0.25">
      <c r="A1171" s="312"/>
      <c r="B1171" s="86"/>
      <c r="C1171" s="53"/>
      <c r="D1171" s="54"/>
      <c r="E1171" s="55"/>
      <c r="F1171" s="85"/>
      <c r="G1171" s="85"/>
      <c r="H1171" s="86"/>
    </row>
    <row r="1172" spans="1:8" ht="30" customHeight="1" x14ac:dyDescent="0.25">
      <c r="A1172" s="312"/>
      <c r="B1172" s="86"/>
      <c r="C1172" s="53" t="s">
        <v>1523</v>
      </c>
      <c r="D1172" s="54"/>
      <c r="E1172" s="55"/>
      <c r="F1172" s="85"/>
      <c r="G1172" s="85"/>
      <c r="H1172" s="86"/>
    </row>
    <row r="1173" spans="1:8" ht="30" customHeight="1" x14ac:dyDescent="0.25">
      <c r="A1173" s="312"/>
      <c r="B1173" s="86"/>
      <c r="C1173" s="53"/>
      <c r="D1173" s="54"/>
      <c r="E1173" s="55"/>
      <c r="F1173" s="85"/>
      <c r="G1173" s="85"/>
      <c r="H1173" s="86"/>
    </row>
    <row r="1174" spans="1:8" ht="30" customHeight="1" x14ac:dyDescent="0.25">
      <c r="A1174" s="312"/>
      <c r="B1174" s="86"/>
      <c r="C1174" s="53" t="s">
        <v>1524</v>
      </c>
      <c r="D1174" s="54"/>
      <c r="E1174" s="55"/>
      <c r="F1174" s="85"/>
      <c r="G1174" s="85"/>
      <c r="H1174" s="86"/>
    </row>
    <row r="1175" spans="1:8" ht="30" customHeight="1" x14ac:dyDescent="0.25">
      <c r="A1175" s="312"/>
      <c r="B1175" s="86"/>
      <c r="C1175" s="53"/>
      <c r="D1175" s="54"/>
      <c r="E1175" s="55"/>
      <c r="F1175" s="85"/>
      <c r="G1175" s="85"/>
      <c r="H1175" s="86"/>
    </row>
    <row r="1176" spans="1:8" ht="30" customHeight="1" thickBot="1" x14ac:dyDescent="0.3">
      <c r="A1176" s="83"/>
      <c r="B1176" s="91"/>
      <c r="C1176" s="88" t="s">
        <v>1525</v>
      </c>
      <c r="D1176" s="89"/>
      <c r="E1176" s="90"/>
      <c r="F1176" s="77"/>
      <c r="G1176" s="77"/>
      <c r="H1176" s="91"/>
    </row>
    <row r="1177" spans="1:8" ht="30" customHeight="1" thickBot="1" x14ac:dyDescent="0.3">
      <c r="A1177" s="313">
        <f>+A1170+1</f>
        <v>482</v>
      </c>
      <c r="B1177" s="52" t="s">
        <v>1419</v>
      </c>
      <c r="C1177" s="108" t="s">
        <v>1526</v>
      </c>
      <c r="D1177" s="109"/>
      <c r="E1177" s="110"/>
      <c r="F1177" s="78" t="s">
        <v>1527</v>
      </c>
      <c r="G1177" s="107" t="str">
        <f>+VLOOKUP(482,prueba!$D$2:$E$733,2,FALSE)</f>
        <v>JURÍDICA - ESTRUCTURACIÓN</v>
      </c>
      <c r="H1177" s="52" t="s">
        <v>7365</v>
      </c>
    </row>
    <row r="1178" spans="1:8" ht="30" customHeight="1" x14ac:dyDescent="0.25">
      <c r="A1178" s="76">
        <f>+A1177+1</f>
        <v>483</v>
      </c>
      <c r="B1178" s="50" t="s">
        <v>1419</v>
      </c>
      <c r="C1178" s="63" t="s">
        <v>1528</v>
      </c>
      <c r="D1178" s="64"/>
      <c r="E1178" s="65"/>
      <c r="F1178" s="84" t="s">
        <v>1529</v>
      </c>
      <c r="G1178" s="84" t="str">
        <f>+VLOOKUP(483,prueba!$D$2:$E$733,2,FALSE)</f>
        <v>JURÍDICA - ESTRUCTURACIÓN </v>
      </c>
      <c r="H1178" s="50" t="s">
        <v>651</v>
      </c>
    </row>
    <row r="1179" spans="1:8" ht="30" customHeight="1" x14ac:dyDescent="0.25">
      <c r="A1179" s="312"/>
      <c r="B1179" s="86"/>
      <c r="C1179" s="53" t="s">
        <v>1530</v>
      </c>
      <c r="D1179" s="54"/>
      <c r="E1179" s="55"/>
      <c r="F1179" s="85"/>
      <c r="G1179" s="85"/>
      <c r="H1179" s="86"/>
    </row>
    <row r="1180" spans="1:8" ht="30" customHeight="1" thickBot="1" x14ac:dyDescent="0.3">
      <c r="A1180" s="83"/>
      <c r="B1180" s="91"/>
      <c r="C1180" s="88" t="s">
        <v>1531</v>
      </c>
      <c r="D1180" s="89"/>
      <c r="E1180" s="90"/>
      <c r="F1180" s="77"/>
      <c r="G1180" s="77"/>
      <c r="H1180" s="91"/>
    </row>
    <row r="1181" spans="1:8" ht="30" customHeight="1" x14ac:dyDescent="0.25">
      <c r="A1181" s="76">
        <f>+A1178+1</f>
        <v>484</v>
      </c>
      <c r="B1181" s="84" t="s">
        <v>1419</v>
      </c>
      <c r="C1181" s="121" t="s">
        <v>1532</v>
      </c>
      <c r="D1181" s="122"/>
      <c r="E1181" s="123"/>
      <c r="F1181" s="84" t="s">
        <v>1533</v>
      </c>
      <c r="G1181" s="84" t="str">
        <f>+VLOOKUP(484,prueba!$D$2:$E$733,2,FALSE)</f>
        <v>FINANCIERA</v>
      </c>
      <c r="H1181" s="123" t="s">
        <v>6989</v>
      </c>
    </row>
    <row r="1182" spans="1:8" ht="30" customHeight="1" x14ac:dyDescent="0.25">
      <c r="A1182" s="312"/>
      <c r="B1182" s="85"/>
      <c r="C1182" s="124"/>
      <c r="D1182" s="143"/>
      <c r="E1182" s="126"/>
      <c r="F1182" s="85"/>
      <c r="G1182" s="85"/>
      <c r="H1182" s="126"/>
    </row>
    <row r="1183" spans="1:8" ht="30" customHeight="1" thickBot="1" x14ac:dyDescent="0.3">
      <c r="A1183" s="83"/>
      <c r="B1183" s="77"/>
      <c r="C1183" s="127"/>
      <c r="D1183" s="128"/>
      <c r="E1183" s="129"/>
      <c r="F1183" s="77"/>
      <c r="G1183" s="77"/>
      <c r="H1183" s="129"/>
    </row>
    <row r="1184" spans="1:8" ht="30" customHeight="1" x14ac:dyDescent="0.25">
      <c r="A1184" s="76">
        <f>+A1181+1</f>
        <v>485</v>
      </c>
      <c r="B1184" s="50" t="s">
        <v>1419</v>
      </c>
      <c r="C1184" s="63" t="s">
        <v>1534</v>
      </c>
      <c r="D1184" s="64"/>
      <c r="E1184" s="65"/>
      <c r="F1184" s="84" t="s">
        <v>1533</v>
      </c>
      <c r="G1184" s="84" t="str">
        <f>+VLOOKUP(485,prueba!$D$2:$E$733,2,FALSE)</f>
        <v>FINANCIERA</v>
      </c>
      <c r="H1184" s="50" t="s">
        <v>6990</v>
      </c>
    </row>
    <row r="1185" spans="1:8" ht="30" customHeight="1" x14ac:dyDescent="0.25">
      <c r="A1185" s="312"/>
      <c r="B1185" s="86"/>
      <c r="C1185" s="53"/>
      <c r="D1185" s="54"/>
      <c r="E1185" s="55"/>
      <c r="F1185" s="85"/>
      <c r="G1185" s="85"/>
      <c r="H1185" s="86"/>
    </row>
    <row r="1186" spans="1:8" ht="30" customHeight="1" x14ac:dyDescent="0.25">
      <c r="A1186" s="312"/>
      <c r="B1186" s="86"/>
      <c r="C1186" s="53" t="s">
        <v>1535</v>
      </c>
      <c r="D1186" s="54"/>
      <c r="E1186" s="55"/>
      <c r="F1186" s="85"/>
      <c r="G1186" s="85"/>
      <c r="H1186" s="86"/>
    </row>
    <row r="1187" spans="1:8" ht="30" customHeight="1" x14ac:dyDescent="0.25">
      <c r="A1187" s="312"/>
      <c r="B1187" s="86"/>
      <c r="C1187" s="53"/>
      <c r="D1187" s="54"/>
      <c r="E1187" s="55"/>
      <c r="F1187" s="85"/>
      <c r="G1187" s="85"/>
      <c r="H1187" s="86"/>
    </row>
    <row r="1188" spans="1:8" ht="30" customHeight="1" x14ac:dyDescent="0.25">
      <c r="A1188" s="312"/>
      <c r="B1188" s="86"/>
      <c r="C1188" s="53" t="s">
        <v>1536</v>
      </c>
      <c r="D1188" s="54"/>
      <c r="E1188" s="55"/>
      <c r="F1188" s="85"/>
      <c r="G1188" s="85"/>
      <c r="H1188" s="86"/>
    </row>
    <row r="1189" spans="1:8" ht="30" customHeight="1" x14ac:dyDescent="0.25">
      <c r="A1189" s="312"/>
      <c r="B1189" s="86"/>
      <c r="C1189" s="53"/>
      <c r="D1189" s="54"/>
      <c r="E1189" s="55"/>
      <c r="F1189" s="85"/>
      <c r="G1189" s="85"/>
      <c r="H1189" s="86"/>
    </row>
    <row r="1190" spans="1:8" ht="30" customHeight="1" x14ac:dyDescent="0.25">
      <c r="A1190" s="312"/>
      <c r="B1190" s="86"/>
      <c r="C1190" s="53" t="s">
        <v>1537</v>
      </c>
      <c r="D1190" s="54"/>
      <c r="E1190" s="55"/>
      <c r="F1190" s="85"/>
      <c r="G1190" s="85"/>
      <c r="H1190" s="86"/>
    </row>
    <row r="1191" spans="1:8" ht="30" customHeight="1" x14ac:dyDescent="0.25">
      <c r="A1191" s="312"/>
      <c r="B1191" s="86"/>
      <c r="C1191" s="53"/>
      <c r="D1191" s="54"/>
      <c r="E1191" s="55"/>
      <c r="F1191" s="85"/>
      <c r="G1191" s="85"/>
      <c r="H1191" s="86"/>
    </row>
    <row r="1192" spans="1:8" ht="30" customHeight="1" x14ac:dyDescent="0.25">
      <c r="A1192" s="312"/>
      <c r="B1192" s="86"/>
      <c r="C1192" s="53" t="s">
        <v>1538</v>
      </c>
      <c r="D1192" s="54"/>
      <c r="E1192" s="55"/>
      <c r="F1192" s="85"/>
      <c r="G1192" s="85"/>
      <c r="H1192" s="86"/>
    </row>
    <row r="1193" spans="1:8" ht="30" customHeight="1" x14ac:dyDescent="0.25">
      <c r="A1193" s="312"/>
      <c r="B1193" s="86"/>
      <c r="C1193" s="53"/>
      <c r="D1193" s="54"/>
      <c r="E1193" s="55"/>
      <c r="F1193" s="85"/>
      <c r="G1193" s="85"/>
      <c r="H1193" s="86"/>
    </row>
    <row r="1194" spans="1:8" ht="30" customHeight="1" x14ac:dyDescent="0.25">
      <c r="A1194" s="312"/>
      <c r="B1194" s="86"/>
      <c r="C1194" s="53" t="s">
        <v>1539</v>
      </c>
      <c r="D1194" s="54"/>
      <c r="E1194" s="55"/>
      <c r="F1194" s="85"/>
      <c r="G1194" s="85"/>
      <c r="H1194" s="86"/>
    </row>
    <row r="1195" spans="1:8" ht="30" customHeight="1" x14ac:dyDescent="0.25">
      <c r="A1195" s="312"/>
      <c r="B1195" s="86"/>
      <c r="C1195" s="53"/>
      <c r="D1195" s="54"/>
      <c r="E1195" s="55"/>
      <c r="F1195" s="85"/>
      <c r="G1195" s="85"/>
      <c r="H1195" s="86"/>
    </row>
    <row r="1196" spans="1:8" ht="30" customHeight="1" thickBot="1" x14ac:dyDescent="0.3">
      <c r="A1196" s="83"/>
      <c r="B1196" s="91"/>
      <c r="C1196" s="88" t="s">
        <v>1540</v>
      </c>
      <c r="D1196" s="89"/>
      <c r="E1196" s="90"/>
      <c r="F1196" s="77"/>
      <c r="G1196" s="77"/>
      <c r="H1196" s="91"/>
    </row>
    <row r="1197" spans="1:8" ht="30" customHeight="1" x14ac:dyDescent="0.25">
      <c r="A1197" s="76">
        <f>+A1184+1</f>
        <v>486</v>
      </c>
      <c r="B1197" s="50" t="s">
        <v>1419</v>
      </c>
      <c r="C1197" s="63" t="s">
        <v>1541</v>
      </c>
      <c r="D1197" s="64"/>
      <c r="E1197" s="65"/>
      <c r="F1197" s="84" t="s">
        <v>1542</v>
      </c>
      <c r="G1197" s="84" t="str">
        <f>+VLOOKUP(486,prueba!$D$2:$E$733,2,FALSE)</f>
        <v>FINANCIERA</v>
      </c>
      <c r="H1197" s="50" t="s">
        <v>8915</v>
      </c>
    </row>
    <row r="1198" spans="1:8" ht="30" customHeight="1" x14ac:dyDescent="0.25">
      <c r="A1198" s="312"/>
      <c r="B1198" s="86"/>
      <c r="C1198" s="53"/>
      <c r="D1198" s="54"/>
      <c r="E1198" s="55"/>
      <c r="F1198" s="85"/>
      <c r="G1198" s="85"/>
      <c r="H1198" s="86"/>
    </row>
    <row r="1199" spans="1:8" ht="30" customHeight="1" thickBot="1" x14ac:dyDescent="0.3">
      <c r="A1199" s="83"/>
      <c r="B1199" s="91"/>
      <c r="C1199" s="88" t="s">
        <v>1543</v>
      </c>
      <c r="D1199" s="89"/>
      <c r="E1199" s="90"/>
      <c r="F1199" s="77"/>
      <c r="G1199" s="77"/>
      <c r="H1199" s="91"/>
    </row>
    <row r="1200" spans="1:8" ht="30" customHeight="1" x14ac:dyDescent="0.25">
      <c r="A1200" s="76">
        <f>+A1197+1</f>
        <v>487</v>
      </c>
      <c r="B1200" s="50" t="s">
        <v>1419</v>
      </c>
      <c r="C1200" s="63" t="s">
        <v>1544</v>
      </c>
      <c r="D1200" s="64"/>
      <c r="E1200" s="65"/>
      <c r="F1200" s="84" t="s">
        <v>1542</v>
      </c>
      <c r="G1200" s="84" t="str">
        <f>+VLOOKUP(487,prueba!$D$2:$E$733,2,FALSE)</f>
        <v>FINANCIERA</v>
      </c>
      <c r="H1200" s="50" t="s">
        <v>8916</v>
      </c>
    </row>
    <row r="1201" spans="1:8" ht="30" customHeight="1" x14ac:dyDescent="0.25">
      <c r="A1201" s="312"/>
      <c r="B1201" s="86"/>
      <c r="C1201" s="53"/>
      <c r="D1201" s="54"/>
      <c r="E1201" s="55"/>
      <c r="F1201" s="85"/>
      <c r="G1201" s="85"/>
      <c r="H1201" s="86"/>
    </row>
    <row r="1202" spans="1:8" ht="30" customHeight="1" x14ac:dyDescent="0.25">
      <c r="A1202" s="312"/>
      <c r="B1202" s="86"/>
      <c r="C1202" s="53" t="s">
        <v>1545</v>
      </c>
      <c r="D1202" s="54"/>
      <c r="E1202" s="55"/>
      <c r="F1202" s="85"/>
      <c r="G1202" s="85"/>
      <c r="H1202" s="86"/>
    </row>
    <row r="1203" spans="1:8" ht="30" customHeight="1" x14ac:dyDescent="0.25">
      <c r="A1203" s="312"/>
      <c r="B1203" s="86"/>
      <c r="C1203" s="53"/>
      <c r="D1203" s="54"/>
      <c r="E1203" s="55"/>
      <c r="F1203" s="85"/>
      <c r="G1203" s="85"/>
      <c r="H1203" s="86"/>
    </row>
    <row r="1204" spans="1:8" ht="30" customHeight="1" x14ac:dyDescent="0.25">
      <c r="A1204" s="312"/>
      <c r="B1204" s="86"/>
      <c r="C1204" s="53" t="s">
        <v>1546</v>
      </c>
      <c r="D1204" s="54"/>
      <c r="E1204" s="55"/>
      <c r="F1204" s="85"/>
      <c r="G1204" s="85"/>
      <c r="H1204" s="86"/>
    </row>
    <row r="1205" spans="1:8" ht="30" customHeight="1" x14ac:dyDescent="0.25">
      <c r="A1205" s="312"/>
      <c r="B1205" s="86"/>
      <c r="C1205" s="53"/>
      <c r="D1205" s="54"/>
      <c r="E1205" s="55"/>
      <c r="F1205" s="85"/>
      <c r="G1205" s="85"/>
      <c r="H1205" s="86"/>
    </row>
    <row r="1206" spans="1:8" ht="30" customHeight="1" x14ac:dyDescent="0.25">
      <c r="A1206" s="312"/>
      <c r="B1206" s="86"/>
      <c r="C1206" s="53" t="s">
        <v>1547</v>
      </c>
      <c r="D1206" s="54"/>
      <c r="E1206" s="55"/>
      <c r="F1206" s="85"/>
      <c r="G1206" s="85"/>
      <c r="H1206" s="86"/>
    </row>
    <row r="1207" spans="1:8" ht="30" customHeight="1" x14ac:dyDescent="0.25">
      <c r="A1207" s="312"/>
      <c r="B1207" s="86"/>
      <c r="C1207" s="53"/>
      <c r="D1207" s="54"/>
      <c r="E1207" s="55"/>
      <c r="F1207" s="85"/>
      <c r="G1207" s="85"/>
      <c r="H1207" s="86"/>
    </row>
    <row r="1208" spans="1:8" ht="30" customHeight="1" thickBot="1" x14ac:dyDescent="0.3">
      <c r="A1208" s="83"/>
      <c r="B1208" s="91"/>
      <c r="C1208" s="88" t="s">
        <v>1548</v>
      </c>
      <c r="D1208" s="89"/>
      <c r="E1208" s="90"/>
      <c r="F1208" s="77"/>
      <c r="G1208" s="77"/>
      <c r="H1208" s="91"/>
    </row>
    <row r="1209" spans="1:8" ht="30" customHeight="1" x14ac:dyDescent="0.25">
      <c r="A1209" s="76">
        <f>+A1200+1</f>
        <v>488</v>
      </c>
      <c r="B1209" s="50" t="s">
        <v>1419</v>
      </c>
      <c r="C1209" s="63" t="s">
        <v>1549</v>
      </c>
      <c r="D1209" s="64"/>
      <c r="E1209" s="65"/>
      <c r="F1209" s="84" t="s">
        <v>1550</v>
      </c>
      <c r="G1209" s="84" t="str">
        <f>+VLOOKUP(488,prueba!$D$2:$E$733,2,FALSE)</f>
        <v>FINANCIERA</v>
      </c>
      <c r="H1209" s="50" t="s">
        <v>6991</v>
      </c>
    </row>
    <row r="1210" spans="1:8" ht="30" customHeight="1" x14ac:dyDescent="0.25">
      <c r="A1210" s="312"/>
      <c r="B1210" s="86"/>
      <c r="C1210" s="53"/>
      <c r="D1210" s="54"/>
      <c r="E1210" s="55"/>
      <c r="F1210" s="85"/>
      <c r="G1210" s="85"/>
      <c r="H1210" s="86"/>
    </row>
    <row r="1211" spans="1:8" ht="30" customHeight="1" x14ac:dyDescent="0.25">
      <c r="A1211" s="312"/>
      <c r="B1211" s="86"/>
      <c r="C1211" s="53" t="s">
        <v>1551</v>
      </c>
      <c r="D1211" s="54"/>
      <c r="E1211" s="55"/>
      <c r="F1211" s="85"/>
      <c r="G1211" s="85"/>
      <c r="H1211" s="86"/>
    </row>
    <row r="1212" spans="1:8" ht="30" customHeight="1" x14ac:dyDescent="0.25">
      <c r="A1212" s="312"/>
      <c r="B1212" s="86"/>
      <c r="C1212" s="53"/>
      <c r="D1212" s="54"/>
      <c r="E1212" s="55"/>
      <c r="F1212" s="85"/>
      <c r="G1212" s="85"/>
      <c r="H1212" s="86"/>
    </row>
    <row r="1213" spans="1:8" ht="30" customHeight="1" thickBot="1" x14ac:dyDescent="0.3">
      <c r="A1213" s="83"/>
      <c r="B1213" s="91"/>
      <c r="C1213" s="88" t="s">
        <v>1552</v>
      </c>
      <c r="D1213" s="89"/>
      <c r="E1213" s="90"/>
      <c r="F1213" s="77"/>
      <c r="G1213" s="77"/>
      <c r="H1213" s="91"/>
    </row>
    <row r="1214" spans="1:8" ht="30" customHeight="1" thickBot="1" x14ac:dyDescent="0.3">
      <c r="A1214" s="313">
        <f>+A1209+1</f>
        <v>489</v>
      </c>
      <c r="B1214" s="52" t="s">
        <v>1419</v>
      </c>
      <c r="C1214" s="108" t="s">
        <v>1553</v>
      </c>
      <c r="D1214" s="109"/>
      <c r="E1214" s="110"/>
      <c r="F1214" s="78" t="s">
        <v>1554</v>
      </c>
      <c r="G1214" s="107" t="str">
        <f>+VLOOKUP(489,prueba!$D$2:$E$733,2,FALSE)</f>
        <v>FINANCIERA RIESGOS</v>
      </c>
      <c r="H1214" s="52" t="s">
        <v>6042</v>
      </c>
    </row>
    <row r="1215" spans="1:8" ht="30" customHeight="1" thickBot="1" x14ac:dyDescent="0.3">
      <c r="A1215" s="313">
        <f>+A1214+1</f>
        <v>490</v>
      </c>
      <c r="B1215" s="52" t="s">
        <v>1555</v>
      </c>
      <c r="C1215" s="108" t="s">
        <v>1556</v>
      </c>
      <c r="D1215" s="109"/>
      <c r="E1215" s="110"/>
      <c r="F1215" s="78" t="s">
        <v>1557</v>
      </c>
      <c r="G1215" s="107" t="str">
        <f>+VLOOKUP(490,prueba!$D$2:$E$733,2,FALSE)</f>
        <v xml:space="preserve">TÉCNICA </v>
      </c>
      <c r="H1215" s="52" t="s">
        <v>1558</v>
      </c>
    </row>
    <row r="1216" spans="1:8" ht="30" customHeight="1" thickBot="1" x14ac:dyDescent="0.3">
      <c r="A1216" s="313">
        <f>+A1215+1</f>
        <v>491</v>
      </c>
      <c r="B1216" s="52" t="s">
        <v>1555</v>
      </c>
      <c r="C1216" s="108" t="s">
        <v>1559</v>
      </c>
      <c r="D1216" s="109"/>
      <c r="E1216" s="110"/>
      <c r="F1216" s="78" t="s">
        <v>1560</v>
      </c>
      <c r="G1216" s="107" t="str">
        <f>+VLOOKUP(491,prueba!$D$2:$E$733,2,FALSE)</f>
        <v>TÉCNICA</v>
      </c>
      <c r="H1216" s="52" t="s">
        <v>1561</v>
      </c>
    </row>
    <row r="1217" spans="1:8" ht="30" customHeight="1" thickBot="1" x14ac:dyDescent="0.3">
      <c r="A1217" s="313">
        <f>+A1216+1</f>
        <v>492</v>
      </c>
      <c r="B1217" s="52" t="s">
        <v>1555</v>
      </c>
      <c r="C1217" s="108" t="s">
        <v>1562</v>
      </c>
      <c r="D1217" s="109"/>
      <c r="E1217" s="110"/>
      <c r="F1217" s="78" t="s">
        <v>1560</v>
      </c>
      <c r="G1217" s="107" t="str">
        <f>+VLOOKUP(492,prueba!$D$2:$E$733,2,FALSE)</f>
        <v>TÉCNICA</v>
      </c>
      <c r="H1217" s="52" t="s">
        <v>1563</v>
      </c>
    </row>
    <row r="1218" spans="1:8" ht="30" customHeight="1" x14ac:dyDescent="0.25">
      <c r="A1218" s="76">
        <f>+A1217+1</f>
        <v>493</v>
      </c>
      <c r="B1218" s="50" t="s">
        <v>1555</v>
      </c>
      <c r="C1218" s="63" t="s">
        <v>1564</v>
      </c>
      <c r="D1218" s="64"/>
      <c r="E1218" s="65"/>
      <c r="F1218" s="84" t="s">
        <v>1557</v>
      </c>
      <c r="G1218" s="84" t="str">
        <f>+VLOOKUP(493,prueba!$D$2:$E$733,2,FALSE)</f>
        <v>JURÍDICA – ESTRUCTURACIÓN Y FINANCIERA</v>
      </c>
      <c r="H1218" s="50" t="s">
        <v>1566</v>
      </c>
    </row>
    <row r="1219" spans="1:8" ht="30" customHeight="1" x14ac:dyDescent="0.25">
      <c r="A1219" s="312"/>
      <c r="B1219" s="86"/>
      <c r="C1219" s="53"/>
      <c r="D1219" s="54"/>
      <c r="E1219" s="55"/>
      <c r="F1219" s="85"/>
      <c r="G1219" s="85"/>
      <c r="H1219" s="86"/>
    </row>
    <row r="1220" spans="1:8" ht="30" customHeight="1" thickBot="1" x14ac:dyDescent="0.3">
      <c r="A1220" s="83"/>
      <c r="B1220" s="91"/>
      <c r="C1220" s="88" t="s">
        <v>9712</v>
      </c>
      <c r="D1220" s="89"/>
      <c r="E1220" s="90"/>
      <c r="F1220" s="77"/>
      <c r="G1220" s="77"/>
      <c r="H1220" s="91"/>
    </row>
    <row r="1221" spans="1:8" ht="30" customHeight="1" thickBot="1" x14ac:dyDescent="0.3">
      <c r="A1221" s="313">
        <f>+A1218+1</f>
        <v>494</v>
      </c>
      <c r="B1221" s="52" t="s">
        <v>1555</v>
      </c>
      <c r="C1221" s="108" t="s">
        <v>1567</v>
      </c>
      <c r="D1221" s="109"/>
      <c r="E1221" s="110"/>
      <c r="F1221" s="78" t="s">
        <v>1557</v>
      </c>
      <c r="G1221" s="107" t="str">
        <f>+VLOOKUP(494,prueba!$D$2:$E$733,2,FALSE)</f>
        <v>FINANCIERA</v>
      </c>
      <c r="H1221" s="52" t="s">
        <v>6992</v>
      </c>
    </row>
    <row r="1222" spans="1:8" ht="30" customHeight="1" thickBot="1" x14ac:dyDescent="0.3">
      <c r="A1222" s="313">
        <f t="shared" ref="A1222:A1250" si="14">+A1221+1</f>
        <v>495</v>
      </c>
      <c r="B1222" s="52" t="s">
        <v>1555</v>
      </c>
      <c r="C1222" s="108" t="s">
        <v>1568</v>
      </c>
      <c r="D1222" s="109"/>
      <c r="E1222" s="110"/>
      <c r="F1222" s="78" t="s">
        <v>1569</v>
      </c>
      <c r="G1222" s="107" t="str">
        <f>+VLOOKUP(495,prueba!$D$2:$E$733,2,FALSE)</f>
        <v>TÉCNICA</v>
      </c>
      <c r="H1222" s="52" t="s">
        <v>1570</v>
      </c>
    </row>
    <row r="1223" spans="1:8" ht="30" customHeight="1" thickBot="1" x14ac:dyDescent="0.3">
      <c r="A1223" s="313">
        <f t="shared" si="14"/>
        <v>496</v>
      </c>
      <c r="B1223" s="52" t="s">
        <v>1555</v>
      </c>
      <c r="C1223" s="108" t="s">
        <v>1571</v>
      </c>
      <c r="D1223" s="109"/>
      <c r="E1223" s="110"/>
      <c r="F1223" s="78" t="s">
        <v>1569</v>
      </c>
      <c r="G1223" s="107" t="str">
        <f>+VLOOKUP(496,prueba!$D$2:$E$733,2,FALSE)</f>
        <v xml:space="preserve">TÉCNICA </v>
      </c>
      <c r="H1223" s="52" t="s">
        <v>1572</v>
      </c>
    </row>
    <row r="1224" spans="1:8" ht="30" customHeight="1" thickBot="1" x14ac:dyDescent="0.3">
      <c r="A1224" s="313">
        <f t="shared" si="14"/>
        <v>497</v>
      </c>
      <c r="B1224" s="52" t="s">
        <v>1555</v>
      </c>
      <c r="C1224" s="108" t="s">
        <v>1573</v>
      </c>
      <c r="D1224" s="109"/>
      <c r="E1224" s="110"/>
      <c r="F1224" s="78" t="s">
        <v>1569</v>
      </c>
      <c r="G1224" s="107" t="str">
        <f>+VLOOKUP(497,prueba!$D$2:$E$733,2,FALSE)</f>
        <v xml:space="preserve">TÉCNICA </v>
      </c>
      <c r="H1224" s="52" t="s">
        <v>1574</v>
      </c>
    </row>
    <row r="1225" spans="1:8" ht="30" customHeight="1" thickBot="1" x14ac:dyDescent="0.3">
      <c r="A1225" s="313">
        <f t="shared" si="14"/>
        <v>498</v>
      </c>
      <c r="B1225" s="52" t="s">
        <v>1555</v>
      </c>
      <c r="C1225" s="108" t="s">
        <v>1575</v>
      </c>
      <c r="D1225" s="109"/>
      <c r="E1225" s="110"/>
      <c r="F1225" s="78" t="s">
        <v>1569</v>
      </c>
      <c r="G1225" s="107" t="str">
        <f>+VLOOKUP(498,prueba!$D$2:$E$733,2,FALSE)</f>
        <v xml:space="preserve">TÉCNICA </v>
      </c>
      <c r="H1225" s="52" t="s">
        <v>1576</v>
      </c>
    </row>
    <row r="1226" spans="1:8" ht="30" customHeight="1" thickBot="1" x14ac:dyDescent="0.3">
      <c r="A1226" s="313">
        <f t="shared" si="14"/>
        <v>499</v>
      </c>
      <c r="B1226" s="52" t="s">
        <v>1555</v>
      </c>
      <c r="C1226" s="108" t="s">
        <v>1577</v>
      </c>
      <c r="D1226" s="109"/>
      <c r="E1226" s="110"/>
      <c r="F1226" s="78" t="s">
        <v>1569</v>
      </c>
      <c r="G1226" s="107" t="str">
        <f>+VLOOKUP(499,prueba!$D$2:$E$733,2,FALSE)</f>
        <v xml:space="preserve">TÉCNICA </v>
      </c>
      <c r="H1226" s="52" t="s">
        <v>1578</v>
      </c>
    </row>
    <row r="1227" spans="1:8" ht="30" customHeight="1" thickBot="1" x14ac:dyDescent="0.3">
      <c r="A1227" s="313">
        <f t="shared" si="14"/>
        <v>500</v>
      </c>
      <c r="B1227" s="52" t="s">
        <v>1555</v>
      </c>
      <c r="C1227" s="108" t="s">
        <v>1579</v>
      </c>
      <c r="D1227" s="109"/>
      <c r="E1227" s="110"/>
      <c r="F1227" s="78" t="s">
        <v>1569</v>
      </c>
      <c r="G1227" s="107" t="str">
        <f>+VLOOKUP(500,prueba!$D$2:$E$733,2,FALSE)</f>
        <v>TÉCNICA</v>
      </c>
      <c r="H1227" s="52" t="s">
        <v>1580</v>
      </c>
    </row>
    <row r="1228" spans="1:8" ht="30" customHeight="1" thickBot="1" x14ac:dyDescent="0.3">
      <c r="A1228" s="313">
        <f t="shared" si="14"/>
        <v>501</v>
      </c>
      <c r="B1228" s="52" t="s">
        <v>1555</v>
      </c>
      <c r="C1228" s="108" t="s">
        <v>1581</v>
      </c>
      <c r="D1228" s="109"/>
      <c r="E1228" s="110"/>
      <c r="F1228" s="78" t="s">
        <v>1569</v>
      </c>
      <c r="G1228" s="107" t="str">
        <f>+VLOOKUP(501,prueba!$D$2:$E$733,2,FALSE)</f>
        <v>TÉCNICA</v>
      </c>
      <c r="H1228" s="52" t="s">
        <v>1582</v>
      </c>
    </row>
    <row r="1229" spans="1:8" ht="30" customHeight="1" thickBot="1" x14ac:dyDescent="0.3">
      <c r="A1229" s="313">
        <f t="shared" si="14"/>
        <v>502</v>
      </c>
      <c r="B1229" s="52" t="s">
        <v>1555</v>
      </c>
      <c r="C1229" s="108" t="s">
        <v>1583</v>
      </c>
      <c r="D1229" s="109"/>
      <c r="E1229" s="110"/>
      <c r="F1229" s="78" t="s">
        <v>1569</v>
      </c>
      <c r="G1229" s="107" t="str">
        <f>+VLOOKUP(502,prueba!$D$2:$E$733,2,FALSE)</f>
        <v>TÉCNICA</v>
      </c>
      <c r="H1229" s="52" t="s">
        <v>1584</v>
      </c>
    </row>
    <row r="1230" spans="1:8" ht="30" customHeight="1" thickBot="1" x14ac:dyDescent="0.3">
      <c r="A1230" s="313">
        <f t="shared" si="14"/>
        <v>503</v>
      </c>
      <c r="B1230" s="52" t="s">
        <v>1555</v>
      </c>
      <c r="C1230" s="108" t="s">
        <v>1585</v>
      </c>
      <c r="D1230" s="109"/>
      <c r="E1230" s="110"/>
      <c r="F1230" s="78" t="s">
        <v>1569</v>
      </c>
      <c r="G1230" s="107" t="str">
        <f>+VLOOKUP(503,prueba!$D$2:$E$733,2,FALSE)</f>
        <v>TÉCNICA</v>
      </c>
      <c r="H1230" s="52" t="s">
        <v>1586</v>
      </c>
    </row>
    <row r="1231" spans="1:8" ht="30" customHeight="1" thickBot="1" x14ac:dyDescent="0.3">
      <c r="A1231" s="313">
        <f t="shared" si="14"/>
        <v>504</v>
      </c>
      <c r="B1231" s="52" t="s">
        <v>1555</v>
      </c>
      <c r="C1231" s="108" t="s">
        <v>1587</v>
      </c>
      <c r="D1231" s="109"/>
      <c r="E1231" s="110"/>
      <c r="F1231" s="78" t="s">
        <v>1569</v>
      </c>
      <c r="G1231" s="107" t="str">
        <f>+VLOOKUP(504,prueba!$D$2:$E$733,2,FALSE)</f>
        <v xml:space="preserve"> TÉCNICA</v>
      </c>
      <c r="H1231" s="52" t="s">
        <v>7127</v>
      </c>
    </row>
    <row r="1232" spans="1:8" ht="30" customHeight="1" thickBot="1" x14ac:dyDescent="0.3">
      <c r="A1232" s="313">
        <f t="shared" si="14"/>
        <v>505</v>
      </c>
      <c r="B1232" s="52" t="s">
        <v>1555</v>
      </c>
      <c r="C1232" s="108" t="s">
        <v>1589</v>
      </c>
      <c r="D1232" s="109"/>
      <c r="E1232" s="110"/>
      <c r="F1232" s="78" t="s">
        <v>1569</v>
      </c>
      <c r="G1232" s="107" t="str">
        <f>+VLOOKUP(505,prueba!$D$2:$E$733,2,FALSE)</f>
        <v>TÉCNICA</v>
      </c>
      <c r="H1232" s="52" t="s">
        <v>1590</v>
      </c>
    </row>
    <row r="1233" spans="1:8" ht="30" customHeight="1" thickBot="1" x14ac:dyDescent="0.3">
      <c r="A1233" s="313">
        <f t="shared" si="14"/>
        <v>506</v>
      </c>
      <c r="B1233" s="52" t="s">
        <v>1555</v>
      </c>
      <c r="C1233" s="108" t="s">
        <v>1591</v>
      </c>
      <c r="D1233" s="109"/>
      <c r="E1233" s="110"/>
      <c r="F1233" s="78" t="s">
        <v>1592</v>
      </c>
      <c r="G1233" s="107" t="str">
        <f>+VLOOKUP(506,prueba!$D$2:$E$733,2,FALSE)</f>
        <v xml:space="preserve">TÉCNICA </v>
      </c>
      <c r="H1233" s="52" t="s">
        <v>9248</v>
      </c>
    </row>
    <row r="1234" spans="1:8" ht="30" customHeight="1" thickBot="1" x14ac:dyDescent="0.3">
      <c r="A1234" s="313">
        <f t="shared" si="14"/>
        <v>507</v>
      </c>
      <c r="B1234" s="52" t="s">
        <v>1555</v>
      </c>
      <c r="C1234" s="108" t="s">
        <v>1593</v>
      </c>
      <c r="D1234" s="109"/>
      <c r="E1234" s="110"/>
      <c r="F1234" s="78" t="s">
        <v>1592</v>
      </c>
      <c r="G1234" s="107" t="str">
        <f>+VLOOKUP(507,prueba!$D$2:$E$733,2,FALSE)</f>
        <v>TÉCNICA</v>
      </c>
      <c r="H1234" s="52" t="s">
        <v>9249</v>
      </c>
    </row>
    <row r="1235" spans="1:8" ht="30" customHeight="1" thickBot="1" x14ac:dyDescent="0.3">
      <c r="A1235" s="313">
        <f t="shared" si="14"/>
        <v>508</v>
      </c>
      <c r="B1235" s="52" t="s">
        <v>1555</v>
      </c>
      <c r="C1235" s="108" t="s">
        <v>1594</v>
      </c>
      <c r="D1235" s="109"/>
      <c r="E1235" s="110"/>
      <c r="F1235" s="78" t="s">
        <v>1592</v>
      </c>
      <c r="G1235" s="107" t="str">
        <f>+VLOOKUP(508,prueba!$D$2:$E$733,2,FALSE)</f>
        <v xml:space="preserve">TÉCNICA </v>
      </c>
      <c r="H1235" s="52" t="s">
        <v>9250</v>
      </c>
    </row>
    <row r="1236" spans="1:8" ht="30" customHeight="1" thickBot="1" x14ac:dyDescent="0.3">
      <c r="A1236" s="313">
        <f t="shared" si="14"/>
        <v>509</v>
      </c>
      <c r="B1236" s="52" t="s">
        <v>1555</v>
      </c>
      <c r="C1236" s="108" t="s">
        <v>1595</v>
      </c>
      <c r="D1236" s="109"/>
      <c r="E1236" s="110"/>
      <c r="F1236" s="78" t="s">
        <v>1592</v>
      </c>
      <c r="G1236" s="107" t="str">
        <f>+VLOOKUP(509,prueba!$D$2:$E$733,2,FALSE)</f>
        <v>TÉCNICA</v>
      </c>
      <c r="H1236" s="52" t="s">
        <v>9249</v>
      </c>
    </row>
    <row r="1237" spans="1:8" ht="30" customHeight="1" thickBot="1" x14ac:dyDescent="0.3">
      <c r="A1237" s="313">
        <f t="shared" si="14"/>
        <v>510</v>
      </c>
      <c r="B1237" s="52" t="s">
        <v>1555</v>
      </c>
      <c r="C1237" s="108" t="s">
        <v>1596</v>
      </c>
      <c r="D1237" s="109"/>
      <c r="E1237" s="110"/>
      <c r="F1237" s="78" t="s">
        <v>1592</v>
      </c>
      <c r="G1237" s="107" t="str">
        <f>+VLOOKUP(510,prueba!$D$2:$E$733,2,FALSE)</f>
        <v>TÉCNICA</v>
      </c>
      <c r="H1237" s="52" t="s">
        <v>9251</v>
      </c>
    </row>
    <row r="1238" spans="1:8" ht="30" customHeight="1" thickBot="1" x14ac:dyDescent="0.3">
      <c r="A1238" s="313">
        <f t="shared" si="14"/>
        <v>511</v>
      </c>
      <c r="B1238" s="52" t="s">
        <v>1555</v>
      </c>
      <c r="C1238" s="108" t="s">
        <v>1597</v>
      </c>
      <c r="D1238" s="109"/>
      <c r="E1238" s="110"/>
      <c r="F1238" s="78" t="s">
        <v>1592</v>
      </c>
      <c r="G1238" s="107" t="str">
        <f>+VLOOKUP(511,prueba!$D$2:$E$733,2,FALSE)</f>
        <v>TÉCNICA</v>
      </c>
      <c r="H1238" s="52" t="s">
        <v>1598</v>
      </c>
    </row>
    <row r="1239" spans="1:8" ht="30" customHeight="1" thickBot="1" x14ac:dyDescent="0.3">
      <c r="A1239" s="313">
        <f t="shared" si="14"/>
        <v>512</v>
      </c>
      <c r="B1239" s="52" t="s">
        <v>1555</v>
      </c>
      <c r="C1239" s="108" t="s">
        <v>1599</v>
      </c>
      <c r="D1239" s="109"/>
      <c r="E1239" s="110"/>
      <c r="F1239" s="78" t="s">
        <v>1600</v>
      </c>
      <c r="G1239" s="107" t="str">
        <f>+VLOOKUP(512,prueba!$D$2:$E$733,2,FALSE)</f>
        <v xml:space="preserve"> TÉCNICA</v>
      </c>
      <c r="H1239" s="52" t="s">
        <v>1588</v>
      </c>
    </row>
    <row r="1240" spans="1:8" ht="30" customHeight="1" thickBot="1" x14ac:dyDescent="0.3">
      <c r="A1240" s="313">
        <f t="shared" si="14"/>
        <v>513</v>
      </c>
      <c r="B1240" s="52" t="s">
        <v>1555</v>
      </c>
      <c r="C1240" s="108" t="s">
        <v>9713</v>
      </c>
      <c r="D1240" s="109"/>
      <c r="E1240" s="110"/>
      <c r="F1240" s="78" t="s">
        <v>1600</v>
      </c>
      <c r="G1240" s="107" t="str">
        <f>+VLOOKUP(513,prueba!$D$2:$E$733,2,FALSE)</f>
        <v xml:space="preserve"> TÉCNICA</v>
      </c>
      <c r="H1240" s="52" t="s">
        <v>1601</v>
      </c>
    </row>
    <row r="1241" spans="1:8" ht="30" customHeight="1" thickBot="1" x14ac:dyDescent="0.3">
      <c r="A1241" s="313">
        <f t="shared" si="14"/>
        <v>514</v>
      </c>
      <c r="B1241" s="52" t="s">
        <v>1555</v>
      </c>
      <c r="C1241" s="108" t="s">
        <v>1602</v>
      </c>
      <c r="D1241" s="109"/>
      <c r="E1241" s="110"/>
      <c r="F1241" s="78" t="s">
        <v>1600</v>
      </c>
      <c r="G1241" s="107" t="str">
        <f>+VLOOKUP(514,prueba!$D$2:$E$733,2,FALSE)</f>
        <v xml:space="preserve"> TÉCNICA</v>
      </c>
      <c r="H1241" s="52" t="s">
        <v>1603</v>
      </c>
    </row>
    <row r="1242" spans="1:8" ht="30" customHeight="1" thickBot="1" x14ac:dyDescent="0.3">
      <c r="A1242" s="313">
        <f t="shared" si="14"/>
        <v>515</v>
      </c>
      <c r="B1242" s="52" t="s">
        <v>1555</v>
      </c>
      <c r="C1242" s="108" t="s">
        <v>1604</v>
      </c>
      <c r="D1242" s="109"/>
      <c r="E1242" s="110"/>
      <c r="F1242" s="78" t="s">
        <v>1600</v>
      </c>
      <c r="G1242" s="107" t="str">
        <f>+VLOOKUP(515,prueba!$D$2:$E$733,2,FALSE)</f>
        <v xml:space="preserve"> TÉCNICA</v>
      </c>
      <c r="H1242" s="52" t="s">
        <v>1605</v>
      </c>
    </row>
    <row r="1243" spans="1:8" ht="30" customHeight="1" thickBot="1" x14ac:dyDescent="0.3">
      <c r="A1243" s="313">
        <f t="shared" si="14"/>
        <v>516</v>
      </c>
      <c r="B1243" s="52" t="s">
        <v>1555</v>
      </c>
      <c r="C1243" s="108" t="s">
        <v>1606</v>
      </c>
      <c r="D1243" s="109"/>
      <c r="E1243" s="110"/>
      <c r="F1243" s="78" t="s">
        <v>1607</v>
      </c>
      <c r="G1243" s="107" t="str">
        <f>+VLOOKUP(516,prueba!$D$2:$E$733,2,FALSE)</f>
        <v>TÉCNICA</v>
      </c>
      <c r="H1243" s="52" t="s">
        <v>1609</v>
      </c>
    </row>
    <row r="1244" spans="1:8" ht="30" customHeight="1" thickBot="1" x14ac:dyDescent="0.3">
      <c r="A1244" s="313">
        <f t="shared" si="14"/>
        <v>517</v>
      </c>
      <c r="B1244" s="52" t="s">
        <v>1555</v>
      </c>
      <c r="C1244" s="108" t="s">
        <v>1610</v>
      </c>
      <c r="D1244" s="109"/>
      <c r="E1244" s="110"/>
      <c r="F1244" s="78" t="s">
        <v>1607</v>
      </c>
      <c r="G1244" s="107" t="str">
        <f>+VLOOKUP(517,prueba!$D$2:$E$733,2,FALSE)</f>
        <v>TÉCNICA</v>
      </c>
      <c r="H1244" s="52" t="s">
        <v>9252</v>
      </c>
    </row>
    <row r="1245" spans="1:8" ht="30" customHeight="1" thickBot="1" x14ac:dyDescent="0.3">
      <c r="A1245" s="313">
        <f t="shared" si="14"/>
        <v>518</v>
      </c>
      <c r="B1245" s="52" t="s">
        <v>1555</v>
      </c>
      <c r="C1245" s="108" t="s">
        <v>1611</v>
      </c>
      <c r="D1245" s="109"/>
      <c r="E1245" s="110"/>
      <c r="F1245" s="78" t="s">
        <v>1607</v>
      </c>
      <c r="G1245" s="107" t="str">
        <f>+VLOOKUP(518,prueba!$D$2:$E$733,2,FALSE)</f>
        <v>TÉCNICA</v>
      </c>
      <c r="H1245" s="52" t="s">
        <v>1612</v>
      </c>
    </row>
    <row r="1246" spans="1:8" ht="30" customHeight="1" thickBot="1" x14ac:dyDescent="0.3">
      <c r="A1246" s="313">
        <f t="shared" si="14"/>
        <v>519</v>
      </c>
      <c r="B1246" s="52" t="s">
        <v>1555</v>
      </c>
      <c r="C1246" s="108" t="s">
        <v>1613</v>
      </c>
      <c r="D1246" s="109"/>
      <c r="E1246" s="110"/>
      <c r="F1246" s="78" t="s">
        <v>1614</v>
      </c>
      <c r="G1246" s="107" t="str">
        <f>+VLOOKUP(519,prueba!$D$2:$E$733,2,FALSE)</f>
        <v>TÉCNICA</v>
      </c>
      <c r="H1246" s="52" t="s">
        <v>1605</v>
      </c>
    </row>
    <row r="1247" spans="1:8" ht="30" customHeight="1" thickBot="1" x14ac:dyDescent="0.3">
      <c r="A1247" s="313">
        <f t="shared" si="14"/>
        <v>520</v>
      </c>
      <c r="B1247" s="52" t="s">
        <v>1555</v>
      </c>
      <c r="C1247" s="108" t="s">
        <v>1615</v>
      </c>
      <c r="D1247" s="109"/>
      <c r="E1247" s="110"/>
      <c r="F1247" s="78" t="s">
        <v>1614</v>
      </c>
      <c r="G1247" s="107" t="str">
        <f>+VLOOKUP(520,prueba!$D$2:$E$733,2,FALSE)</f>
        <v>TÉCNICA</v>
      </c>
      <c r="H1247" s="52" t="s">
        <v>1612</v>
      </c>
    </row>
    <row r="1248" spans="1:8" ht="30" customHeight="1" thickBot="1" x14ac:dyDescent="0.3">
      <c r="A1248" s="313">
        <f t="shared" si="14"/>
        <v>521</v>
      </c>
      <c r="B1248" s="52" t="s">
        <v>1555</v>
      </c>
      <c r="C1248" s="108" t="s">
        <v>1616</v>
      </c>
      <c r="D1248" s="109"/>
      <c r="E1248" s="110"/>
      <c r="F1248" s="78" t="s">
        <v>1614</v>
      </c>
      <c r="G1248" s="107" t="str">
        <f>+VLOOKUP(521,prueba!$D$2:$E$733,2,FALSE)</f>
        <v>TÉCNICA</v>
      </c>
      <c r="H1248" s="52" t="s">
        <v>1617</v>
      </c>
    </row>
    <row r="1249" spans="1:8" ht="30" customHeight="1" thickBot="1" x14ac:dyDescent="0.3">
      <c r="A1249" s="313">
        <f t="shared" si="14"/>
        <v>522</v>
      </c>
      <c r="B1249" s="52" t="s">
        <v>1555</v>
      </c>
      <c r="C1249" s="108" t="s">
        <v>1618</v>
      </c>
      <c r="D1249" s="109"/>
      <c r="E1249" s="110"/>
      <c r="F1249" s="78" t="s">
        <v>1619</v>
      </c>
      <c r="G1249" s="107" t="str">
        <f>+VLOOKUP(522,prueba!$D$2:$E$733,2,FALSE)</f>
        <v>FINANCIERA RIESGOS</v>
      </c>
      <c r="H1249" s="52" t="s">
        <v>6993</v>
      </c>
    </row>
    <row r="1250" spans="1:8" ht="30" customHeight="1" x14ac:dyDescent="0.25">
      <c r="A1250" s="76">
        <f t="shared" si="14"/>
        <v>523</v>
      </c>
      <c r="B1250" s="50" t="s">
        <v>1555</v>
      </c>
      <c r="C1250" s="63" t="s">
        <v>1620</v>
      </c>
      <c r="D1250" s="64"/>
      <c r="E1250" s="65"/>
      <c r="F1250" s="84" t="s">
        <v>1619</v>
      </c>
      <c r="G1250" s="84" t="str">
        <f>+VLOOKUP(523,prueba!$D$2:$E$733,2,FALSE)</f>
        <v>JURÍDICA – ESTRUCTURACIÓN</v>
      </c>
      <c r="H1250" s="50" t="s">
        <v>8423</v>
      </c>
    </row>
    <row r="1251" spans="1:8" ht="30" customHeight="1" x14ac:dyDescent="0.25">
      <c r="A1251" s="312"/>
      <c r="B1251" s="86"/>
      <c r="C1251" s="53"/>
      <c r="D1251" s="54"/>
      <c r="E1251" s="55"/>
      <c r="F1251" s="85"/>
      <c r="G1251" s="85"/>
      <c r="H1251" s="86"/>
    </row>
    <row r="1252" spans="1:8" ht="30" customHeight="1" x14ac:dyDescent="0.25">
      <c r="A1252" s="312"/>
      <c r="B1252" s="86"/>
      <c r="C1252" s="53" t="s">
        <v>9714</v>
      </c>
      <c r="D1252" s="54"/>
      <c r="E1252" s="55"/>
      <c r="F1252" s="85"/>
      <c r="G1252" s="85"/>
      <c r="H1252" s="86"/>
    </row>
    <row r="1253" spans="1:8" ht="30" customHeight="1" x14ac:dyDescent="0.25">
      <c r="A1253" s="312"/>
      <c r="B1253" s="86"/>
      <c r="C1253" s="53"/>
      <c r="D1253" s="54"/>
      <c r="E1253" s="55"/>
      <c r="F1253" s="85"/>
      <c r="G1253" s="85"/>
      <c r="H1253" s="86"/>
    </row>
    <row r="1254" spans="1:8" ht="30" customHeight="1" x14ac:dyDescent="0.25">
      <c r="A1254" s="312"/>
      <c r="B1254" s="86"/>
      <c r="C1254" s="112" t="s">
        <v>9715</v>
      </c>
      <c r="D1254" s="113"/>
      <c r="E1254" s="114"/>
      <c r="F1254" s="85"/>
      <c r="G1254" s="85"/>
      <c r="H1254" s="86"/>
    </row>
    <row r="1255" spans="1:8" ht="30" customHeight="1" x14ac:dyDescent="0.25">
      <c r="A1255" s="312"/>
      <c r="B1255" s="86"/>
      <c r="C1255" s="53"/>
      <c r="D1255" s="54"/>
      <c r="E1255" s="55"/>
      <c r="F1255" s="85"/>
      <c r="G1255" s="85"/>
      <c r="H1255" s="86"/>
    </row>
    <row r="1256" spans="1:8" ht="30" customHeight="1" thickBot="1" x14ac:dyDescent="0.3">
      <c r="A1256" s="83"/>
      <c r="B1256" s="91"/>
      <c r="C1256" s="88" t="s">
        <v>1621</v>
      </c>
      <c r="D1256" s="89"/>
      <c r="E1256" s="90"/>
      <c r="F1256" s="77"/>
      <c r="G1256" s="77"/>
      <c r="H1256" s="91"/>
    </row>
    <row r="1257" spans="1:8" ht="30" customHeight="1" thickBot="1" x14ac:dyDescent="0.3">
      <c r="A1257" s="313">
        <f>+A1250+1</f>
        <v>524</v>
      </c>
      <c r="B1257" s="52" t="s">
        <v>1555</v>
      </c>
      <c r="C1257" s="108" t="s">
        <v>1622</v>
      </c>
      <c r="D1257" s="109"/>
      <c r="E1257" s="110"/>
      <c r="F1257" s="78" t="s">
        <v>1619</v>
      </c>
      <c r="G1257" s="107" t="str">
        <f>+VLOOKUP(524,prueba!$D$2:$E$733,2,FALSE)</f>
        <v>TÉCNICA</v>
      </c>
      <c r="H1257" s="52" t="s">
        <v>7902</v>
      </c>
    </row>
    <row r="1258" spans="1:8" ht="30" customHeight="1" thickBot="1" x14ac:dyDescent="0.3">
      <c r="A1258" s="313">
        <f t="shared" ref="A1258:A1266" si="15">+A1257+1</f>
        <v>525</v>
      </c>
      <c r="B1258" s="52" t="s">
        <v>1555</v>
      </c>
      <c r="C1258" s="108" t="s">
        <v>1623</v>
      </c>
      <c r="D1258" s="109"/>
      <c r="E1258" s="110"/>
      <c r="F1258" s="78" t="s">
        <v>1619</v>
      </c>
      <c r="G1258" s="107" t="str">
        <f>+VLOOKUP(525,prueba!$D$2:$E$733,2,FALSE)</f>
        <v>FINANCIERA TÉCNICA</v>
      </c>
      <c r="H1258" s="52" t="s">
        <v>1624</v>
      </c>
    </row>
    <row r="1259" spans="1:8" ht="30" customHeight="1" thickBot="1" x14ac:dyDescent="0.3">
      <c r="A1259" s="313">
        <f t="shared" si="15"/>
        <v>526</v>
      </c>
      <c r="B1259" s="52" t="s">
        <v>1555</v>
      </c>
      <c r="C1259" s="108" t="s">
        <v>1625</v>
      </c>
      <c r="D1259" s="109"/>
      <c r="E1259" s="110"/>
      <c r="F1259" s="78" t="s">
        <v>1619</v>
      </c>
      <c r="G1259" s="107" t="str">
        <f>+VLOOKUP(526,prueba!$D$2:$E$733,2,FALSE)</f>
        <v>TÉCNICA</v>
      </c>
      <c r="H1259" s="52" t="s">
        <v>1626</v>
      </c>
    </row>
    <row r="1260" spans="1:8" ht="30" customHeight="1" thickBot="1" x14ac:dyDescent="0.3">
      <c r="A1260" s="313">
        <f t="shared" si="15"/>
        <v>527</v>
      </c>
      <c r="B1260" s="52" t="s">
        <v>1555</v>
      </c>
      <c r="C1260" s="108" t="s">
        <v>1627</v>
      </c>
      <c r="D1260" s="109"/>
      <c r="E1260" s="110"/>
      <c r="F1260" s="78" t="s">
        <v>1619</v>
      </c>
      <c r="G1260" s="107" t="str">
        <f>+VLOOKUP(527,prueba!$D$2:$E$733,2,FALSE)</f>
        <v>JURÍDICA – ESTRUCTURACIÓN RIESGOS</v>
      </c>
      <c r="H1260" s="52" t="s">
        <v>8424</v>
      </c>
    </row>
    <row r="1261" spans="1:8" ht="30" customHeight="1" thickBot="1" x14ac:dyDescent="0.3">
      <c r="A1261" s="313">
        <f t="shared" si="15"/>
        <v>528</v>
      </c>
      <c r="B1261" s="52" t="s">
        <v>1555</v>
      </c>
      <c r="C1261" s="108" t="s">
        <v>1628</v>
      </c>
      <c r="D1261" s="109"/>
      <c r="E1261" s="110"/>
      <c r="F1261" s="78" t="s">
        <v>1619</v>
      </c>
      <c r="G1261" s="107" t="str">
        <f>+VLOOKUP(528,prueba!$D$2:$E$733,2,FALSE)</f>
        <v>FINANCIERA</v>
      </c>
      <c r="H1261" s="52" t="s">
        <v>8386</v>
      </c>
    </row>
    <row r="1262" spans="1:8" ht="114.75" customHeight="1" thickBot="1" x14ac:dyDescent="0.3">
      <c r="A1262" s="313">
        <f t="shared" si="15"/>
        <v>529</v>
      </c>
      <c r="B1262" s="52" t="s">
        <v>1555</v>
      </c>
      <c r="C1262" s="108" t="s">
        <v>1629</v>
      </c>
      <c r="D1262" s="109"/>
      <c r="E1262" s="110"/>
      <c r="F1262" s="78" t="s">
        <v>1619</v>
      </c>
      <c r="G1262" s="107" t="str">
        <f>+VLOOKUP(529,prueba!$D$2:$E$733,2,FALSE)</f>
        <v>JURÍDICO PREDIAL</v>
      </c>
      <c r="H1262" s="52" t="s">
        <v>10273</v>
      </c>
    </row>
    <row r="1263" spans="1:8" ht="30" customHeight="1" thickBot="1" x14ac:dyDescent="0.3">
      <c r="A1263" s="313">
        <f t="shared" si="15"/>
        <v>530</v>
      </c>
      <c r="B1263" s="52" t="s">
        <v>1555</v>
      </c>
      <c r="C1263" s="108" t="s">
        <v>1630</v>
      </c>
      <c r="D1263" s="109"/>
      <c r="E1263" s="110"/>
      <c r="F1263" s="78" t="s">
        <v>1619</v>
      </c>
      <c r="G1263" s="107" t="str">
        <f>+VLOOKUP(530,prueba!$D$2:$E$733,2,FALSE)</f>
        <v>JURÍDICO PREDIAL</v>
      </c>
      <c r="H1263" s="52" t="s">
        <v>1631</v>
      </c>
    </row>
    <row r="1264" spans="1:8" ht="30" customHeight="1" thickBot="1" x14ac:dyDescent="0.3">
      <c r="A1264" s="313">
        <f t="shared" si="15"/>
        <v>531</v>
      </c>
      <c r="B1264" s="52" t="s">
        <v>1555</v>
      </c>
      <c r="C1264" s="108" t="s">
        <v>1632</v>
      </c>
      <c r="D1264" s="109"/>
      <c r="E1264" s="110"/>
      <c r="F1264" s="78" t="s">
        <v>1619</v>
      </c>
      <c r="G1264" s="107" t="str">
        <f>+VLOOKUP(531,prueba!$D$2:$E$733,2,FALSE)</f>
        <v>FINANCIERA</v>
      </c>
      <c r="H1264" s="52" t="s">
        <v>8387</v>
      </c>
    </row>
    <row r="1265" spans="1:8" ht="30" customHeight="1" thickBot="1" x14ac:dyDescent="0.3">
      <c r="A1265" s="313">
        <f t="shared" si="15"/>
        <v>532</v>
      </c>
      <c r="B1265" s="52" t="s">
        <v>1555</v>
      </c>
      <c r="C1265" s="108" t="s">
        <v>1633</v>
      </c>
      <c r="D1265" s="109"/>
      <c r="E1265" s="110"/>
      <c r="F1265" s="78" t="s">
        <v>1619</v>
      </c>
      <c r="G1265" s="107" t="str">
        <f>+VLOOKUP(532,prueba!$D$2:$E$733,2,FALSE)</f>
        <v>FINANCIERA RIESGOS</v>
      </c>
      <c r="H1265" s="52" t="s">
        <v>1634</v>
      </c>
    </row>
    <row r="1266" spans="1:8" ht="30" customHeight="1" x14ac:dyDescent="0.25">
      <c r="A1266" s="76">
        <f t="shared" si="15"/>
        <v>533</v>
      </c>
      <c r="B1266" s="50" t="s">
        <v>1555</v>
      </c>
      <c r="C1266" s="63" t="s">
        <v>9716</v>
      </c>
      <c r="D1266" s="64"/>
      <c r="E1266" s="65"/>
      <c r="F1266" s="84" t="s">
        <v>1619</v>
      </c>
      <c r="G1266" s="84" t="str">
        <f>+VLOOKUP(533,prueba!$D$2:$E$733,2,FALSE)</f>
        <v>TÉCNICO AMBIENTAL</v>
      </c>
      <c r="H1266" s="50" t="s">
        <v>9076</v>
      </c>
    </row>
    <row r="1267" spans="1:8" ht="30" customHeight="1" x14ac:dyDescent="0.25">
      <c r="A1267" s="312"/>
      <c r="B1267" s="86"/>
      <c r="C1267" s="53"/>
      <c r="D1267" s="54"/>
      <c r="E1267" s="55"/>
      <c r="F1267" s="85"/>
      <c r="G1267" s="85"/>
      <c r="H1267" s="86"/>
    </row>
    <row r="1268" spans="1:8" ht="30" customHeight="1" thickBot="1" x14ac:dyDescent="0.3">
      <c r="A1268" s="83"/>
      <c r="B1268" s="91"/>
      <c r="C1268" s="88" t="s">
        <v>1635</v>
      </c>
      <c r="D1268" s="89"/>
      <c r="E1268" s="90"/>
      <c r="F1268" s="77"/>
      <c r="G1268" s="77"/>
      <c r="H1268" s="91"/>
    </row>
    <row r="1269" spans="1:8" ht="30" customHeight="1" thickBot="1" x14ac:dyDescent="0.3">
      <c r="A1269" s="313">
        <f>+A1266+1</f>
        <v>534</v>
      </c>
      <c r="B1269" s="52" t="s">
        <v>1555</v>
      </c>
      <c r="C1269" s="108" t="s">
        <v>1636</v>
      </c>
      <c r="D1269" s="109"/>
      <c r="E1269" s="110"/>
      <c r="F1269" s="78" t="s">
        <v>1619</v>
      </c>
      <c r="G1269" s="107" t="str">
        <f>+VLOOKUP(534,prueba!$D$2:$E$733,2,FALSE)</f>
        <v>FINANCIERA</v>
      </c>
      <c r="H1269" s="52" t="s">
        <v>8388</v>
      </c>
    </row>
    <row r="1270" spans="1:8" ht="30" customHeight="1" thickBot="1" x14ac:dyDescent="0.3">
      <c r="A1270" s="313">
        <f>+A1269+1</f>
        <v>535</v>
      </c>
      <c r="B1270" s="52" t="s">
        <v>1555</v>
      </c>
      <c r="C1270" s="108" t="s">
        <v>1637</v>
      </c>
      <c r="D1270" s="109"/>
      <c r="E1270" s="110"/>
      <c r="F1270" s="78" t="s">
        <v>1619</v>
      </c>
      <c r="G1270" s="107" t="str">
        <f>+VLOOKUP(535,prueba!$D$2:$E$733,2,FALSE)</f>
        <v>FINANCIERA RIESGOS</v>
      </c>
      <c r="H1270" s="52" t="s">
        <v>7361</v>
      </c>
    </row>
    <row r="1271" spans="1:8" ht="30" customHeight="1" x14ac:dyDescent="0.25">
      <c r="A1271" s="76">
        <f>+A1270+1</f>
        <v>536</v>
      </c>
      <c r="B1271" s="50" t="s">
        <v>1555</v>
      </c>
      <c r="C1271" s="63" t="s">
        <v>9717</v>
      </c>
      <c r="D1271" s="64"/>
      <c r="E1271" s="65"/>
      <c r="F1271" s="84" t="s">
        <v>1638</v>
      </c>
      <c r="G1271" s="84" t="str">
        <f>+VLOOKUP(536,prueba!$D$2:$E$733,2,FALSE)</f>
        <v>FINANCIERA RIESGOS</v>
      </c>
      <c r="H1271" s="50" t="s">
        <v>6994</v>
      </c>
    </row>
    <row r="1272" spans="1:8" ht="30" customHeight="1" x14ac:dyDescent="0.25">
      <c r="A1272" s="312"/>
      <c r="B1272" s="86"/>
      <c r="C1272" s="53"/>
      <c r="D1272" s="54"/>
      <c r="E1272" s="55"/>
      <c r="F1272" s="85"/>
      <c r="G1272" s="85"/>
      <c r="H1272" s="86"/>
    </row>
    <row r="1273" spans="1:8" ht="30" customHeight="1" thickBot="1" x14ac:dyDescent="0.3">
      <c r="A1273" s="83"/>
      <c r="B1273" s="91"/>
      <c r="C1273" s="88" t="s">
        <v>1639</v>
      </c>
      <c r="D1273" s="89"/>
      <c r="E1273" s="90"/>
      <c r="F1273" s="77"/>
      <c r="G1273" s="77"/>
      <c r="H1273" s="91"/>
    </row>
    <row r="1274" spans="1:8" ht="30" customHeight="1" x14ac:dyDescent="0.25">
      <c r="A1274" s="76">
        <f>+A1271+1</f>
        <v>537</v>
      </c>
      <c r="B1274" s="50" t="s">
        <v>1555</v>
      </c>
      <c r="C1274" s="63" t="s">
        <v>1640</v>
      </c>
      <c r="D1274" s="64"/>
      <c r="E1274" s="65"/>
      <c r="F1274" s="84" t="s">
        <v>1638</v>
      </c>
      <c r="G1274" s="84" t="str">
        <f>+VLOOKUP(537,prueba!$D$2:$E$733,2,FALSE)</f>
        <v>FINANCIERA RIESGOS</v>
      </c>
      <c r="H1274" s="50" t="s">
        <v>6995</v>
      </c>
    </row>
    <row r="1275" spans="1:8" ht="30" customHeight="1" x14ac:dyDescent="0.25">
      <c r="A1275" s="312"/>
      <c r="B1275" s="86"/>
      <c r="C1275" s="53"/>
      <c r="D1275" s="54"/>
      <c r="E1275" s="55"/>
      <c r="F1275" s="85"/>
      <c r="G1275" s="85"/>
      <c r="H1275" s="86"/>
    </row>
    <row r="1276" spans="1:8" ht="30" customHeight="1" x14ac:dyDescent="0.25">
      <c r="A1276" s="312"/>
      <c r="B1276" s="86"/>
      <c r="C1276" s="53" t="s">
        <v>9718</v>
      </c>
      <c r="D1276" s="54"/>
      <c r="E1276" s="55"/>
      <c r="F1276" s="85"/>
      <c r="G1276" s="85"/>
      <c r="H1276" s="86"/>
    </row>
    <row r="1277" spans="1:8" ht="30" customHeight="1" x14ac:dyDescent="0.25">
      <c r="A1277" s="312"/>
      <c r="B1277" s="86"/>
      <c r="C1277" s="53"/>
      <c r="D1277" s="54"/>
      <c r="E1277" s="55"/>
      <c r="F1277" s="85"/>
      <c r="G1277" s="85"/>
      <c r="H1277" s="86"/>
    </row>
    <row r="1278" spans="1:8" ht="30" customHeight="1" thickBot="1" x14ac:dyDescent="0.3">
      <c r="A1278" s="83"/>
      <c r="B1278" s="91"/>
      <c r="C1278" s="88" t="s">
        <v>1641</v>
      </c>
      <c r="D1278" s="89"/>
      <c r="E1278" s="90"/>
      <c r="F1278" s="77"/>
      <c r="G1278" s="77"/>
      <c r="H1278" s="91"/>
    </row>
    <row r="1279" spans="1:8" ht="30" customHeight="1" x14ac:dyDescent="0.25">
      <c r="A1279" s="76">
        <f>+A1274+1</f>
        <v>538</v>
      </c>
      <c r="B1279" s="50" t="s">
        <v>1555</v>
      </c>
      <c r="C1279" s="63" t="s">
        <v>1642</v>
      </c>
      <c r="D1279" s="64"/>
      <c r="E1279" s="65"/>
      <c r="F1279" s="84" t="s">
        <v>1638</v>
      </c>
      <c r="G1279" s="84" t="str">
        <f>+VLOOKUP(538,prueba!$D$2:$E$733,2,FALSE)</f>
        <v>FINANCIERA RIESGOS</v>
      </c>
      <c r="H1279" s="50" t="s">
        <v>6995</v>
      </c>
    </row>
    <row r="1280" spans="1:8" ht="30" customHeight="1" x14ac:dyDescent="0.25">
      <c r="A1280" s="312"/>
      <c r="B1280" s="86"/>
      <c r="C1280" s="53"/>
      <c r="D1280" s="54"/>
      <c r="E1280" s="55"/>
      <c r="F1280" s="85"/>
      <c r="G1280" s="85"/>
      <c r="H1280" s="86"/>
    </row>
    <row r="1281" spans="1:8" ht="30" customHeight="1" x14ac:dyDescent="0.25">
      <c r="A1281" s="312"/>
      <c r="B1281" s="86"/>
      <c r="C1281" s="53" t="s">
        <v>9719</v>
      </c>
      <c r="D1281" s="54"/>
      <c r="E1281" s="55"/>
      <c r="F1281" s="85"/>
      <c r="G1281" s="85"/>
      <c r="H1281" s="86"/>
    </row>
    <row r="1282" spans="1:8" ht="30" customHeight="1" x14ac:dyDescent="0.25">
      <c r="A1282" s="312"/>
      <c r="B1282" s="86"/>
      <c r="C1282" s="53"/>
      <c r="D1282" s="54"/>
      <c r="E1282" s="55"/>
      <c r="F1282" s="85"/>
      <c r="G1282" s="85"/>
      <c r="H1282" s="86"/>
    </row>
    <row r="1283" spans="1:8" ht="30" customHeight="1" thickBot="1" x14ac:dyDescent="0.3">
      <c r="A1283" s="83"/>
      <c r="B1283" s="91"/>
      <c r="C1283" s="88" t="s">
        <v>1643</v>
      </c>
      <c r="D1283" s="89"/>
      <c r="E1283" s="90"/>
      <c r="F1283" s="77"/>
      <c r="G1283" s="77"/>
      <c r="H1283" s="91"/>
    </row>
    <row r="1284" spans="1:8" ht="30" customHeight="1" x14ac:dyDescent="0.25">
      <c r="A1284" s="76">
        <f>+A1279+1</f>
        <v>539</v>
      </c>
      <c r="B1284" s="50" t="s">
        <v>1555</v>
      </c>
      <c r="C1284" s="63" t="s">
        <v>1644</v>
      </c>
      <c r="D1284" s="64"/>
      <c r="E1284" s="65"/>
      <c r="F1284" s="84" t="s">
        <v>1638</v>
      </c>
      <c r="G1284" s="84" t="str">
        <f>+VLOOKUP(539,prueba!$D$2:$E$733,2,FALSE)</f>
        <v>FINANCIERA RIESGOS</v>
      </c>
      <c r="H1284" s="50" t="s">
        <v>8389</v>
      </c>
    </row>
    <row r="1285" spans="1:8" ht="30" customHeight="1" x14ac:dyDescent="0.25">
      <c r="A1285" s="312"/>
      <c r="B1285" s="86"/>
      <c r="C1285" s="53"/>
      <c r="D1285" s="54"/>
      <c r="E1285" s="55"/>
      <c r="F1285" s="85"/>
      <c r="G1285" s="85"/>
      <c r="H1285" s="86"/>
    </row>
    <row r="1286" spans="1:8" ht="30" customHeight="1" x14ac:dyDescent="0.25">
      <c r="A1286" s="312"/>
      <c r="B1286" s="86"/>
      <c r="C1286" s="53" t="s">
        <v>9720</v>
      </c>
      <c r="D1286" s="54"/>
      <c r="E1286" s="55"/>
      <c r="F1286" s="85"/>
      <c r="G1286" s="85"/>
      <c r="H1286" s="86"/>
    </row>
    <row r="1287" spans="1:8" ht="30" customHeight="1" x14ac:dyDescent="0.25">
      <c r="A1287" s="312"/>
      <c r="B1287" s="86"/>
      <c r="C1287" s="53"/>
      <c r="D1287" s="54"/>
      <c r="E1287" s="55"/>
      <c r="F1287" s="85"/>
      <c r="G1287" s="85"/>
      <c r="H1287" s="86"/>
    </row>
    <row r="1288" spans="1:8" ht="30" customHeight="1" thickBot="1" x14ac:dyDescent="0.3">
      <c r="A1288" s="83"/>
      <c r="B1288" s="91"/>
      <c r="C1288" s="88" t="s">
        <v>1645</v>
      </c>
      <c r="D1288" s="89"/>
      <c r="E1288" s="90"/>
      <c r="F1288" s="77"/>
      <c r="G1288" s="77"/>
      <c r="H1288" s="91"/>
    </row>
    <row r="1289" spans="1:8" ht="30" customHeight="1" x14ac:dyDescent="0.25">
      <c r="A1289" s="76">
        <f>+A1284+1</f>
        <v>540</v>
      </c>
      <c r="B1289" s="50" t="s">
        <v>1555</v>
      </c>
      <c r="C1289" s="63" t="s">
        <v>1646</v>
      </c>
      <c r="D1289" s="64"/>
      <c r="E1289" s="65"/>
      <c r="F1289" s="84" t="s">
        <v>1638</v>
      </c>
      <c r="G1289" s="84" t="str">
        <f>+VLOOKUP(540,prueba!$D$2:$E$733,2,FALSE)</f>
        <v>FINANCIERA RIESGOS</v>
      </c>
      <c r="H1289" s="50" t="s">
        <v>6995</v>
      </c>
    </row>
    <row r="1290" spans="1:8" ht="30" customHeight="1" x14ac:dyDescent="0.25">
      <c r="A1290" s="312"/>
      <c r="B1290" s="86"/>
      <c r="C1290" s="53"/>
      <c r="D1290" s="54"/>
      <c r="E1290" s="55"/>
      <c r="F1290" s="85"/>
      <c r="G1290" s="85"/>
      <c r="H1290" s="86"/>
    </row>
    <row r="1291" spans="1:8" ht="30" customHeight="1" x14ac:dyDescent="0.25">
      <c r="A1291" s="312"/>
      <c r="B1291" s="86"/>
      <c r="C1291" s="53" t="s">
        <v>9721</v>
      </c>
      <c r="D1291" s="54"/>
      <c r="E1291" s="55"/>
      <c r="F1291" s="85"/>
      <c r="G1291" s="85"/>
      <c r="H1291" s="86"/>
    </row>
    <row r="1292" spans="1:8" ht="30" customHeight="1" x14ac:dyDescent="0.25">
      <c r="A1292" s="312"/>
      <c r="B1292" s="86"/>
      <c r="C1292" s="53"/>
      <c r="D1292" s="54"/>
      <c r="E1292" s="55"/>
      <c r="F1292" s="85"/>
      <c r="G1292" s="85"/>
      <c r="H1292" s="86"/>
    </row>
    <row r="1293" spans="1:8" ht="30" customHeight="1" thickBot="1" x14ac:dyDescent="0.3">
      <c r="A1293" s="83"/>
      <c r="B1293" s="91"/>
      <c r="C1293" s="88" t="s">
        <v>1647</v>
      </c>
      <c r="D1293" s="89"/>
      <c r="E1293" s="90"/>
      <c r="F1293" s="77"/>
      <c r="G1293" s="77"/>
      <c r="H1293" s="91"/>
    </row>
    <row r="1294" spans="1:8" ht="30" customHeight="1" x14ac:dyDescent="0.25">
      <c r="A1294" s="76">
        <f>+A1289+1</f>
        <v>541</v>
      </c>
      <c r="B1294" s="50" t="s">
        <v>1555</v>
      </c>
      <c r="C1294" s="63" t="s">
        <v>1648</v>
      </c>
      <c r="D1294" s="64"/>
      <c r="E1294" s="65"/>
      <c r="F1294" s="84" t="s">
        <v>1638</v>
      </c>
      <c r="G1294" s="84" t="str">
        <f>+VLOOKUP(541,prueba!$D$2:$E$733,2,FALSE)</f>
        <v>FINANCIERA</v>
      </c>
      <c r="H1294" s="50" t="s">
        <v>8390</v>
      </c>
    </row>
    <row r="1295" spans="1:8" ht="30" customHeight="1" x14ac:dyDescent="0.25">
      <c r="A1295" s="312"/>
      <c r="B1295" s="86"/>
      <c r="C1295" s="53"/>
      <c r="D1295" s="54"/>
      <c r="E1295" s="55"/>
      <c r="F1295" s="85"/>
      <c r="G1295" s="85"/>
      <c r="H1295" s="86"/>
    </row>
    <row r="1296" spans="1:8" ht="30" customHeight="1" x14ac:dyDescent="0.25">
      <c r="A1296" s="312"/>
      <c r="B1296" s="86"/>
      <c r="C1296" s="53" t="s">
        <v>9722</v>
      </c>
      <c r="D1296" s="54"/>
      <c r="E1296" s="55"/>
      <c r="F1296" s="85"/>
      <c r="G1296" s="85"/>
      <c r="H1296" s="86"/>
    </row>
    <row r="1297" spans="1:8" ht="30" customHeight="1" x14ac:dyDescent="0.25">
      <c r="A1297" s="312"/>
      <c r="B1297" s="86"/>
      <c r="C1297" s="53"/>
      <c r="D1297" s="54"/>
      <c r="E1297" s="55"/>
      <c r="F1297" s="85"/>
      <c r="G1297" s="85"/>
      <c r="H1297" s="86"/>
    </row>
    <row r="1298" spans="1:8" ht="30" customHeight="1" x14ac:dyDescent="0.25">
      <c r="A1298" s="312"/>
      <c r="B1298" s="86"/>
      <c r="C1298" s="53" t="s">
        <v>1649</v>
      </c>
      <c r="D1298" s="54"/>
      <c r="E1298" s="55"/>
      <c r="F1298" s="85"/>
      <c r="G1298" s="85"/>
      <c r="H1298" s="86"/>
    </row>
    <row r="1299" spans="1:8" ht="30" customHeight="1" x14ac:dyDescent="0.25">
      <c r="A1299" s="312"/>
      <c r="B1299" s="86"/>
      <c r="C1299" s="53"/>
      <c r="D1299" s="54"/>
      <c r="E1299" s="55"/>
      <c r="F1299" s="85"/>
      <c r="G1299" s="85"/>
      <c r="H1299" s="86"/>
    </row>
    <row r="1300" spans="1:8" ht="30" customHeight="1" thickBot="1" x14ac:dyDescent="0.3">
      <c r="A1300" s="83"/>
      <c r="B1300" s="91"/>
      <c r="C1300" s="88" t="s">
        <v>1650</v>
      </c>
      <c r="D1300" s="89"/>
      <c r="E1300" s="90"/>
      <c r="F1300" s="77"/>
      <c r="G1300" s="77"/>
      <c r="H1300" s="91"/>
    </row>
    <row r="1301" spans="1:8" ht="30" customHeight="1" x14ac:dyDescent="0.25">
      <c r="A1301" s="76">
        <f>+A1294+1</f>
        <v>542</v>
      </c>
      <c r="B1301" s="50" t="s">
        <v>1555</v>
      </c>
      <c r="C1301" s="63" t="s">
        <v>1651</v>
      </c>
      <c r="D1301" s="64"/>
      <c r="E1301" s="65"/>
      <c r="F1301" s="84" t="s">
        <v>1652</v>
      </c>
      <c r="G1301" s="84" t="str">
        <f>+VLOOKUP(542,prueba!$D$2:$E$733,2,FALSE)</f>
        <v>FINANCIERA</v>
      </c>
      <c r="H1301" s="50" t="s">
        <v>8390</v>
      </c>
    </row>
    <row r="1302" spans="1:8" ht="30" customHeight="1" x14ac:dyDescent="0.25">
      <c r="A1302" s="312"/>
      <c r="B1302" s="86"/>
      <c r="C1302" s="53"/>
      <c r="D1302" s="54"/>
      <c r="E1302" s="55"/>
      <c r="F1302" s="85"/>
      <c r="G1302" s="85"/>
      <c r="H1302" s="86"/>
    </row>
    <row r="1303" spans="1:8" ht="30" customHeight="1" x14ac:dyDescent="0.25">
      <c r="A1303" s="312"/>
      <c r="B1303" s="86"/>
      <c r="C1303" s="53" t="s">
        <v>9723</v>
      </c>
      <c r="D1303" s="54"/>
      <c r="E1303" s="55"/>
      <c r="F1303" s="85"/>
      <c r="G1303" s="85"/>
      <c r="H1303" s="86"/>
    </row>
    <row r="1304" spans="1:8" ht="30" customHeight="1" x14ac:dyDescent="0.25">
      <c r="A1304" s="312"/>
      <c r="B1304" s="86"/>
      <c r="C1304" s="53"/>
      <c r="D1304" s="54"/>
      <c r="E1304" s="55"/>
      <c r="F1304" s="85"/>
      <c r="G1304" s="85"/>
      <c r="H1304" s="86"/>
    </row>
    <row r="1305" spans="1:8" ht="30" customHeight="1" thickBot="1" x14ac:dyDescent="0.3">
      <c r="A1305" s="83"/>
      <c r="B1305" s="91"/>
      <c r="C1305" s="88" t="s">
        <v>1653</v>
      </c>
      <c r="D1305" s="89"/>
      <c r="E1305" s="90"/>
      <c r="F1305" s="77"/>
      <c r="G1305" s="77"/>
      <c r="H1305" s="91"/>
    </row>
    <row r="1306" spans="1:8" ht="30" customHeight="1" x14ac:dyDescent="0.25">
      <c r="A1306" s="76">
        <f>+A1301+1</f>
        <v>543</v>
      </c>
      <c r="B1306" s="50" t="s">
        <v>1555</v>
      </c>
      <c r="C1306" s="63" t="s">
        <v>9724</v>
      </c>
      <c r="D1306" s="64"/>
      <c r="E1306" s="65"/>
      <c r="F1306" s="84" t="s">
        <v>1652</v>
      </c>
      <c r="G1306" s="84" t="str">
        <f>+VLOOKUP(543,prueba!$D$2:$E$733,2,FALSE)</f>
        <v>FINANCIERA RIESGOS</v>
      </c>
      <c r="H1306" s="50" t="s">
        <v>1654</v>
      </c>
    </row>
    <row r="1307" spans="1:8" ht="30" customHeight="1" x14ac:dyDescent="0.25">
      <c r="A1307" s="312"/>
      <c r="B1307" s="86"/>
      <c r="C1307" s="53"/>
      <c r="D1307" s="54"/>
      <c r="E1307" s="55"/>
      <c r="F1307" s="85"/>
      <c r="G1307" s="85"/>
      <c r="H1307" s="86"/>
    </row>
    <row r="1308" spans="1:8" ht="30" customHeight="1" x14ac:dyDescent="0.25">
      <c r="A1308" s="312"/>
      <c r="B1308" s="86"/>
      <c r="C1308" s="53" t="s">
        <v>1655</v>
      </c>
      <c r="D1308" s="54"/>
      <c r="E1308" s="55"/>
      <c r="F1308" s="85"/>
      <c r="G1308" s="85"/>
      <c r="H1308" s="86"/>
    </row>
    <row r="1309" spans="1:8" ht="30" customHeight="1" x14ac:dyDescent="0.25">
      <c r="A1309" s="312"/>
      <c r="B1309" s="86"/>
      <c r="C1309" s="53"/>
      <c r="D1309" s="54"/>
      <c r="E1309" s="55"/>
      <c r="F1309" s="85"/>
      <c r="G1309" s="85"/>
      <c r="H1309" s="86"/>
    </row>
    <row r="1310" spans="1:8" ht="30" customHeight="1" thickBot="1" x14ac:dyDescent="0.3">
      <c r="A1310" s="83"/>
      <c r="B1310" s="91"/>
      <c r="C1310" s="88" t="s">
        <v>9725</v>
      </c>
      <c r="D1310" s="89"/>
      <c r="E1310" s="90"/>
      <c r="F1310" s="77"/>
      <c r="G1310" s="77"/>
      <c r="H1310" s="91"/>
    </row>
    <row r="1311" spans="1:8" ht="30" customHeight="1" x14ac:dyDescent="0.25">
      <c r="A1311" s="76">
        <f>+A1306+1</f>
        <v>544</v>
      </c>
      <c r="B1311" s="50" t="s">
        <v>1555</v>
      </c>
      <c r="C1311" s="137" t="s">
        <v>9726</v>
      </c>
      <c r="D1311" s="138"/>
      <c r="E1311" s="139"/>
      <c r="F1311" s="84" t="s">
        <v>1656</v>
      </c>
      <c r="G1311" s="84" t="str">
        <f>+VLOOKUP(544,prueba!$D$2:$E$733,2,FALSE)</f>
        <v>FINANCIERA RIESGOS</v>
      </c>
      <c r="H1311" s="50" t="s">
        <v>1657</v>
      </c>
    </row>
    <row r="1312" spans="1:8" ht="30" customHeight="1" x14ac:dyDescent="0.25">
      <c r="A1312" s="312"/>
      <c r="B1312" s="86"/>
      <c r="C1312" s="53"/>
      <c r="D1312" s="54"/>
      <c r="E1312" s="55"/>
      <c r="F1312" s="85"/>
      <c r="G1312" s="85"/>
      <c r="H1312" s="86"/>
    </row>
    <row r="1313" spans="1:8" ht="30" customHeight="1" thickBot="1" x14ac:dyDescent="0.3">
      <c r="A1313" s="83"/>
      <c r="B1313" s="91"/>
      <c r="C1313" s="88" t="s">
        <v>1658</v>
      </c>
      <c r="D1313" s="89"/>
      <c r="E1313" s="90"/>
      <c r="F1313" s="77"/>
      <c r="G1313" s="77"/>
      <c r="H1313" s="91"/>
    </row>
    <row r="1314" spans="1:8" ht="30" customHeight="1" thickBot="1" x14ac:dyDescent="0.3">
      <c r="A1314" s="313">
        <f>+A1311+1</f>
        <v>545</v>
      </c>
      <c r="B1314" s="52" t="s">
        <v>1555</v>
      </c>
      <c r="C1314" s="108" t="s">
        <v>1659</v>
      </c>
      <c r="D1314" s="109"/>
      <c r="E1314" s="110"/>
      <c r="F1314" s="78" t="s">
        <v>1656</v>
      </c>
      <c r="G1314" s="107" t="str">
        <f>+VLOOKUP(545,prueba!$D$2:$E$733,2,FALSE)</f>
        <v>FINANCIERA RIESGOS</v>
      </c>
      <c r="H1314" s="52" t="s">
        <v>1657</v>
      </c>
    </row>
    <row r="1315" spans="1:8" ht="30" customHeight="1" x14ac:dyDescent="0.25">
      <c r="A1315" s="76">
        <f>+A1314+1</f>
        <v>546</v>
      </c>
      <c r="B1315" s="50" t="s">
        <v>1555</v>
      </c>
      <c r="C1315" s="137" t="s">
        <v>1660</v>
      </c>
      <c r="D1315" s="138"/>
      <c r="E1315" s="139"/>
      <c r="F1315" s="84" t="s">
        <v>1656</v>
      </c>
      <c r="G1315" s="84" t="str">
        <f>+VLOOKUP(546,prueba!$D$2:$E$733,2,FALSE)</f>
        <v>FINANCIERA RIESGOS</v>
      </c>
      <c r="H1315" s="50" t="s">
        <v>1661</v>
      </c>
    </row>
    <row r="1316" spans="1:8" ht="30" customHeight="1" x14ac:dyDescent="0.25">
      <c r="A1316" s="312"/>
      <c r="B1316" s="86"/>
      <c r="C1316" s="53"/>
      <c r="D1316" s="54"/>
      <c r="E1316" s="55"/>
      <c r="F1316" s="85"/>
      <c r="G1316" s="85"/>
      <c r="H1316" s="86"/>
    </row>
    <row r="1317" spans="1:8" ht="30" customHeight="1" x14ac:dyDescent="0.25">
      <c r="A1317" s="312"/>
      <c r="B1317" s="86"/>
      <c r="C1317" s="112" t="s">
        <v>1662</v>
      </c>
      <c r="D1317" s="113"/>
      <c r="E1317" s="114"/>
      <c r="F1317" s="85"/>
      <c r="G1317" s="85"/>
      <c r="H1317" s="86"/>
    </row>
    <row r="1318" spans="1:8" ht="30" customHeight="1" x14ac:dyDescent="0.25">
      <c r="A1318" s="312"/>
      <c r="B1318" s="86"/>
      <c r="C1318" s="53"/>
      <c r="D1318" s="54"/>
      <c r="E1318" s="55"/>
      <c r="F1318" s="85"/>
      <c r="G1318" s="85"/>
      <c r="H1318" s="86"/>
    </row>
    <row r="1319" spans="1:8" ht="30" customHeight="1" x14ac:dyDescent="0.25">
      <c r="A1319" s="312"/>
      <c r="B1319" s="86"/>
      <c r="C1319" s="112" t="s">
        <v>1663</v>
      </c>
      <c r="D1319" s="113"/>
      <c r="E1319" s="114"/>
      <c r="F1319" s="85"/>
      <c r="G1319" s="85"/>
      <c r="H1319" s="86"/>
    </row>
    <row r="1320" spans="1:8" ht="30" customHeight="1" x14ac:dyDescent="0.25">
      <c r="A1320" s="312"/>
      <c r="B1320" s="86"/>
      <c r="C1320" s="53"/>
      <c r="D1320" s="54"/>
      <c r="E1320" s="55"/>
      <c r="F1320" s="85"/>
      <c r="G1320" s="85"/>
      <c r="H1320" s="86"/>
    </row>
    <row r="1321" spans="1:8" ht="30" customHeight="1" thickBot="1" x14ac:dyDescent="0.3">
      <c r="A1321" s="83"/>
      <c r="B1321" s="91"/>
      <c r="C1321" s="88" t="s">
        <v>1664</v>
      </c>
      <c r="D1321" s="89"/>
      <c r="E1321" s="90"/>
      <c r="F1321" s="77"/>
      <c r="G1321" s="77"/>
      <c r="H1321" s="91"/>
    </row>
    <row r="1322" spans="1:8" ht="30" customHeight="1" x14ac:dyDescent="0.25">
      <c r="A1322" s="76">
        <f>+A1315+1</f>
        <v>547</v>
      </c>
      <c r="B1322" s="50" t="s">
        <v>1555</v>
      </c>
      <c r="C1322" s="137" t="s">
        <v>1665</v>
      </c>
      <c r="D1322" s="138"/>
      <c r="E1322" s="139"/>
      <c r="F1322" s="84" t="s">
        <v>1656</v>
      </c>
      <c r="G1322" s="84" t="str">
        <f>+VLOOKUP(547,prueba!$D$2:$E$733,2,FALSE)</f>
        <v>FINANCIERA RIESGOS</v>
      </c>
      <c r="H1322" s="50" t="s">
        <v>2047</v>
      </c>
    </row>
    <row r="1323" spans="1:8" ht="30" customHeight="1" x14ac:dyDescent="0.25">
      <c r="A1323" s="312"/>
      <c r="B1323" s="86"/>
      <c r="C1323" s="53"/>
      <c r="D1323" s="54"/>
      <c r="E1323" s="55"/>
      <c r="F1323" s="85"/>
      <c r="G1323" s="85"/>
      <c r="H1323" s="86"/>
    </row>
    <row r="1324" spans="1:8" ht="30" customHeight="1" thickBot="1" x14ac:dyDescent="0.3">
      <c r="A1324" s="83"/>
      <c r="B1324" s="91"/>
      <c r="C1324" s="88" t="s">
        <v>1666</v>
      </c>
      <c r="D1324" s="89"/>
      <c r="E1324" s="90"/>
      <c r="F1324" s="77"/>
      <c r="G1324" s="77"/>
      <c r="H1324" s="91"/>
    </row>
    <row r="1325" spans="1:8" ht="30" customHeight="1" x14ac:dyDescent="0.25">
      <c r="A1325" s="76">
        <f>+A1322+1</f>
        <v>548</v>
      </c>
      <c r="B1325" s="50" t="s">
        <v>1555</v>
      </c>
      <c r="C1325" s="63" t="s">
        <v>1033</v>
      </c>
      <c r="D1325" s="64"/>
      <c r="E1325" s="65"/>
      <c r="F1325" s="84" t="s">
        <v>1557</v>
      </c>
      <c r="G1325" s="84" t="str">
        <f>+VLOOKUP(548,prueba!$D$2:$E$733,2,FALSE)</f>
        <v xml:space="preserve">JURÍDICA </v>
      </c>
      <c r="H1325" s="50" t="s">
        <v>1667</v>
      </c>
    </row>
    <row r="1326" spans="1:8" ht="30" customHeight="1" x14ac:dyDescent="0.25">
      <c r="A1326" s="312"/>
      <c r="B1326" s="86"/>
      <c r="C1326" s="53"/>
      <c r="D1326" s="54"/>
      <c r="E1326" s="55"/>
      <c r="F1326" s="85"/>
      <c r="G1326" s="85"/>
      <c r="H1326" s="86"/>
    </row>
    <row r="1327" spans="1:8" ht="30" customHeight="1" x14ac:dyDescent="0.25">
      <c r="A1327" s="312"/>
      <c r="B1327" s="86"/>
      <c r="C1327" s="53" t="s">
        <v>1668</v>
      </c>
      <c r="D1327" s="54"/>
      <c r="E1327" s="55"/>
      <c r="F1327" s="85"/>
      <c r="G1327" s="85"/>
      <c r="H1327" s="86"/>
    </row>
    <row r="1328" spans="1:8" ht="30" customHeight="1" x14ac:dyDescent="0.25">
      <c r="A1328" s="312"/>
      <c r="B1328" s="86"/>
      <c r="C1328" s="53"/>
      <c r="D1328" s="54"/>
      <c r="E1328" s="55"/>
      <c r="F1328" s="85"/>
      <c r="G1328" s="85"/>
      <c r="H1328" s="86"/>
    </row>
    <row r="1329" spans="1:8" ht="30" customHeight="1" x14ac:dyDescent="0.25">
      <c r="A1329" s="312"/>
      <c r="B1329" s="86"/>
      <c r="C1329" s="53" t="s">
        <v>1035</v>
      </c>
      <c r="D1329" s="54"/>
      <c r="E1329" s="55"/>
      <c r="F1329" s="85"/>
      <c r="G1329" s="85"/>
      <c r="H1329" s="86"/>
    </row>
    <row r="1330" spans="1:8" ht="30" customHeight="1" x14ac:dyDescent="0.25">
      <c r="A1330" s="312"/>
      <c r="B1330" s="86"/>
      <c r="C1330" s="53" t="s">
        <v>1036</v>
      </c>
      <c r="D1330" s="54"/>
      <c r="E1330" s="55"/>
      <c r="F1330" s="85"/>
      <c r="G1330" s="85"/>
      <c r="H1330" s="86"/>
    </row>
    <row r="1331" spans="1:8" ht="30" customHeight="1" x14ac:dyDescent="0.25">
      <c r="A1331" s="312"/>
      <c r="B1331" s="86"/>
      <c r="C1331" s="53"/>
      <c r="D1331" s="54"/>
      <c r="E1331" s="55"/>
      <c r="F1331" s="85"/>
      <c r="G1331" s="85"/>
      <c r="H1331" s="86"/>
    </row>
    <row r="1332" spans="1:8" ht="30" customHeight="1" x14ac:dyDescent="0.25">
      <c r="A1332" s="312"/>
      <c r="B1332" s="86"/>
      <c r="C1332" s="53" t="s">
        <v>1037</v>
      </c>
      <c r="D1332" s="54"/>
      <c r="E1332" s="55"/>
      <c r="F1332" s="85"/>
      <c r="G1332" s="85"/>
      <c r="H1332" s="86"/>
    </row>
    <row r="1333" spans="1:8" ht="30" customHeight="1" x14ac:dyDescent="0.25">
      <c r="A1333" s="312"/>
      <c r="B1333" s="86"/>
      <c r="C1333" s="53"/>
      <c r="D1333" s="54"/>
      <c r="E1333" s="55"/>
      <c r="F1333" s="85"/>
      <c r="G1333" s="85"/>
      <c r="H1333" s="86"/>
    </row>
    <row r="1334" spans="1:8" ht="30" customHeight="1" thickBot="1" x14ac:dyDescent="0.3">
      <c r="A1334" s="83"/>
      <c r="B1334" s="91"/>
      <c r="C1334" s="88" t="s">
        <v>1038</v>
      </c>
      <c r="D1334" s="89"/>
      <c r="E1334" s="90"/>
      <c r="F1334" s="77"/>
      <c r="G1334" s="77"/>
      <c r="H1334" s="91"/>
    </row>
    <row r="1335" spans="1:8" ht="30" customHeight="1" thickBot="1" x14ac:dyDescent="0.3">
      <c r="A1335" s="313">
        <f>+A1325+1</f>
        <v>549</v>
      </c>
      <c r="B1335" s="52" t="s">
        <v>1669</v>
      </c>
      <c r="C1335" s="108" t="s">
        <v>1670</v>
      </c>
      <c r="D1335" s="109"/>
      <c r="E1335" s="110"/>
      <c r="F1335" s="78" t="s">
        <v>1671</v>
      </c>
      <c r="G1335" s="107" t="str">
        <f>+VLOOKUP(549,prueba!$D$2:$E$733,2,FALSE)</f>
        <v>JURIDICA ESTRUCTURACION</v>
      </c>
      <c r="H1335" s="52" t="s">
        <v>1673</v>
      </c>
    </row>
    <row r="1336" spans="1:8" ht="30" customHeight="1" thickBot="1" x14ac:dyDescent="0.3">
      <c r="A1336" s="313">
        <f>+A1335+1</f>
        <v>550</v>
      </c>
      <c r="B1336" s="52" t="s">
        <v>1669</v>
      </c>
      <c r="C1336" s="108" t="s">
        <v>1674</v>
      </c>
      <c r="D1336" s="109"/>
      <c r="E1336" s="110"/>
      <c r="F1336" s="78" t="s">
        <v>1675</v>
      </c>
      <c r="G1336" s="107" t="str">
        <f>+VLOOKUP(550,prueba!$D$2:$E$733,2,FALSE)</f>
        <v>JURIDICO - CONTRATACIÓN</v>
      </c>
      <c r="H1336" s="52" t="s">
        <v>1676</v>
      </c>
    </row>
    <row r="1337" spans="1:8" ht="30" customHeight="1" x14ac:dyDescent="0.25">
      <c r="A1337" s="76">
        <f>+A1336+1</f>
        <v>551</v>
      </c>
      <c r="B1337" s="50" t="s">
        <v>1677</v>
      </c>
      <c r="C1337" s="63" t="s">
        <v>1678</v>
      </c>
      <c r="D1337" s="64"/>
      <c r="E1337" s="65"/>
      <c r="F1337" s="56" t="s">
        <v>1679</v>
      </c>
      <c r="G1337" s="84" t="str">
        <f>+VLOOKUP(551,prueba!$D$2:$E$733,2,FALSE)</f>
        <v>JURÍDICA - CONTRATACIÓN</v>
      </c>
      <c r="H1337" s="50" t="s">
        <v>1680</v>
      </c>
    </row>
    <row r="1338" spans="1:8" ht="30" customHeight="1" x14ac:dyDescent="0.25">
      <c r="A1338" s="312"/>
      <c r="B1338" s="86"/>
      <c r="C1338" s="53"/>
      <c r="D1338" s="54"/>
      <c r="E1338" s="55"/>
      <c r="F1338" s="56"/>
      <c r="G1338" s="85"/>
      <c r="H1338" s="86"/>
    </row>
    <row r="1339" spans="1:8" ht="30" customHeight="1" x14ac:dyDescent="0.25">
      <c r="A1339" s="312"/>
      <c r="B1339" s="86"/>
      <c r="C1339" s="53" t="s">
        <v>1681</v>
      </c>
      <c r="D1339" s="54"/>
      <c r="E1339" s="55"/>
      <c r="F1339" s="56" t="s">
        <v>1682</v>
      </c>
      <c r="G1339" s="85"/>
      <c r="H1339" s="86"/>
    </row>
    <row r="1340" spans="1:8" ht="30" customHeight="1" x14ac:dyDescent="0.25">
      <c r="A1340" s="312"/>
      <c r="B1340" s="86"/>
      <c r="C1340" s="53"/>
      <c r="D1340" s="54"/>
      <c r="E1340" s="55"/>
      <c r="F1340" s="45"/>
      <c r="G1340" s="85"/>
      <c r="H1340" s="86"/>
    </row>
    <row r="1341" spans="1:8" ht="30" customHeight="1" thickBot="1" x14ac:dyDescent="0.3">
      <c r="A1341" s="83"/>
      <c r="B1341" s="91"/>
      <c r="C1341" s="88" t="s">
        <v>1683</v>
      </c>
      <c r="D1341" s="89"/>
      <c r="E1341" s="90"/>
      <c r="F1341" s="46"/>
      <c r="G1341" s="77"/>
      <c r="H1341" s="91"/>
    </row>
    <row r="1342" spans="1:8" ht="30" customHeight="1" x14ac:dyDescent="0.25">
      <c r="A1342" s="76">
        <f>+A1337+1</f>
        <v>552</v>
      </c>
      <c r="B1342" s="50" t="s">
        <v>1677</v>
      </c>
      <c r="C1342" s="63" t="s">
        <v>1684</v>
      </c>
      <c r="D1342" s="64"/>
      <c r="E1342" s="65"/>
      <c r="F1342" s="84" t="s">
        <v>1685</v>
      </c>
      <c r="G1342" s="84" t="str">
        <f>+VLOOKUP(552,prueba!$D$2:$E$733,2,FALSE)</f>
        <v>TÉCNICA</v>
      </c>
      <c r="H1342" s="50" t="s">
        <v>8233</v>
      </c>
    </row>
    <row r="1343" spans="1:8" ht="30" customHeight="1" x14ac:dyDescent="0.25">
      <c r="A1343" s="312"/>
      <c r="B1343" s="86"/>
      <c r="C1343" s="53"/>
      <c r="D1343" s="54"/>
      <c r="E1343" s="55"/>
      <c r="F1343" s="85"/>
      <c r="G1343" s="85"/>
      <c r="H1343" s="86"/>
    </row>
    <row r="1344" spans="1:8" ht="30" customHeight="1" x14ac:dyDescent="0.25">
      <c r="A1344" s="312"/>
      <c r="B1344" s="86"/>
      <c r="C1344" s="112" t="s">
        <v>1686</v>
      </c>
      <c r="D1344" s="113"/>
      <c r="E1344" s="114"/>
      <c r="F1344" s="85"/>
      <c r="G1344" s="85"/>
      <c r="H1344" s="86"/>
    </row>
    <row r="1345" spans="1:8" ht="30" customHeight="1" x14ac:dyDescent="0.25">
      <c r="A1345" s="312"/>
      <c r="B1345" s="86"/>
      <c r="C1345" s="53" t="s">
        <v>575</v>
      </c>
      <c r="D1345" s="54"/>
      <c r="E1345" s="55"/>
      <c r="F1345" s="85"/>
      <c r="G1345" s="85"/>
      <c r="H1345" s="86"/>
    </row>
    <row r="1346" spans="1:8" ht="30" customHeight="1" x14ac:dyDescent="0.25">
      <c r="A1346" s="312"/>
      <c r="B1346" s="86"/>
      <c r="C1346" s="112" t="s">
        <v>1687</v>
      </c>
      <c r="D1346" s="113"/>
      <c r="E1346" s="114"/>
      <c r="F1346" s="85"/>
      <c r="G1346" s="85"/>
      <c r="H1346" s="86"/>
    </row>
    <row r="1347" spans="1:8" ht="30" customHeight="1" x14ac:dyDescent="0.25">
      <c r="A1347" s="312"/>
      <c r="B1347" s="86"/>
      <c r="C1347" s="53"/>
      <c r="D1347" s="54"/>
      <c r="E1347" s="55"/>
      <c r="F1347" s="85"/>
      <c r="G1347" s="85"/>
      <c r="H1347" s="86"/>
    </row>
    <row r="1348" spans="1:8" ht="30" customHeight="1" thickBot="1" x14ac:dyDescent="0.3">
      <c r="A1348" s="83"/>
      <c r="B1348" s="91"/>
      <c r="C1348" s="88" t="s">
        <v>1688</v>
      </c>
      <c r="D1348" s="89"/>
      <c r="E1348" s="90"/>
      <c r="F1348" s="77"/>
      <c r="G1348" s="77"/>
      <c r="H1348" s="91"/>
    </row>
    <row r="1349" spans="1:8" ht="30" customHeight="1" x14ac:dyDescent="0.25">
      <c r="A1349" s="76">
        <f>+A1342+1</f>
        <v>553</v>
      </c>
      <c r="B1349" s="50" t="s">
        <v>1677</v>
      </c>
      <c r="C1349" s="63" t="s">
        <v>1689</v>
      </c>
      <c r="D1349" s="64"/>
      <c r="E1349" s="65"/>
      <c r="F1349" s="84" t="s">
        <v>1690</v>
      </c>
      <c r="G1349" s="84" t="str">
        <f>+VLOOKUP(553,prueba!$D$2:$E$733,2,FALSE)</f>
        <v>JURÍDICO – CONTRATACIÓN Y ESTRUCTURACIÓN</v>
      </c>
      <c r="H1349" s="50" t="s">
        <v>1691</v>
      </c>
    </row>
    <row r="1350" spans="1:8" ht="30" customHeight="1" x14ac:dyDescent="0.25">
      <c r="A1350" s="312"/>
      <c r="B1350" s="86"/>
      <c r="C1350" s="53"/>
      <c r="D1350" s="54"/>
      <c r="E1350" s="55"/>
      <c r="F1350" s="85"/>
      <c r="G1350" s="85"/>
      <c r="H1350" s="86"/>
    </row>
    <row r="1351" spans="1:8" ht="30" customHeight="1" x14ac:dyDescent="0.25">
      <c r="A1351" s="312"/>
      <c r="B1351" s="86"/>
      <c r="C1351" s="112" t="s">
        <v>1692</v>
      </c>
      <c r="D1351" s="113"/>
      <c r="E1351" s="114"/>
      <c r="F1351" s="85"/>
      <c r="G1351" s="85"/>
      <c r="H1351" s="86"/>
    </row>
    <row r="1352" spans="1:8" ht="30" customHeight="1" x14ac:dyDescent="0.25">
      <c r="A1352" s="312"/>
      <c r="B1352" s="86"/>
      <c r="C1352" s="53"/>
      <c r="D1352" s="54"/>
      <c r="E1352" s="55"/>
      <c r="F1352" s="85"/>
      <c r="G1352" s="85"/>
      <c r="H1352" s="86"/>
    </row>
    <row r="1353" spans="1:8" ht="30" customHeight="1" thickBot="1" x14ac:dyDescent="0.3">
      <c r="A1353" s="83"/>
      <c r="B1353" s="91"/>
      <c r="C1353" s="88" t="s">
        <v>9727</v>
      </c>
      <c r="D1353" s="89"/>
      <c r="E1353" s="90"/>
      <c r="F1353" s="77"/>
      <c r="G1353" s="77"/>
      <c r="H1353" s="91"/>
    </row>
    <row r="1354" spans="1:8" ht="30" customHeight="1" x14ac:dyDescent="0.25">
      <c r="A1354" s="76">
        <f>+A1349+1</f>
        <v>554</v>
      </c>
      <c r="B1354" s="50" t="s">
        <v>1677</v>
      </c>
      <c r="C1354" s="63" t="s">
        <v>1693</v>
      </c>
      <c r="D1354" s="64"/>
      <c r="E1354" s="65"/>
      <c r="F1354" s="84" t="s">
        <v>1694</v>
      </c>
      <c r="G1354" s="84" t="str">
        <f>+VLOOKUP(554,prueba!$D$2:$E$733,2,FALSE)</f>
        <v>JURÍDICA – ESTRUCTURACIÓN Y CONTRATACIÓN</v>
      </c>
      <c r="H1354" s="50" t="s">
        <v>1695</v>
      </c>
    </row>
    <row r="1355" spans="1:8" ht="30" customHeight="1" x14ac:dyDescent="0.25">
      <c r="A1355" s="312"/>
      <c r="B1355" s="86"/>
      <c r="C1355" s="53"/>
      <c r="D1355" s="54"/>
      <c r="E1355" s="55"/>
      <c r="F1355" s="85"/>
      <c r="G1355" s="85"/>
      <c r="H1355" s="86"/>
    </row>
    <row r="1356" spans="1:8" ht="30" customHeight="1" thickBot="1" x14ac:dyDescent="0.3">
      <c r="A1356" s="83"/>
      <c r="B1356" s="91"/>
      <c r="C1356" s="88" t="s">
        <v>1696</v>
      </c>
      <c r="D1356" s="89"/>
      <c r="E1356" s="90"/>
      <c r="F1356" s="77"/>
      <c r="G1356" s="77"/>
      <c r="H1356" s="91"/>
    </row>
    <row r="1357" spans="1:8" ht="30" customHeight="1" x14ac:dyDescent="0.25">
      <c r="A1357" s="76">
        <f>+A1354+1</f>
        <v>555</v>
      </c>
      <c r="B1357" s="50" t="s">
        <v>1677</v>
      </c>
      <c r="C1357" s="63" t="s">
        <v>1697</v>
      </c>
      <c r="D1357" s="64"/>
      <c r="E1357" s="65"/>
      <c r="F1357" s="84" t="s">
        <v>1698</v>
      </c>
      <c r="G1357" s="84" t="str">
        <f>+VLOOKUP(555,prueba!$D$2:$E$733,2,FALSE)</f>
        <v>TÉCNICA</v>
      </c>
      <c r="H1357" s="50" t="s">
        <v>1558</v>
      </c>
    </row>
    <row r="1358" spans="1:8" ht="30" customHeight="1" x14ac:dyDescent="0.25">
      <c r="A1358" s="312"/>
      <c r="B1358" s="86"/>
      <c r="C1358" s="53"/>
      <c r="D1358" s="54"/>
      <c r="E1358" s="55"/>
      <c r="F1358" s="85"/>
      <c r="G1358" s="85"/>
      <c r="H1358" s="86"/>
    </row>
    <row r="1359" spans="1:8" ht="30" customHeight="1" thickBot="1" x14ac:dyDescent="0.3">
      <c r="A1359" s="83"/>
      <c r="B1359" s="91"/>
      <c r="C1359" s="88" t="s">
        <v>1699</v>
      </c>
      <c r="D1359" s="89"/>
      <c r="E1359" s="90"/>
      <c r="F1359" s="77"/>
      <c r="G1359" s="77"/>
      <c r="H1359" s="91"/>
    </row>
    <row r="1360" spans="1:8" ht="30" customHeight="1" x14ac:dyDescent="0.25">
      <c r="A1360" s="76">
        <f>+A1357+1</f>
        <v>556</v>
      </c>
      <c r="B1360" s="50" t="s">
        <v>1677</v>
      </c>
      <c r="C1360" s="63" t="s">
        <v>1697</v>
      </c>
      <c r="D1360" s="64"/>
      <c r="E1360" s="65"/>
      <c r="F1360" s="84" t="s">
        <v>1698</v>
      </c>
      <c r="G1360" s="84" t="str">
        <f>+VLOOKUP(556,prueba!$D$2:$E$733,2,FALSE)</f>
        <v>TÉCNICA</v>
      </c>
      <c r="H1360" s="50" t="s">
        <v>1563</v>
      </c>
    </row>
    <row r="1361" spans="1:8" ht="30" customHeight="1" x14ac:dyDescent="0.25">
      <c r="A1361" s="312"/>
      <c r="B1361" s="86"/>
      <c r="C1361" s="53"/>
      <c r="D1361" s="54"/>
      <c r="E1361" s="55"/>
      <c r="F1361" s="85"/>
      <c r="G1361" s="85"/>
      <c r="H1361" s="86"/>
    </row>
    <row r="1362" spans="1:8" ht="30" customHeight="1" x14ac:dyDescent="0.25">
      <c r="A1362" s="312"/>
      <c r="B1362" s="86"/>
      <c r="C1362" s="53" t="s">
        <v>1700</v>
      </c>
      <c r="D1362" s="54"/>
      <c r="E1362" s="55"/>
      <c r="F1362" s="85"/>
      <c r="G1362" s="85"/>
      <c r="H1362" s="86"/>
    </row>
    <row r="1363" spans="1:8" ht="30" customHeight="1" x14ac:dyDescent="0.25">
      <c r="A1363" s="312"/>
      <c r="B1363" s="86"/>
      <c r="C1363" s="53"/>
      <c r="D1363" s="54"/>
      <c r="E1363" s="55"/>
      <c r="F1363" s="85"/>
      <c r="G1363" s="85"/>
      <c r="H1363" s="86"/>
    </row>
    <row r="1364" spans="1:8" ht="30" customHeight="1" x14ac:dyDescent="0.25">
      <c r="A1364" s="312"/>
      <c r="B1364" s="86"/>
      <c r="C1364" s="53" t="s">
        <v>1701</v>
      </c>
      <c r="D1364" s="54"/>
      <c r="E1364" s="55"/>
      <c r="F1364" s="85"/>
      <c r="G1364" s="85"/>
      <c r="H1364" s="86"/>
    </row>
    <row r="1365" spans="1:8" ht="30" customHeight="1" x14ac:dyDescent="0.25">
      <c r="A1365" s="312"/>
      <c r="B1365" s="86"/>
      <c r="C1365" s="53"/>
      <c r="D1365" s="54"/>
      <c r="E1365" s="55"/>
      <c r="F1365" s="85"/>
      <c r="G1365" s="85"/>
      <c r="H1365" s="86"/>
    </row>
    <row r="1366" spans="1:8" ht="30" customHeight="1" thickBot="1" x14ac:dyDescent="0.3">
      <c r="A1366" s="83"/>
      <c r="B1366" s="91"/>
      <c r="C1366" s="88" t="s">
        <v>1702</v>
      </c>
      <c r="D1366" s="89"/>
      <c r="E1366" s="90"/>
      <c r="F1366" s="77"/>
      <c r="G1366" s="77"/>
      <c r="H1366" s="91"/>
    </row>
    <row r="1367" spans="1:8" ht="30" customHeight="1" x14ac:dyDescent="0.25">
      <c r="A1367" s="76">
        <f>+A1360+1</f>
        <v>557</v>
      </c>
      <c r="B1367" s="50" t="s">
        <v>1677</v>
      </c>
      <c r="C1367" s="63" t="s">
        <v>9728</v>
      </c>
      <c r="D1367" s="64"/>
      <c r="E1367" s="65"/>
      <c r="F1367" s="84" t="s">
        <v>1703</v>
      </c>
      <c r="G1367" s="84" t="str">
        <f>+VLOOKUP(557,prueba!$D$2:$E$733,2,FALSE)</f>
        <v>TÉCNICA</v>
      </c>
      <c r="H1367" s="50" t="s">
        <v>1704</v>
      </c>
    </row>
    <row r="1368" spans="1:8" ht="30" customHeight="1" x14ac:dyDescent="0.25">
      <c r="A1368" s="312"/>
      <c r="B1368" s="86"/>
      <c r="C1368" s="53"/>
      <c r="D1368" s="54"/>
      <c r="E1368" s="55"/>
      <c r="F1368" s="85"/>
      <c r="G1368" s="85"/>
      <c r="H1368" s="86"/>
    </row>
    <row r="1369" spans="1:8" ht="30" customHeight="1" x14ac:dyDescent="0.25">
      <c r="A1369" s="312"/>
      <c r="B1369" s="86"/>
      <c r="C1369" s="53" t="s">
        <v>9729</v>
      </c>
      <c r="D1369" s="54"/>
      <c r="E1369" s="55"/>
      <c r="F1369" s="85"/>
      <c r="G1369" s="85"/>
      <c r="H1369" s="86"/>
    </row>
    <row r="1370" spans="1:8" ht="30" customHeight="1" x14ac:dyDescent="0.25">
      <c r="A1370" s="312"/>
      <c r="B1370" s="86"/>
      <c r="C1370" s="53"/>
      <c r="D1370" s="54"/>
      <c r="E1370" s="55"/>
      <c r="F1370" s="85"/>
      <c r="G1370" s="85"/>
      <c r="H1370" s="86"/>
    </row>
    <row r="1371" spans="1:8" ht="30" customHeight="1" x14ac:dyDescent="0.25">
      <c r="A1371" s="312"/>
      <c r="B1371" s="86"/>
      <c r="C1371" s="53" t="s">
        <v>1705</v>
      </c>
      <c r="D1371" s="54"/>
      <c r="E1371" s="55"/>
      <c r="F1371" s="85"/>
      <c r="G1371" s="85"/>
      <c r="H1371" s="86"/>
    </row>
    <row r="1372" spans="1:8" ht="30" customHeight="1" x14ac:dyDescent="0.25">
      <c r="A1372" s="312"/>
      <c r="B1372" s="86"/>
      <c r="C1372" s="53"/>
      <c r="D1372" s="54"/>
      <c r="E1372" s="55"/>
      <c r="F1372" s="85"/>
      <c r="G1372" s="85"/>
      <c r="H1372" s="86"/>
    </row>
    <row r="1373" spans="1:8" ht="30" customHeight="1" x14ac:dyDescent="0.25">
      <c r="A1373" s="312"/>
      <c r="B1373" s="86"/>
      <c r="C1373" s="53" t="s">
        <v>1706</v>
      </c>
      <c r="D1373" s="54"/>
      <c r="E1373" s="55"/>
      <c r="F1373" s="85"/>
      <c r="G1373" s="85"/>
      <c r="H1373" s="86"/>
    </row>
    <row r="1374" spans="1:8" ht="30" customHeight="1" x14ac:dyDescent="0.25">
      <c r="A1374" s="312"/>
      <c r="B1374" s="86"/>
      <c r="C1374" s="53"/>
      <c r="D1374" s="54"/>
      <c r="E1374" s="55"/>
      <c r="F1374" s="85"/>
      <c r="G1374" s="85"/>
      <c r="H1374" s="86"/>
    </row>
    <row r="1375" spans="1:8" ht="30" customHeight="1" x14ac:dyDescent="0.25">
      <c r="A1375" s="312"/>
      <c r="B1375" s="86"/>
      <c r="C1375" s="53" t="s">
        <v>1707</v>
      </c>
      <c r="D1375" s="54"/>
      <c r="E1375" s="55"/>
      <c r="F1375" s="85"/>
      <c r="G1375" s="85"/>
      <c r="H1375" s="86"/>
    </row>
    <row r="1376" spans="1:8" ht="30" customHeight="1" x14ac:dyDescent="0.25">
      <c r="A1376" s="312"/>
      <c r="B1376" s="86"/>
      <c r="C1376" s="53"/>
      <c r="D1376" s="54"/>
      <c r="E1376" s="55"/>
      <c r="F1376" s="85"/>
      <c r="G1376" s="85"/>
      <c r="H1376" s="86"/>
    </row>
    <row r="1377" spans="1:8" ht="30" customHeight="1" x14ac:dyDescent="0.25">
      <c r="A1377" s="312"/>
      <c r="B1377" s="86"/>
      <c r="C1377" s="53" t="s">
        <v>1708</v>
      </c>
      <c r="D1377" s="54"/>
      <c r="E1377" s="55"/>
      <c r="F1377" s="85"/>
      <c r="G1377" s="85"/>
      <c r="H1377" s="86"/>
    </row>
    <row r="1378" spans="1:8" ht="30" customHeight="1" x14ac:dyDescent="0.25">
      <c r="A1378" s="312"/>
      <c r="B1378" s="86"/>
      <c r="C1378" s="53" t="s">
        <v>1709</v>
      </c>
      <c r="D1378" s="54"/>
      <c r="E1378" s="55"/>
      <c r="F1378" s="85"/>
      <c r="G1378" s="85"/>
      <c r="H1378" s="86"/>
    </row>
    <row r="1379" spans="1:8" ht="30" customHeight="1" thickBot="1" x14ac:dyDescent="0.3">
      <c r="A1379" s="83"/>
      <c r="B1379" s="91"/>
      <c r="C1379" s="88" t="s">
        <v>1710</v>
      </c>
      <c r="D1379" s="89"/>
      <c r="E1379" s="90"/>
      <c r="F1379" s="77"/>
      <c r="G1379" s="77"/>
      <c r="H1379" s="91"/>
    </row>
    <row r="1380" spans="1:8" ht="30" customHeight="1" x14ac:dyDescent="0.25">
      <c r="A1380" s="76">
        <f>+A1367+1</f>
        <v>558</v>
      </c>
      <c r="B1380" s="50" t="s">
        <v>1677</v>
      </c>
      <c r="C1380" s="63" t="s">
        <v>1711</v>
      </c>
      <c r="D1380" s="64"/>
      <c r="E1380" s="65"/>
      <c r="F1380" s="84" t="s">
        <v>1712</v>
      </c>
      <c r="G1380" s="84" t="str">
        <f>+VLOOKUP(558,prueba!$D$2:$E$733,2,FALSE)</f>
        <v>FINANCIERA</v>
      </c>
      <c r="H1380" s="50" t="s">
        <v>8391</v>
      </c>
    </row>
    <row r="1381" spans="1:8" ht="30" customHeight="1" x14ac:dyDescent="0.25">
      <c r="A1381" s="312"/>
      <c r="B1381" s="86"/>
      <c r="C1381" s="53"/>
      <c r="D1381" s="54"/>
      <c r="E1381" s="55"/>
      <c r="F1381" s="85"/>
      <c r="G1381" s="85"/>
      <c r="H1381" s="86"/>
    </row>
    <row r="1382" spans="1:8" ht="30" customHeight="1" x14ac:dyDescent="0.25">
      <c r="A1382" s="312"/>
      <c r="B1382" s="86"/>
      <c r="C1382" s="53" t="s">
        <v>1713</v>
      </c>
      <c r="D1382" s="54"/>
      <c r="E1382" s="55"/>
      <c r="F1382" s="85"/>
      <c r="G1382" s="85"/>
      <c r="H1382" s="86"/>
    </row>
    <row r="1383" spans="1:8" ht="30" customHeight="1" x14ac:dyDescent="0.25">
      <c r="A1383" s="312"/>
      <c r="B1383" s="86"/>
      <c r="C1383" s="53"/>
      <c r="D1383" s="54"/>
      <c r="E1383" s="55"/>
      <c r="F1383" s="85"/>
      <c r="G1383" s="85"/>
      <c r="H1383" s="86"/>
    </row>
    <row r="1384" spans="1:8" ht="30" customHeight="1" x14ac:dyDescent="0.25">
      <c r="A1384" s="312"/>
      <c r="B1384" s="86"/>
      <c r="C1384" s="53" t="s">
        <v>1714</v>
      </c>
      <c r="D1384" s="54"/>
      <c r="E1384" s="55"/>
      <c r="F1384" s="85"/>
      <c r="G1384" s="85"/>
      <c r="H1384" s="86"/>
    </row>
    <row r="1385" spans="1:8" ht="30" customHeight="1" x14ac:dyDescent="0.25">
      <c r="A1385" s="312"/>
      <c r="B1385" s="86"/>
      <c r="C1385" s="53" t="s">
        <v>1715</v>
      </c>
      <c r="D1385" s="54"/>
      <c r="E1385" s="55"/>
      <c r="F1385" s="85"/>
      <c r="G1385" s="85"/>
      <c r="H1385" s="86"/>
    </row>
    <row r="1386" spans="1:8" ht="30" customHeight="1" x14ac:dyDescent="0.25">
      <c r="A1386" s="312"/>
      <c r="B1386" s="86"/>
      <c r="C1386" s="53"/>
      <c r="D1386" s="54"/>
      <c r="E1386" s="55"/>
      <c r="F1386" s="85"/>
      <c r="G1386" s="85"/>
      <c r="H1386" s="86"/>
    </row>
    <row r="1387" spans="1:8" ht="30" customHeight="1" x14ac:dyDescent="0.25">
      <c r="A1387" s="312"/>
      <c r="B1387" s="86"/>
      <c r="C1387" s="53" t="s">
        <v>1716</v>
      </c>
      <c r="D1387" s="54"/>
      <c r="E1387" s="55"/>
      <c r="F1387" s="85"/>
      <c r="G1387" s="85"/>
      <c r="H1387" s="86"/>
    </row>
    <row r="1388" spans="1:8" ht="30" customHeight="1" x14ac:dyDescent="0.25">
      <c r="A1388" s="312"/>
      <c r="B1388" s="86"/>
      <c r="C1388" s="53"/>
      <c r="D1388" s="54"/>
      <c r="E1388" s="55"/>
      <c r="F1388" s="85"/>
      <c r="G1388" s="85"/>
      <c r="H1388" s="86"/>
    </row>
    <row r="1389" spans="1:8" ht="30" customHeight="1" thickBot="1" x14ac:dyDescent="0.3">
      <c r="A1389" s="83"/>
      <c r="B1389" s="91"/>
      <c r="C1389" s="88" t="s">
        <v>1717</v>
      </c>
      <c r="D1389" s="89"/>
      <c r="E1389" s="90"/>
      <c r="F1389" s="77"/>
      <c r="G1389" s="77"/>
      <c r="H1389" s="91"/>
    </row>
    <row r="1390" spans="1:8" ht="30" customHeight="1" x14ac:dyDescent="0.25">
      <c r="A1390" s="76">
        <f>+A1380+1</f>
        <v>559</v>
      </c>
      <c r="B1390" s="50" t="s">
        <v>1677</v>
      </c>
      <c r="C1390" s="63" t="s">
        <v>1718</v>
      </c>
      <c r="D1390" s="64"/>
      <c r="E1390" s="65"/>
      <c r="F1390" s="84" t="s">
        <v>1719</v>
      </c>
      <c r="G1390" s="84" t="str">
        <f>+VLOOKUP(559,prueba!$D$2:$E$733,2,FALSE)</f>
        <v>FINANCIERA</v>
      </c>
      <c r="H1390" s="50" t="s">
        <v>8392</v>
      </c>
    </row>
    <row r="1391" spans="1:8" ht="30" customHeight="1" x14ac:dyDescent="0.25">
      <c r="A1391" s="312"/>
      <c r="B1391" s="86"/>
      <c r="C1391" s="53"/>
      <c r="D1391" s="54"/>
      <c r="E1391" s="55"/>
      <c r="F1391" s="85"/>
      <c r="G1391" s="85"/>
      <c r="H1391" s="86"/>
    </row>
    <row r="1392" spans="1:8" ht="30" customHeight="1" x14ac:dyDescent="0.25">
      <c r="A1392" s="312"/>
      <c r="B1392" s="86"/>
      <c r="C1392" s="53" t="s">
        <v>1720</v>
      </c>
      <c r="D1392" s="54"/>
      <c r="E1392" s="55"/>
      <c r="F1392" s="85"/>
      <c r="G1392" s="85"/>
      <c r="H1392" s="86"/>
    </row>
    <row r="1393" spans="1:8" ht="30" customHeight="1" x14ac:dyDescent="0.25">
      <c r="A1393" s="312"/>
      <c r="B1393" s="86"/>
      <c r="C1393" s="53"/>
      <c r="D1393" s="54"/>
      <c r="E1393" s="55"/>
      <c r="F1393" s="85"/>
      <c r="G1393" s="85"/>
      <c r="H1393" s="86"/>
    </row>
    <row r="1394" spans="1:8" ht="30" customHeight="1" x14ac:dyDescent="0.25">
      <c r="A1394" s="312"/>
      <c r="B1394" s="86"/>
      <c r="C1394" s="53" t="s">
        <v>1721</v>
      </c>
      <c r="D1394" s="54"/>
      <c r="E1394" s="55"/>
      <c r="F1394" s="85"/>
      <c r="G1394" s="85"/>
      <c r="H1394" s="86"/>
    </row>
    <row r="1395" spans="1:8" ht="30" customHeight="1" x14ac:dyDescent="0.25">
      <c r="A1395" s="312"/>
      <c r="B1395" s="86"/>
      <c r="C1395" s="53"/>
      <c r="D1395" s="54"/>
      <c r="E1395" s="55"/>
      <c r="F1395" s="85"/>
      <c r="G1395" s="85"/>
      <c r="H1395" s="86"/>
    </row>
    <row r="1396" spans="1:8" ht="30" customHeight="1" thickBot="1" x14ac:dyDescent="0.3">
      <c r="A1396" s="83"/>
      <c r="B1396" s="91"/>
      <c r="C1396" s="88" t="s">
        <v>1717</v>
      </c>
      <c r="D1396" s="89"/>
      <c r="E1396" s="90"/>
      <c r="F1396" s="77"/>
      <c r="G1396" s="77"/>
      <c r="H1396" s="91"/>
    </row>
    <row r="1397" spans="1:8" ht="30" customHeight="1" x14ac:dyDescent="0.25">
      <c r="A1397" s="76">
        <f>+A1390+1</f>
        <v>560</v>
      </c>
      <c r="B1397" s="50" t="s">
        <v>1677</v>
      </c>
      <c r="C1397" s="63" t="s">
        <v>1722</v>
      </c>
      <c r="D1397" s="64"/>
      <c r="E1397" s="65"/>
      <c r="F1397" s="84" t="s">
        <v>1723</v>
      </c>
      <c r="G1397" s="84" t="str">
        <f>+VLOOKUP(560,prueba!$D$2:$E$733,2,FALSE)</f>
        <v>FINANCIERA</v>
      </c>
      <c r="H1397" s="50" t="s">
        <v>7121</v>
      </c>
    </row>
    <row r="1398" spans="1:8" ht="30" customHeight="1" x14ac:dyDescent="0.25">
      <c r="A1398" s="312"/>
      <c r="B1398" s="86"/>
      <c r="C1398" s="53"/>
      <c r="D1398" s="54"/>
      <c r="E1398" s="55"/>
      <c r="F1398" s="85"/>
      <c r="G1398" s="85"/>
      <c r="H1398" s="86"/>
    </row>
    <row r="1399" spans="1:8" ht="30" customHeight="1" x14ac:dyDescent="0.25">
      <c r="A1399" s="312"/>
      <c r="B1399" s="86"/>
      <c r="C1399" s="53"/>
      <c r="D1399" s="54"/>
      <c r="E1399" s="55"/>
      <c r="F1399" s="85"/>
      <c r="G1399" s="85"/>
      <c r="H1399" s="86"/>
    </row>
    <row r="1400" spans="1:8" ht="30" customHeight="1" x14ac:dyDescent="0.25">
      <c r="A1400" s="312"/>
      <c r="B1400" s="86"/>
      <c r="C1400" s="53" t="s">
        <v>1724</v>
      </c>
      <c r="D1400" s="54"/>
      <c r="E1400" s="55"/>
      <c r="F1400" s="85"/>
      <c r="G1400" s="85"/>
      <c r="H1400" s="86"/>
    </row>
    <row r="1401" spans="1:8" ht="30" customHeight="1" thickBot="1" x14ac:dyDescent="0.3">
      <c r="A1401" s="83"/>
      <c r="B1401" s="91"/>
      <c r="C1401" s="88" t="s">
        <v>1725</v>
      </c>
      <c r="D1401" s="89"/>
      <c r="E1401" s="90"/>
      <c r="F1401" s="77"/>
      <c r="G1401" s="77"/>
      <c r="H1401" s="91"/>
    </row>
    <row r="1402" spans="1:8" ht="30" customHeight="1" thickBot="1" x14ac:dyDescent="0.3">
      <c r="A1402" s="313">
        <f>+A1397+1</f>
        <v>561</v>
      </c>
      <c r="B1402" s="52" t="s">
        <v>1677</v>
      </c>
      <c r="C1402" s="108" t="s">
        <v>1726</v>
      </c>
      <c r="D1402" s="109"/>
      <c r="E1402" s="110"/>
      <c r="F1402" s="78" t="s">
        <v>1727</v>
      </c>
      <c r="G1402" s="107" t="str">
        <f>+VLOOKUP(561,prueba!$D$2:$E$733,2,FALSE)</f>
        <v>FINANCIERA</v>
      </c>
      <c r="H1402" s="52" t="s">
        <v>1728</v>
      </c>
    </row>
    <row r="1403" spans="1:8" ht="30" customHeight="1" x14ac:dyDescent="0.25">
      <c r="A1403" s="76">
        <f>+A1402+1</f>
        <v>562</v>
      </c>
      <c r="B1403" s="50" t="s">
        <v>1677</v>
      </c>
      <c r="C1403" s="63" t="s">
        <v>1729</v>
      </c>
      <c r="D1403" s="64"/>
      <c r="E1403" s="65"/>
      <c r="F1403" s="84" t="s">
        <v>1022</v>
      </c>
      <c r="G1403" s="84" t="str">
        <f>+VLOOKUP(562,prueba!$D$2:$E$733,2,FALSE)</f>
        <v>FINANCIERA</v>
      </c>
      <c r="H1403" s="50" t="s">
        <v>8393</v>
      </c>
    </row>
    <row r="1404" spans="1:8" ht="30" customHeight="1" x14ac:dyDescent="0.25">
      <c r="A1404" s="312"/>
      <c r="B1404" s="86"/>
      <c r="C1404" s="53"/>
      <c r="D1404" s="54"/>
      <c r="E1404" s="55"/>
      <c r="F1404" s="85"/>
      <c r="G1404" s="85"/>
      <c r="H1404" s="86"/>
    </row>
    <row r="1405" spans="1:8" ht="30" customHeight="1" x14ac:dyDescent="0.25">
      <c r="A1405" s="312"/>
      <c r="B1405" s="86"/>
      <c r="C1405" s="53"/>
      <c r="D1405" s="54"/>
      <c r="E1405" s="55"/>
      <c r="F1405" s="85"/>
      <c r="G1405" s="85"/>
      <c r="H1405" s="86"/>
    </row>
    <row r="1406" spans="1:8" ht="30" customHeight="1" x14ac:dyDescent="0.25">
      <c r="A1406" s="312"/>
      <c r="B1406" s="86"/>
      <c r="C1406" s="53"/>
      <c r="D1406" s="54"/>
      <c r="E1406" s="55"/>
      <c r="F1406" s="85"/>
      <c r="G1406" s="85"/>
      <c r="H1406" s="86"/>
    </row>
    <row r="1407" spans="1:8" ht="30" customHeight="1" thickBot="1" x14ac:dyDescent="0.3">
      <c r="A1407" s="83"/>
      <c r="B1407" s="91"/>
      <c r="C1407" s="88"/>
      <c r="D1407" s="89"/>
      <c r="E1407" s="90"/>
      <c r="F1407" s="77"/>
      <c r="G1407" s="77"/>
      <c r="H1407" s="91"/>
    </row>
    <row r="1408" spans="1:8" ht="30" customHeight="1" thickBot="1" x14ac:dyDescent="0.3">
      <c r="A1408" s="313">
        <f>+A1403+1</f>
        <v>563</v>
      </c>
      <c r="B1408" s="52" t="s">
        <v>1677</v>
      </c>
      <c r="C1408" s="108" t="s">
        <v>1730</v>
      </c>
      <c r="D1408" s="109"/>
      <c r="E1408" s="110"/>
      <c r="F1408" s="78" t="s">
        <v>1731</v>
      </c>
      <c r="G1408" s="107" t="str">
        <f>+VLOOKUP(563,prueba!$D$2:$E$733,2,FALSE)</f>
        <v>FINANCIERA SEGUROS</v>
      </c>
      <c r="H1408" s="52" t="s">
        <v>8315</v>
      </c>
    </row>
    <row r="1409" spans="1:8" ht="30" customHeight="1" x14ac:dyDescent="0.25">
      <c r="A1409" s="76">
        <f>+A1408+1</f>
        <v>564</v>
      </c>
      <c r="B1409" s="50" t="s">
        <v>1677</v>
      </c>
      <c r="C1409" s="63" t="s">
        <v>1733</v>
      </c>
      <c r="D1409" s="64"/>
      <c r="E1409" s="65"/>
      <c r="F1409" s="84" t="s">
        <v>1006</v>
      </c>
      <c r="G1409" s="84" t="str">
        <f>+VLOOKUP(564,prueba!$D$2:$E$733,2,FALSE)</f>
        <v>FINANCIERA SEGUROS</v>
      </c>
      <c r="H1409" s="50" t="s">
        <v>359</v>
      </c>
    </row>
    <row r="1410" spans="1:8" ht="30" customHeight="1" x14ac:dyDescent="0.25">
      <c r="A1410" s="312"/>
      <c r="B1410" s="86"/>
      <c r="C1410" s="53" t="s">
        <v>1734</v>
      </c>
      <c r="D1410" s="54"/>
      <c r="E1410" s="55"/>
      <c r="F1410" s="85"/>
      <c r="G1410" s="85"/>
      <c r="H1410" s="86"/>
    </row>
    <row r="1411" spans="1:8" ht="30" customHeight="1" x14ac:dyDescent="0.25">
      <c r="A1411" s="312"/>
      <c r="B1411" s="86"/>
      <c r="C1411" s="53"/>
      <c r="D1411" s="54"/>
      <c r="E1411" s="55"/>
      <c r="F1411" s="85"/>
      <c r="G1411" s="85"/>
      <c r="H1411" s="86"/>
    </row>
    <row r="1412" spans="1:8" ht="30" customHeight="1" x14ac:dyDescent="0.25">
      <c r="A1412" s="312"/>
      <c r="B1412" s="86"/>
      <c r="C1412" s="66"/>
      <c r="D1412" s="67"/>
      <c r="E1412" s="68"/>
      <c r="F1412" s="85"/>
      <c r="G1412" s="85"/>
      <c r="H1412" s="86"/>
    </row>
    <row r="1413" spans="1:8" ht="30" customHeight="1" x14ac:dyDescent="0.25">
      <c r="A1413" s="312"/>
      <c r="B1413" s="86"/>
      <c r="C1413" s="66"/>
      <c r="D1413" s="67"/>
      <c r="E1413" s="68"/>
      <c r="F1413" s="85"/>
      <c r="G1413" s="85"/>
      <c r="H1413" s="86"/>
    </row>
    <row r="1414" spans="1:8" ht="30" customHeight="1" x14ac:dyDescent="0.25">
      <c r="A1414" s="312"/>
      <c r="B1414" s="86"/>
      <c r="C1414" s="53"/>
      <c r="D1414" s="54"/>
      <c r="E1414" s="55"/>
      <c r="F1414" s="85"/>
      <c r="G1414" s="85"/>
      <c r="H1414" s="86"/>
    </row>
    <row r="1415" spans="1:8" ht="30" customHeight="1" thickBot="1" x14ac:dyDescent="0.3">
      <c r="A1415" s="83"/>
      <c r="B1415" s="91"/>
      <c r="C1415" s="88" t="s">
        <v>1735</v>
      </c>
      <c r="D1415" s="89"/>
      <c r="E1415" s="90"/>
      <c r="F1415" s="77"/>
      <c r="G1415" s="77"/>
      <c r="H1415" s="91"/>
    </row>
    <row r="1416" spans="1:8" ht="30" customHeight="1" thickBot="1" x14ac:dyDescent="0.3">
      <c r="A1416" s="313">
        <f>+A1409+1</f>
        <v>565</v>
      </c>
      <c r="B1416" s="52" t="s">
        <v>1677</v>
      </c>
      <c r="C1416" s="108" t="s">
        <v>1736</v>
      </c>
      <c r="D1416" s="109"/>
      <c r="E1416" s="110"/>
      <c r="F1416" s="78" t="s">
        <v>1737</v>
      </c>
      <c r="G1416" s="107" t="str">
        <f>+VLOOKUP(565,prueba!$D$2:$E$733,2,FALSE)</f>
        <v>FINANCIERA SEGUROS</v>
      </c>
      <c r="H1416" s="52" t="s">
        <v>8316</v>
      </c>
    </row>
    <row r="1417" spans="1:8" ht="30" customHeight="1" thickBot="1" x14ac:dyDescent="0.3">
      <c r="A1417" s="313">
        <f t="shared" ref="A1417:A1427" si="16">+A1416+1</f>
        <v>566</v>
      </c>
      <c r="B1417" s="52" t="s">
        <v>1677</v>
      </c>
      <c r="C1417" s="108" t="s">
        <v>1738</v>
      </c>
      <c r="D1417" s="109"/>
      <c r="E1417" s="110"/>
      <c r="F1417" s="78" t="s">
        <v>1006</v>
      </c>
      <c r="G1417" s="107" t="str">
        <f>+VLOOKUP(566,prueba!$D$2:$E$733,2,FALSE)</f>
        <v>FINANCIERA SEGUROS</v>
      </c>
      <c r="H1417" s="52" t="s">
        <v>1739</v>
      </c>
    </row>
    <row r="1418" spans="1:8" ht="30" customHeight="1" thickBot="1" x14ac:dyDescent="0.3">
      <c r="A1418" s="313">
        <f t="shared" si="16"/>
        <v>567</v>
      </c>
      <c r="B1418" s="52" t="s">
        <v>1677</v>
      </c>
      <c r="C1418" s="108" t="s">
        <v>1740</v>
      </c>
      <c r="D1418" s="109"/>
      <c r="E1418" s="110"/>
      <c r="F1418" s="78" t="s">
        <v>1006</v>
      </c>
      <c r="G1418" s="107" t="str">
        <f>+VLOOKUP(567,prueba!$D$2:$E$733,2,FALSE)</f>
        <v>FINANCIERA SEGUROS</v>
      </c>
      <c r="H1418" s="52" t="s">
        <v>8317</v>
      </c>
    </row>
    <row r="1419" spans="1:8" ht="30" customHeight="1" thickBot="1" x14ac:dyDescent="0.3">
      <c r="A1419" s="313">
        <f t="shared" si="16"/>
        <v>568</v>
      </c>
      <c r="B1419" s="52" t="s">
        <v>1677</v>
      </c>
      <c r="C1419" s="108" t="s">
        <v>1741</v>
      </c>
      <c r="D1419" s="109"/>
      <c r="E1419" s="110"/>
      <c r="F1419" s="78" t="s">
        <v>1742</v>
      </c>
      <c r="G1419" s="107" t="str">
        <f>+VLOOKUP(568,prueba!$D$2:$E$733,2,FALSE)</f>
        <v>FINANCIERA SEGUROS</v>
      </c>
      <c r="H1419" s="52" t="s">
        <v>1743</v>
      </c>
    </row>
    <row r="1420" spans="1:8" ht="30" customHeight="1" thickBot="1" x14ac:dyDescent="0.3">
      <c r="A1420" s="313">
        <f t="shared" si="16"/>
        <v>569</v>
      </c>
      <c r="B1420" s="52" t="s">
        <v>1677</v>
      </c>
      <c r="C1420" s="108" t="s">
        <v>1744</v>
      </c>
      <c r="D1420" s="109"/>
      <c r="E1420" s="110"/>
      <c r="F1420" s="78" t="s">
        <v>1745</v>
      </c>
      <c r="G1420" s="107" t="str">
        <f>+VLOOKUP(569,prueba!$D$2:$E$733,2,FALSE)</f>
        <v>FINANCIERA SEGUROS</v>
      </c>
      <c r="H1420" s="52" t="s">
        <v>7333</v>
      </c>
    </row>
    <row r="1421" spans="1:8" ht="30" customHeight="1" thickBot="1" x14ac:dyDescent="0.3">
      <c r="A1421" s="313">
        <f t="shared" si="16"/>
        <v>570</v>
      </c>
      <c r="B1421" s="52" t="s">
        <v>1677</v>
      </c>
      <c r="C1421" s="108" t="s">
        <v>1746</v>
      </c>
      <c r="D1421" s="109"/>
      <c r="E1421" s="110"/>
      <c r="F1421" s="78" t="s">
        <v>1747</v>
      </c>
      <c r="G1421" s="107" t="str">
        <f>+VLOOKUP(570,prueba!$D$2:$E$733,2,FALSE)</f>
        <v>FINANCIERA SEGUROS</v>
      </c>
      <c r="H1421" s="52" t="s">
        <v>1739</v>
      </c>
    </row>
    <row r="1422" spans="1:8" ht="30" customHeight="1" thickBot="1" x14ac:dyDescent="0.3">
      <c r="A1422" s="313">
        <f t="shared" si="16"/>
        <v>571</v>
      </c>
      <c r="B1422" s="52" t="s">
        <v>1677</v>
      </c>
      <c r="C1422" s="108" t="s">
        <v>1748</v>
      </c>
      <c r="D1422" s="109"/>
      <c r="E1422" s="110"/>
      <c r="F1422" s="78" t="s">
        <v>1418</v>
      </c>
      <c r="G1422" s="107" t="str">
        <f>+VLOOKUP(571,prueba!$D$2:$E$733,2,FALSE)</f>
        <v>FINANCIERA SEGUROS</v>
      </c>
      <c r="H1422" s="52" t="s">
        <v>6017</v>
      </c>
    </row>
    <row r="1423" spans="1:8" ht="30" customHeight="1" thickBot="1" x14ac:dyDescent="0.3">
      <c r="A1423" s="313">
        <f t="shared" si="16"/>
        <v>572</v>
      </c>
      <c r="B1423" s="52" t="s">
        <v>1677</v>
      </c>
      <c r="C1423" s="108" t="s">
        <v>1749</v>
      </c>
      <c r="D1423" s="109"/>
      <c r="E1423" s="110"/>
      <c r="F1423" s="78" t="s">
        <v>1418</v>
      </c>
      <c r="G1423" s="107" t="str">
        <f>+VLOOKUP(572,prueba!$D$2:$E$733,2,FALSE)</f>
        <v>FINANCIERA SEGUROS</v>
      </c>
      <c r="H1423" s="52" t="s">
        <v>8318</v>
      </c>
    </row>
    <row r="1424" spans="1:8" ht="30" customHeight="1" thickBot="1" x14ac:dyDescent="0.3">
      <c r="A1424" s="313">
        <f t="shared" si="16"/>
        <v>573</v>
      </c>
      <c r="B1424" s="52" t="s">
        <v>1677</v>
      </c>
      <c r="C1424" s="108" t="s">
        <v>1750</v>
      </c>
      <c r="D1424" s="109"/>
      <c r="E1424" s="110"/>
      <c r="F1424" s="78" t="s">
        <v>1751</v>
      </c>
      <c r="G1424" s="107" t="str">
        <f>+VLOOKUP(573,prueba!$D$2:$E$733,2,FALSE)</f>
        <v>FINANCIERA SEGUROS</v>
      </c>
      <c r="H1424" s="52" t="s">
        <v>1752</v>
      </c>
    </row>
    <row r="1425" spans="1:8" ht="30" customHeight="1" thickBot="1" x14ac:dyDescent="0.3">
      <c r="A1425" s="313">
        <f t="shared" si="16"/>
        <v>574</v>
      </c>
      <c r="B1425" s="52" t="s">
        <v>1677</v>
      </c>
      <c r="C1425" s="108" t="s">
        <v>1753</v>
      </c>
      <c r="D1425" s="109"/>
      <c r="E1425" s="110"/>
      <c r="F1425" s="78" t="s">
        <v>1751</v>
      </c>
      <c r="G1425" s="107" t="str">
        <f>+VLOOKUP(574,prueba!$D$2:$E$733,2,FALSE)</f>
        <v>FINANCIERA SEGUROS</v>
      </c>
      <c r="H1425" s="52" t="s">
        <v>6018</v>
      </c>
    </row>
    <row r="1426" spans="1:8" ht="30" customHeight="1" thickBot="1" x14ac:dyDescent="0.3">
      <c r="A1426" s="313">
        <f t="shared" si="16"/>
        <v>575</v>
      </c>
      <c r="B1426" s="52" t="s">
        <v>1677</v>
      </c>
      <c r="C1426" s="108" t="s">
        <v>1754</v>
      </c>
      <c r="D1426" s="109"/>
      <c r="E1426" s="110"/>
      <c r="F1426" s="78" t="s">
        <v>1755</v>
      </c>
      <c r="G1426" s="107" t="str">
        <f>+VLOOKUP(575,prueba!$D$2:$E$733,2,FALSE)</f>
        <v>FINANCIERA SEGUROS</v>
      </c>
      <c r="H1426" s="52" t="s">
        <v>678</v>
      </c>
    </row>
    <row r="1427" spans="1:8" ht="30" customHeight="1" x14ac:dyDescent="0.25">
      <c r="A1427" s="76">
        <f t="shared" si="16"/>
        <v>576</v>
      </c>
      <c r="B1427" s="50" t="s">
        <v>1677</v>
      </c>
      <c r="C1427" s="100"/>
      <c r="D1427" s="101"/>
      <c r="E1427" s="102"/>
      <c r="F1427" s="84" t="s">
        <v>1756</v>
      </c>
      <c r="G1427" s="84" t="str">
        <f>+VLOOKUP(576,prueba!$D$2:$E$733,2,FALSE)</f>
        <v>FINANCIERA SEGUROS</v>
      </c>
      <c r="H1427" s="50" t="s">
        <v>359</v>
      </c>
    </row>
    <row r="1428" spans="1:8" ht="30" customHeight="1" x14ac:dyDescent="0.25">
      <c r="A1428" s="312"/>
      <c r="B1428" s="86"/>
      <c r="C1428" s="53" t="s">
        <v>1757</v>
      </c>
      <c r="D1428" s="54"/>
      <c r="E1428" s="55"/>
      <c r="F1428" s="85"/>
      <c r="G1428" s="85"/>
      <c r="H1428" s="86"/>
    </row>
    <row r="1429" spans="1:8" ht="30" customHeight="1" x14ac:dyDescent="0.25">
      <c r="A1429" s="312"/>
      <c r="B1429" s="86"/>
      <c r="C1429" s="53"/>
      <c r="D1429" s="54"/>
      <c r="E1429" s="55"/>
      <c r="F1429" s="85"/>
      <c r="G1429" s="85"/>
      <c r="H1429" s="86"/>
    </row>
    <row r="1430" spans="1:8" ht="30" customHeight="1" x14ac:dyDescent="0.25">
      <c r="A1430" s="312"/>
      <c r="B1430" s="86"/>
      <c r="C1430" s="53" t="s">
        <v>1758</v>
      </c>
      <c r="D1430" s="54"/>
      <c r="E1430" s="55"/>
      <c r="F1430" s="85"/>
      <c r="G1430" s="85"/>
      <c r="H1430" s="86"/>
    </row>
    <row r="1431" spans="1:8" ht="30" customHeight="1" x14ac:dyDescent="0.25">
      <c r="A1431" s="312"/>
      <c r="B1431" s="86"/>
      <c r="C1431" s="53"/>
      <c r="D1431" s="54"/>
      <c r="E1431" s="55"/>
      <c r="F1431" s="85"/>
      <c r="G1431" s="85"/>
      <c r="H1431" s="86"/>
    </row>
    <row r="1432" spans="1:8" ht="30" customHeight="1" x14ac:dyDescent="0.25">
      <c r="A1432" s="312"/>
      <c r="B1432" s="86"/>
      <c r="C1432" s="66"/>
      <c r="D1432" s="67"/>
      <c r="E1432" s="68"/>
      <c r="F1432" s="85"/>
      <c r="G1432" s="85"/>
      <c r="H1432" s="86"/>
    </row>
    <row r="1433" spans="1:8" ht="30" customHeight="1" x14ac:dyDescent="0.25">
      <c r="A1433" s="312"/>
      <c r="B1433" s="86"/>
      <c r="C1433" s="66"/>
      <c r="D1433" s="67"/>
      <c r="E1433" s="68"/>
      <c r="F1433" s="85"/>
      <c r="G1433" s="85"/>
      <c r="H1433" s="86"/>
    </row>
    <row r="1434" spans="1:8" ht="30" customHeight="1" x14ac:dyDescent="0.25">
      <c r="A1434" s="312"/>
      <c r="B1434" s="86"/>
      <c r="C1434" s="66"/>
      <c r="D1434" s="67"/>
      <c r="E1434" s="68"/>
      <c r="F1434" s="85"/>
      <c r="G1434" s="85"/>
      <c r="H1434" s="86"/>
    </row>
    <row r="1435" spans="1:8" ht="30" customHeight="1" thickBot="1" x14ac:dyDescent="0.3">
      <c r="A1435" s="83"/>
      <c r="B1435" s="91"/>
      <c r="C1435" s="88" t="s">
        <v>1759</v>
      </c>
      <c r="D1435" s="89"/>
      <c r="E1435" s="90"/>
      <c r="F1435" s="77"/>
      <c r="G1435" s="77"/>
      <c r="H1435" s="91"/>
    </row>
    <row r="1436" spans="1:8" ht="30" customHeight="1" thickBot="1" x14ac:dyDescent="0.3">
      <c r="A1436" s="313">
        <f>+A1427+1</f>
        <v>577</v>
      </c>
      <c r="B1436" s="52" t="s">
        <v>1677</v>
      </c>
      <c r="C1436" s="108" t="s">
        <v>1760</v>
      </c>
      <c r="D1436" s="109"/>
      <c r="E1436" s="110"/>
      <c r="F1436" s="78" t="s">
        <v>1761</v>
      </c>
      <c r="G1436" s="107" t="str">
        <f>+VLOOKUP(577,prueba!$D$2:$E$733,2,FALSE)</f>
        <v>FINANCIERA SEGUROS</v>
      </c>
      <c r="H1436" s="52" t="s">
        <v>8319</v>
      </c>
    </row>
    <row r="1437" spans="1:8" ht="30" customHeight="1" thickBot="1" x14ac:dyDescent="0.3">
      <c r="A1437" s="313">
        <f>+A1436+1</f>
        <v>578</v>
      </c>
      <c r="B1437" s="52" t="s">
        <v>1677</v>
      </c>
      <c r="C1437" s="108" t="s">
        <v>1762</v>
      </c>
      <c r="D1437" s="109"/>
      <c r="E1437" s="110"/>
      <c r="F1437" s="78" t="s">
        <v>1756</v>
      </c>
      <c r="G1437" s="107" t="str">
        <f>+VLOOKUP(578,prueba!$D$2:$E$733,2,FALSE)</f>
        <v>FINANCIERA SEGUROS</v>
      </c>
      <c r="H1437" s="52" t="s">
        <v>9077</v>
      </c>
    </row>
    <row r="1438" spans="1:8" ht="30" customHeight="1" x14ac:dyDescent="0.25">
      <c r="A1438" s="76">
        <f>+A1437+1</f>
        <v>579</v>
      </c>
      <c r="B1438" s="50" t="s">
        <v>1677</v>
      </c>
      <c r="C1438" s="63" t="s">
        <v>1764</v>
      </c>
      <c r="D1438" s="64"/>
      <c r="E1438" s="65"/>
      <c r="F1438" s="84" t="s">
        <v>1765</v>
      </c>
      <c r="G1438" s="84" t="str">
        <f>+VLOOKUP(579,prueba!$D$2:$E$733,2,FALSE)</f>
        <v>FINANCIERA SEGUROS</v>
      </c>
      <c r="H1438" s="50" t="s">
        <v>8320</v>
      </c>
    </row>
    <row r="1439" spans="1:8" ht="30" customHeight="1" x14ac:dyDescent="0.25">
      <c r="A1439" s="312"/>
      <c r="B1439" s="86"/>
      <c r="C1439" s="53"/>
      <c r="D1439" s="54"/>
      <c r="E1439" s="55"/>
      <c r="F1439" s="85"/>
      <c r="G1439" s="85"/>
      <c r="H1439" s="86"/>
    </row>
    <row r="1440" spans="1:8" ht="30" customHeight="1" x14ac:dyDescent="0.25">
      <c r="A1440" s="312"/>
      <c r="B1440" s="86"/>
      <c r="C1440" s="112" t="s">
        <v>589</v>
      </c>
      <c r="D1440" s="113"/>
      <c r="E1440" s="114"/>
      <c r="F1440" s="85"/>
      <c r="G1440" s="85"/>
      <c r="H1440" s="86"/>
    </row>
    <row r="1441" spans="1:8" ht="30" customHeight="1" x14ac:dyDescent="0.25">
      <c r="A1441" s="312"/>
      <c r="B1441" s="86"/>
      <c r="C1441" s="53"/>
      <c r="D1441" s="54"/>
      <c r="E1441" s="55"/>
      <c r="F1441" s="85"/>
      <c r="G1441" s="85"/>
      <c r="H1441" s="86"/>
    </row>
    <row r="1442" spans="1:8" ht="30" customHeight="1" x14ac:dyDescent="0.25">
      <c r="A1442" s="312"/>
      <c r="B1442" s="86"/>
      <c r="C1442" s="112" t="s">
        <v>590</v>
      </c>
      <c r="D1442" s="113"/>
      <c r="E1442" s="114"/>
      <c r="F1442" s="85"/>
      <c r="G1442" s="85"/>
      <c r="H1442" s="86"/>
    </row>
    <row r="1443" spans="1:8" ht="30" customHeight="1" x14ac:dyDescent="0.25">
      <c r="A1443" s="312"/>
      <c r="B1443" s="86"/>
      <c r="C1443" s="53"/>
      <c r="D1443" s="54"/>
      <c r="E1443" s="55"/>
      <c r="F1443" s="85"/>
      <c r="G1443" s="85"/>
      <c r="H1443" s="86"/>
    </row>
    <row r="1444" spans="1:8" ht="30" customHeight="1" x14ac:dyDescent="0.25">
      <c r="A1444" s="312"/>
      <c r="B1444" s="86"/>
      <c r="C1444" s="112" t="s">
        <v>591</v>
      </c>
      <c r="D1444" s="113"/>
      <c r="E1444" s="114"/>
      <c r="F1444" s="85"/>
      <c r="G1444" s="85"/>
      <c r="H1444" s="86"/>
    </row>
    <row r="1445" spans="1:8" ht="30" customHeight="1" x14ac:dyDescent="0.25">
      <c r="A1445" s="312"/>
      <c r="B1445" s="86"/>
      <c r="C1445" s="112" t="s">
        <v>592</v>
      </c>
      <c r="D1445" s="113"/>
      <c r="E1445" s="114"/>
      <c r="F1445" s="85"/>
      <c r="G1445" s="85"/>
      <c r="H1445" s="86"/>
    </row>
    <row r="1446" spans="1:8" ht="30" customHeight="1" x14ac:dyDescent="0.25">
      <c r="A1446" s="312"/>
      <c r="B1446" s="86"/>
      <c r="C1446" s="53"/>
      <c r="D1446" s="54"/>
      <c r="E1446" s="55"/>
      <c r="F1446" s="85"/>
      <c r="G1446" s="85"/>
      <c r="H1446" s="86"/>
    </row>
    <row r="1447" spans="1:8" ht="30" customHeight="1" thickBot="1" x14ac:dyDescent="0.3">
      <c r="A1447" s="83"/>
      <c r="B1447" s="91"/>
      <c r="C1447" s="88" t="s">
        <v>1766</v>
      </c>
      <c r="D1447" s="89"/>
      <c r="E1447" s="90"/>
      <c r="F1447" s="77"/>
      <c r="G1447" s="77"/>
      <c r="H1447" s="91"/>
    </row>
    <row r="1448" spans="1:8" ht="30" customHeight="1" x14ac:dyDescent="0.25">
      <c r="A1448" s="76">
        <f>+A1438+1</f>
        <v>580</v>
      </c>
      <c r="B1448" s="50" t="s">
        <v>1677</v>
      </c>
      <c r="C1448" s="63" t="s">
        <v>1767</v>
      </c>
      <c r="D1448" s="64"/>
      <c r="E1448" s="65"/>
      <c r="F1448" s="84" t="s">
        <v>1768</v>
      </c>
      <c r="G1448" s="84" t="str">
        <f>+VLOOKUP(580,prueba!$D$2:$E$733,2,FALSE)</f>
        <v xml:space="preserve">JURÍDICA – ESTRUCTURACIÓN- FINANCIERA RIESGOS </v>
      </c>
      <c r="H1448" s="50" t="s">
        <v>1769</v>
      </c>
    </row>
    <row r="1449" spans="1:8" ht="30" customHeight="1" x14ac:dyDescent="0.25">
      <c r="A1449" s="312"/>
      <c r="B1449" s="86"/>
      <c r="C1449" s="53"/>
      <c r="D1449" s="54"/>
      <c r="E1449" s="55"/>
      <c r="F1449" s="85"/>
      <c r="G1449" s="85"/>
      <c r="H1449" s="86"/>
    </row>
    <row r="1450" spans="1:8" ht="30" customHeight="1" thickBot="1" x14ac:dyDescent="0.3">
      <c r="A1450" s="83"/>
      <c r="B1450" s="91"/>
      <c r="C1450" s="88" t="s">
        <v>1770</v>
      </c>
      <c r="D1450" s="89"/>
      <c r="E1450" s="90"/>
      <c r="F1450" s="77"/>
      <c r="G1450" s="77"/>
      <c r="H1450" s="91"/>
    </row>
    <row r="1451" spans="1:8" ht="30" customHeight="1" thickBot="1" x14ac:dyDescent="0.3">
      <c r="A1451" s="313">
        <f>+A1448+1</f>
        <v>581</v>
      </c>
      <c r="B1451" s="52" t="s">
        <v>1677</v>
      </c>
      <c r="C1451" s="108" t="s">
        <v>1771</v>
      </c>
      <c r="D1451" s="109"/>
      <c r="E1451" s="110"/>
      <c r="F1451" s="78" t="s">
        <v>1772</v>
      </c>
      <c r="G1451" s="107" t="str">
        <f>+VLOOKUP(581,prueba!$D$2:$E$733,2,FALSE)</f>
        <v>FINANCIERA SEGUROS</v>
      </c>
      <c r="H1451" s="52" t="s">
        <v>7347</v>
      </c>
    </row>
    <row r="1452" spans="1:8" ht="30" customHeight="1" thickBot="1" x14ac:dyDescent="0.3">
      <c r="A1452" s="313">
        <f>+A1451+1</f>
        <v>582</v>
      </c>
      <c r="B1452" s="52" t="s">
        <v>1677</v>
      </c>
      <c r="C1452" s="108" t="s">
        <v>1773</v>
      </c>
      <c r="D1452" s="109"/>
      <c r="E1452" s="110"/>
      <c r="F1452" s="78" t="s">
        <v>1774</v>
      </c>
      <c r="G1452" s="107" t="str">
        <f>+VLOOKUP(582,prueba!$D$2:$E$733,2,FALSE)</f>
        <v>FINANCIERA SEGUROS</v>
      </c>
      <c r="H1452" s="52" t="s">
        <v>1775</v>
      </c>
    </row>
    <row r="1453" spans="1:8" ht="30" customHeight="1" x14ac:dyDescent="0.25">
      <c r="A1453" s="76">
        <f>+A1452+1</f>
        <v>583</v>
      </c>
      <c r="B1453" s="50" t="s">
        <v>1776</v>
      </c>
      <c r="C1453" s="63" t="s">
        <v>1777</v>
      </c>
      <c r="D1453" s="64"/>
      <c r="E1453" s="65"/>
      <c r="F1453" s="84" t="s">
        <v>1778</v>
      </c>
      <c r="G1453" s="84" t="str">
        <f>+VLOOKUP(583,prueba!$D$2:$E$733,2,FALSE)</f>
        <v>FINANCIERA</v>
      </c>
      <c r="H1453" s="332" t="s">
        <v>9138</v>
      </c>
    </row>
    <row r="1454" spans="1:8" ht="30" customHeight="1" x14ac:dyDescent="0.25">
      <c r="A1454" s="312"/>
      <c r="B1454" s="86"/>
      <c r="C1454" s="53"/>
      <c r="D1454" s="54"/>
      <c r="E1454" s="55"/>
      <c r="F1454" s="85"/>
      <c r="G1454" s="85"/>
      <c r="H1454" s="333"/>
    </row>
    <row r="1455" spans="1:8" ht="30" customHeight="1" x14ac:dyDescent="0.25">
      <c r="A1455" s="312"/>
      <c r="B1455" s="86"/>
      <c r="C1455" s="53" t="s">
        <v>1779</v>
      </c>
      <c r="D1455" s="54"/>
      <c r="E1455" s="55"/>
      <c r="F1455" s="85"/>
      <c r="G1455" s="85"/>
      <c r="H1455" s="333"/>
    </row>
    <row r="1456" spans="1:8" ht="30" customHeight="1" x14ac:dyDescent="0.25">
      <c r="A1456" s="312"/>
      <c r="B1456" s="86"/>
      <c r="C1456" s="53"/>
      <c r="D1456" s="54"/>
      <c r="E1456" s="55"/>
      <c r="F1456" s="85"/>
      <c r="G1456" s="85"/>
      <c r="H1456" s="333"/>
    </row>
    <row r="1457" spans="1:8" ht="30" customHeight="1" x14ac:dyDescent="0.25">
      <c r="A1457" s="312"/>
      <c r="B1457" s="86"/>
      <c r="C1457" s="53" t="s">
        <v>1780</v>
      </c>
      <c r="D1457" s="54"/>
      <c r="E1457" s="55"/>
      <c r="F1457" s="85"/>
      <c r="G1457" s="85"/>
      <c r="H1457" s="333"/>
    </row>
    <row r="1458" spans="1:8" ht="30" customHeight="1" x14ac:dyDescent="0.25">
      <c r="A1458" s="312"/>
      <c r="B1458" s="86"/>
      <c r="C1458" s="53"/>
      <c r="D1458" s="54"/>
      <c r="E1458" s="55"/>
      <c r="F1458" s="85"/>
      <c r="G1458" s="85"/>
      <c r="H1458" s="333"/>
    </row>
    <row r="1459" spans="1:8" ht="30" customHeight="1" x14ac:dyDescent="0.25">
      <c r="A1459" s="312"/>
      <c r="B1459" s="86"/>
      <c r="C1459" s="53" t="s">
        <v>1781</v>
      </c>
      <c r="D1459" s="54"/>
      <c r="E1459" s="55"/>
      <c r="F1459" s="85"/>
      <c r="G1459" s="85"/>
      <c r="H1459" s="333"/>
    </row>
    <row r="1460" spans="1:8" ht="30" customHeight="1" x14ac:dyDescent="0.25">
      <c r="A1460" s="312"/>
      <c r="B1460" s="86"/>
      <c r="C1460" s="53" t="s">
        <v>1782</v>
      </c>
      <c r="D1460" s="54"/>
      <c r="E1460" s="55"/>
      <c r="F1460" s="85"/>
      <c r="G1460" s="85"/>
      <c r="H1460" s="333"/>
    </row>
    <row r="1461" spans="1:8" ht="30" customHeight="1" x14ac:dyDescent="0.25">
      <c r="A1461" s="312"/>
      <c r="B1461" s="86"/>
      <c r="C1461" s="53" t="s">
        <v>1783</v>
      </c>
      <c r="D1461" s="54"/>
      <c r="E1461" s="55"/>
      <c r="F1461" s="85"/>
      <c r="G1461" s="85"/>
      <c r="H1461" s="333"/>
    </row>
    <row r="1462" spans="1:8" ht="30" customHeight="1" x14ac:dyDescent="0.25">
      <c r="A1462" s="312"/>
      <c r="B1462" s="86"/>
      <c r="C1462" s="53" t="s">
        <v>1784</v>
      </c>
      <c r="D1462" s="54"/>
      <c r="E1462" s="55"/>
      <c r="F1462" s="85"/>
      <c r="G1462" s="85"/>
      <c r="H1462" s="333"/>
    </row>
    <row r="1463" spans="1:8" ht="30" customHeight="1" x14ac:dyDescent="0.25">
      <c r="A1463" s="312"/>
      <c r="B1463" s="86"/>
      <c r="C1463" s="53" t="s">
        <v>1785</v>
      </c>
      <c r="D1463" s="54"/>
      <c r="E1463" s="55"/>
      <c r="F1463" s="85"/>
      <c r="G1463" s="85"/>
      <c r="H1463" s="333"/>
    </row>
    <row r="1464" spans="1:8" ht="30" customHeight="1" thickBot="1" x14ac:dyDescent="0.3">
      <c r="A1464" s="83"/>
      <c r="B1464" s="91"/>
      <c r="C1464" s="88" t="s">
        <v>1786</v>
      </c>
      <c r="D1464" s="89"/>
      <c r="E1464" s="90"/>
      <c r="F1464" s="77"/>
      <c r="G1464" s="77"/>
      <c r="H1464" s="334"/>
    </row>
    <row r="1465" spans="1:8" ht="30" customHeight="1" x14ac:dyDescent="0.25">
      <c r="A1465" s="76">
        <f>+A1453+1</f>
        <v>584</v>
      </c>
      <c r="B1465" s="50" t="s">
        <v>1776</v>
      </c>
      <c r="C1465" s="63" t="s">
        <v>1787</v>
      </c>
      <c r="D1465" s="64"/>
      <c r="E1465" s="65"/>
      <c r="F1465" s="84"/>
      <c r="G1465" s="84" t="str">
        <f>+VLOOKUP(584,prueba!$D$2:$E$733,2,FALSE)</f>
        <v xml:space="preserve">FINANCIERA </v>
      </c>
      <c r="H1465" s="50" t="s">
        <v>1788</v>
      </c>
    </row>
    <row r="1466" spans="1:8" ht="30" customHeight="1" x14ac:dyDescent="0.25">
      <c r="A1466" s="312"/>
      <c r="B1466" s="86"/>
      <c r="C1466" s="53"/>
      <c r="D1466" s="54"/>
      <c r="E1466" s="55"/>
      <c r="F1466" s="85"/>
      <c r="G1466" s="85"/>
      <c r="H1466" s="86"/>
    </row>
    <row r="1467" spans="1:8" ht="30" customHeight="1" x14ac:dyDescent="0.25">
      <c r="A1467" s="312"/>
      <c r="B1467" s="86"/>
      <c r="C1467" s="53" t="s">
        <v>1789</v>
      </c>
      <c r="D1467" s="54"/>
      <c r="E1467" s="55"/>
      <c r="F1467" s="85"/>
      <c r="G1467" s="85"/>
      <c r="H1467" s="86"/>
    </row>
    <row r="1468" spans="1:8" ht="30" customHeight="1" x14ac:dyDescent="0.25">
      <c r="A1468" s="312"/>
      <c r="B1468" s="86"/>
      <c r="C1468" s="53" t="s">
        <v>1790</v>
      </c>
      <c r="D1468" s="54"/>
      <c r="E1468" s="55"/>
      <c r="F1468" s="85"/>
      <c r="G1468" s="85"/>
      <c r="H1468" s="86"/>
    </row>
    <row r="1469" spans="1:8" ht="30" customHeight="1" x14ac:dyDescent="0.25">
      <c r="A1469" s="312"/>
      <c r="B1469" s="86"/>
      <c r="C1469" s="53"/>
      <c r="D1469" s="54"/>
      <c r="E1469" s="55"/>
      <c r="F1469" s="85"/>
      <c r="G1469" s="85"/>
      <c r="H1469" s="86"/>
    </row>
    <row r="1470" spans="1:8" ht="30" customHeight="1" x14ac:dyDescent="0.25">
      <c r="A1470" s="312"/>
      <c r="B1470" s="86"/>
      <c r="C1470" s="53" t="s">
        <v>9730</v>
      </c>
      <c r="D1470" s="54"/>
      <c r="E1470" s="55"/>
      <c r="F1470" s="85"/>
      <c r="G1470" s="85"/>
      <c r="H1470" s="86"/>
    </row>
    <row r="1471" spans="1:8" ht="30" customHeight="1" x14ac:dyDescent="0.25">
      <c r="A1471" s="312"/>
      <c r="B1471" s="86"/>
      <c r="C1471" s="53" t="s">
        <v>575</v>
      </c>
      <c r="D1471" s="54"/>
      <c r="E1471" s="55"/>
      <c r="F1471" s="85"/>
      <c r="G1471" s="85"/>
      <c r="H1471" s="86"/>
    </row>
    <row r="1472" spans="1:8" ht="30" customHeight="1" x14ac:dyDescent="0.25">
      <c r="A1472" s="312"/>
      <c r="B1472" s="86"/>
      <c r="C1472" s="53" t="s">
        <v>1791</v>
      </c>
      <c r="D1472" s="54"/>
      <c r="E1472" s="55"/>
      <c r="F1472" s="85"/>
      <c r="G1472" s="85"/>
      <c r="H1472" s="86"/>
    </row>
    <row r="1473" spans="1:8" ht="30" customHeight="1" x14ac:dyDescent="0.25">
      <c r="A1473" s="312"/>
      <c r="B1473" s="86"/>
      <c r="C1473" s="53"/>
      <c r="D1473" s="54"/>
      <c r="E1473" s="55"/>
      <c r="F1473" s="85"/>
      <c r="G1473" s="85"/>
      <c r="H1473" s="86"/>
    </row>
    <row r="1474" spans="1:8" ht="30" customHeight="1" x14ac:dyDescent="0.25">
      <c r="A1474" s="312"/>
      <c r="B1474" s="86"/>
      <c r="C1474" s="53" t="s">
        <v>1792</v>
      </c>
      <c r="D1474" s="54"/>
      <c r="E1474" s="55"/>
      <c r="F1474" s="85"/>
      <c r="G1474" s="85"/>
      <c r="H1474" s="86"/>
    </row>
    <row r="1475" spans="1:8" ht="30" customHeight="1" thickBot="1" x14ac:dyDescent="0.3">
      <c r="A1475" s="83"/>
      <c r="B1475" s="91"/>
      <c r="C1475" s="88"/>
      <c r="D1475" s="89"/>
      <c r="E1475" s="90"/>
      <c r="F1475" s="77"/>
      <c r="G1475" s="77"/>
      <c r="H1475" s="91"/>
    </row>
    <row r="1476" spans="1:8" ht="225.75" customHeight="1" x14ac:dyDescent="0.25">
      <c r="A1476" s="76">
        <f>+A1465+1</f>
        <v>585</v>
      </c>
      <c r="B1476" s="50" t="s">
        <v>1776</v>
      </c>
      <c r="C1476" s="63" t="s">
        <v>1793</v>
      </c>
      <c r="D1476" s="64"/>
      <c r="E1476" s="65"/>
      <c r="F1476" s="84" t="s">
        <v>1794</v>
      </c>
      <c r="G1476" s="84" t="str">
        <f>+VLOOKUP(585,prueba!$D$2:$E$733,2,FALSE)</f>
        <v xml:space="preserve">FINANCIERA </v>
      </c>
      <c r="H1476" s="50" t="s">
        <v>9174</v>
      </c>
    </row>
    <row r="1477" spans="1:8" ht="30" customHeight="1" x14ac:dyDescent="0.25">
      <c r="A1477" s="312"/>
      <c r="B1477" s="86"/>
      <c r="C1477" s="53"/>
      <c r="D1477" s="54"/>
      <c r="E1477" s="55"/>
      <c r="F1477" s="85"/>
      <c r="G1477" s="85"/>
      <c r="H1477" s="86"/>
    </row>
    <row r="1478" spans="1:8" ht="30" customHeight="1" x14ac:dyDescent="0.25">
      <c r="A1478" s="312"/>
      <c r="B1478" s="86"/>
      <c r="C1478" s="53"/>
      <c r="D1478" s="54"/>
      <c r="E1478" s="55"/>
      <c r="F1478" s="85"/>
      <c r="G1478" s="85"/>
      <c r="H1478" s="86"/>
    </row>
    <row r="1479" spans="1:8" ht="30" customHeight="1" x14ac:dyDescent="0.25">
      <c r="A1479" s="312"/>
      <c r="B1479" s="86"/>
      <c r="C1479" s="53"/>
      <c r="D1479" s="54"/>
      <c r="E1479" s="55"/>
      <c r="F1479" s="85"/>
      <c r="G1479" s="85"/>
      <c r="H1479" s="86"/>
    </row>
    <row r="1480" spans="1:8" ht="30" customHeight="1" x14ac:dyDescent="0.25">
      <c r="A1480" s="312"/>
      <c r="B1480" s="86"/>
      <c r="C1480" s="53"/>
      <c r="D1480" s="54"/>
      <c r="E1480" s="55"/>
      <c r="F1480" s="85"/>
      <c r="G1480" s="85"/>
      <c r="H1480" s="86"/>
    </row>
    <row r="1481" spans="1:8" ht="30" customHeight="1" x14ac:dyDescent="0.25">
      <c r="A1481" s="312"/>
      <c r="B1481" s="86"/>
      <c r="C1481" s="53"/>
      <c r="D1481" s="54"/>
      <c r="E1481" s="55"/>
      <c r="F1481" s="85"/>
      <c r="G1481" s="85"/>
      <c r="H1481" s="86"/>
    </row>
    <row r="1482" spans="1:8" ht="30" customHeight="1" x14ac:dyDescent="0.25">
      <c r="A1482" s="312"/>
      <c r="B1482" s="86"/>
      <c r="C1482" s="53"/>
      <c r="D1482" s="54"/>
      <c r="E1482" s="55"/>
      <c r="F1482" s="85"/>
      <c r="G1482" s="85"/>
      <c r="H1482" s="86"/>
    </row>
    <row r="1483" spans="1:8" ht="30" customHeight="1" x14ac:dyDescent="0.25">
      <c r="A1483" s="312"/>
      <c r="B1483" s="86"/>
      <c r="C1483" s="53"/>
      <c r="D1483" s="54"/>
      <c r="E1483" s="55"/>
      <c r="F1483" s="85"/>
      <c r="G1483" s="85"/>
      <c r="H1483" s="86"/>
    </row>
    <row r="1484" spans="1:8" ht="30" customHeight="1" x14ac:dyDescent="0.25">
      <c r="A1484" s="312"/>
      <c r="B1484" s="86"/>
      <c r="C1484" s="53"/>
      <c r="D1484" s="54"/>
      <c r="E1484" s="55"/>
      <c r="F1484" s="85"/>
      <c r="G1484" s="85"/>
      <c r="H1484" s="86"/>
    </row>
    <row r="1485" spans="1:8" ht="30" customHeight="1" x14ac:dyDescent="0.25">
      <c r="A1485" s="312"/>
      <c r="B1485" s="86"/>
      <c r="C1485" s="53"/>
      <c r="D1485" s="54"/>
      <c r="E1485" s="55"/>
      <c r="F1485" s="85"/>
      <c r="G1485" s="85"/>
      <c r="H1485" s="86"/>
    </row>
    <row r="1486" spans="1:8" ht="30" customHeight="1" x14ac:dyDescent="0.25">
      <c r="A1486" s="312"/>
      <c r="B1486" s="86"/>
      <c r="C1486" s="53"/>
      <c r="D1486" s="54"/>
      <c r="E1486" s="55"/>
      <c r="F1486" s="85"/>
      <c r="G1486" s="85"/>
      <c r="H1486" s="86"/>
    </row>
    <row r="1487" spans="1:8" ht="30" customHeight="1" x14ac:dyDescent="0.25">
      <c r="A1487" s="312"/>
      <c r="B1487" s="86"/>
      <c r="C1487" s="53"/>
      <c r="D1487" s="54"/>
      <c r="E1487" s="55"/>
      <c r="F1487" s="85"/>
      <c r="G1487" s="85"/>
      <c r="H1487" s="86"/>
    </row>
    <row r="1488" spans="1:8" ht="30" customHeight="1" thickBot="1" x14ac:dyDescent="0.3">
      <c r="A1488" s="83"/>
      <c r="B1488" s="91"/>
      <c r="C1488" s="88"/>
      <c r="D1488" s="89"/>
      <c r="E1488" s="90"/>
      <c r="F1488" s="77"/>
      <c r="G1488" s="77"/>
      <c r="H1488" s="91"/>
    </row>
    <row r="1489" spans="1:8" ht="30" customHeight="1" x14ac:dyDescent="0.25">
      <c r="A1489" s="76">
        <f>+A1476+1</f>
        <v>586</v>
      </c>
      <c r="B1489" s="50" t="s">
        <v>1776</v>
      </c>
      <c r="C1489" s="63" t="s">
        <v>1795</v>
      </c>
      <c r="D1489" s="64"/>
      <c r="E1489" s="65"/>
      <c r="F1489" s="84" t="s">
        <v>1794</v>
      </c>
      <c r="G1489" s="84" t="str">
        <f>+VLOOKUP(586,prueba!$D$2:$E$733,2,FALSE)</f>
        <v>FINANCIERA</v>
      </c>
      <c r="H1489" s="50" t="s">
        <v>9166</v>
      </c>
    </row>
    <row r="1490" spans="1:8" ht="30" customHeight="1" x14ac:dyDescent="0.25">
      <c r="A1490" s="312"/>
      <c r="B1490" s="86"/>
      <c r="C1490" s="53"/>
      <c r="D1490" s="54"/>
      <c r="E1490" s="55"/>
      <c r="F1490" s="85"/>
      <c r="G1490" s="85"/>
      <c r="H1490" s="86"/>
    </row>
    <row r="1491" spans="1:8" ht="30" customHeight="1" x14ac:dyDescent="0.25">
      <c r="A1491" s="312"/>
      <c r="B1491" s="86"/>
      <c r="C1491" s="53"/>
      <c r="D1491" s="54"/>
      <c r="E1491" s="55"/>
      <c r="F1491" s="85"/>
      <c r="G1491" s="85"/>
      <c r="H1491" s="86"/>
    </row>
    <row r="1492" spans="1:8" ht="30" customHeight="1" x14ac:dyDescent="0.25">
      <c r="A1492" s="312"/>
      <c r="B1492" s="86"/>
      <c r="C1492" s="53"/>
      <c r="D1492" s="54"/>
      <c r="E1492" s="55"/>
      <c r="F1492" s="85"/>
      <c r="G1492" s="85"/>
      <c r="H1492" s="86"/>
    </row>
    <row r="1493" spans="1:8" ht="30" customHeight="1" x14ac:dyDescent="0.25">
      <c r="A1493" s="312"/>
      <c r="B1493" s="86"/>
      <c r="C1493" s="53"/>
      <c r="D1493" s="54"/>
      <c r="E1493" s="55"/>
      <c r="F1493" s="85"/>
      <c r="G1493" s="85"/>
      <c r="H1493" s="86"/>
    </row>
    <row r="1494" spans="1:8" ht="30" customHeight="1" x14ac:dyDescent="0.25">
      <c r="A1494" s="312"/>
      <c r="B1494" s="86"/>
      <c r="C1494" s="53"/>
      <c r="D1494" s="54"/>
      <c r="E1494" s="55"/>
      <c r="F1494" s="85"/>
      <c r="G1494" s="85"/>
      <c r="H1494" s="86"/>
    </row>
    <row r="1495" spans="1:8" ht="30" customHeight="1" x14ac:dyDescent="0.25">
      <c r="A1495" s="312"/>
      <c r="B1495" s="86"/>
      <c r="C1495" s="92"/>
      <c r="D1495" s="93"/>
      <c r="E1495" s="94"/>
      <c r="F1495" s="85"/>
      <c r="G1495" s="85"/>
      <c r="H1495" s="86"/>
    </row>
    <row r="1496" spans="1:8" ht="30" customHeight="1" x14ac:dyDescent="0.25">
      <c r="A1496" s="312"/>
      <c r="B1496" s="86"/>
      <c r="C1496" s="53"/>
      <c r="D1496" s="54"/>
      <c r="E1496" s="55"/>
      <c r="F1496" s="85"/>
      <c r="G1496" s="85"/>
      <c r="H1496" s="86"/>
    </row>
    <row r="1497" spans="1:8" ht="30" customHeight="1" thickBot="1" x14ac:dyDescent="0.3">
      <c r="A1497" s="83"/>
      <c r="B1497" s="91"/>
      <c r="C1497" s="53"/>
      <c r="D1497" s="54"/>
      <c r="E1497" s="55"/>
      <c r="F1497" s="77"/>
      <c r="G1497" s="77"/>
      <c r="H1497" s="91"/>
    </row>
    <row r="1498" spans="1:8" ht="30" customHeight="1" x14ac:dyDescent="0.25">
      <c r="A1498" s="76">
        <f>+A1489+1</f>
        <v>587</v>
      </c>
      <c r="B1498" s="63" t="s">
        <v>1776</v>
      </c>
      <c r="C1498" s="60" t="s">
        <v>1796</v>
      </c>
      <c r="D1498" s="60"/>
      <c r="E1498" s="60"/>
      <c r="F1498" s="153" t="s">
        <v>1797</v>
      </c>
      <c r="G1498" s="84" t="str">
        <f>+VLOOKUP(587,prueba!$D$2:$E$733,2,FALSE)</f>
        <v>JURÍDICA CONTRATACIÓN Y ESTRUCTURACIÓN</v>
      </c>
      <c r="H1498" s="50" t="s">
        <v>1798</v>
      </c>
    </row>
    <row r="1499" spans="1:8" ht="30" customHeight="1" x14ac:dyDescent="0.25">
      <c r="A1499" s="312"/>
      <c r="B1499" s="86"/>
      <c r="C1499" s="53" t="s">
        <v>1799</v>
      </c>
      <c r="D1499" s="54"/>
      <c r="E1499" s="55"/>
      <c r="F1499" s="85"/>
      <c r="G1499" s="85"/>
      <c r="H1499" s="86"/>
    </row>
    <row r="1500" spans="1:8" ht="30" customHeight="1" x14ac:dyDescent="0.25">
      <c r="A1500" s="312"/>
      <c r="B1500" s="86"/>
      <c r="C1500" s="53" t="s">
        <v>1800</v>
      </c>
      <c r="D1500" s="54"/>
      <c r="E1500" s="55"/>
      <c r="F1500" s="85"/>
      <c r="G1500" s="85"/>
      <c r="H1500" s="86"/>
    </row>
    <row r="1501" spans="1:8" ht="30" customHeight="1" x14ac:dyDescent="0.25">
      <c r="A1501" s="312"/>
      <c r="B1501" s="86"/>
      <c r="C1501" s="53" t="s">
        <v>1801</v>
      </c>
      <c r="D1501" s="54"/>
      <c r="E1501" s="55"/>
      <c r="F1501" s="85"/>
      <c r="G1501" s="85"/>
      <c r="H1501" s="86"/>
    </row>
    <row r="1502" spans="1:8" ht="30" customHeight="1" x14ac:dyDescent="0.25">
      <c r="A1502" s="312"/>
      <c r="B1502" s="86"/>
      <c r="C1502" s="53" t="s">
        <v>1802</v>
      </c>
      <c r="D1502" s="54"/>
      <c r="E1502" s="55"/>
      <c r="F1502" s="85"/>
      <c r="G1502" s="85"/>
      <c r="H1502" s="86"/>
    </row>
    <row r="1503" spans="1:8" ht="30" customHeight="1" x14ac:dyDescent="0.25">
      <c r="A1503" s="312"/>
      <c r="B1503" s="86"/>
      <c r="C1503" s="53" t="s">
        <v>1803</v>
      </c>
      <c r="D1503" s="54"/>
      <c r="E1503" s="55"/>
      <c r="F1503" s="85"/>
      <c r="G1503" s="85"/>
      <c r="H1503" s="86"/>
    </row>
    <row r="1504" spans="1:8" ht="30" customHeight="1" x14ac:dyDescent="0.25">
      <c r="A1504" s="312"/>
      <c r="B1504" s="86"/>
      <c r="C1504" s="53"/>
      <c r="D1504" s="54"/>
      <c r="E1504" s="55"/>
      <c r="F1504" s="85"/>
      <c r="G1504" s="85"/>
      <c r="H1504" s="86"/>
    </row>
    <row r="1505" spans="1:8" ht="30" customHeight="1" x14ac:dyDescent="0.25">
      <c r="A1505" s="312"/>
      <c r="B1505" s="86"/>
      <c r="C1505" s="53" t="s">
        <v>1804</v>
      </c>
      <c r="D1505" s="54"/>
      <c r="E1505" s="55"/>
      <c r="F1505" s="85"/>
      <c r="G1505" s="85"/>
      <c r="H1505" s="86"/>
    </row>
    <row r="1506" spans="1:8" ht="30" customHeight="1" x14ac:dyDescent="0.25">
      <c r="A1506" s="312"/>
      <c r="B1506" s="86"/>
      <c r="C1506" s="53" t="s">
        <v>1805</v>
      </c>
      <c r="D1506" s="54"/>
      <c r="E1506" s="55"/>
      <c r="F1506" s="85"/>
      <c r="G1506" s="85"/>
      <c r="H1506" s="86"/>
    </row>
    <row r="1507" spans="1:8" ht="30" customHeight="1" x14ac:dyDescent="0.25">
      <c r="A1507" s="312"/>
      <c r="B1507" s="86"/>
      <c r="C1507" s="53" t="s">
        <v>1806</v>
      </c>
      <c r="D1507" s="54"/>
      <c r="E1507" s="55"/>
      <c r="F1507" s="85"/>
      <c r="G1507" s="85"/>
      <c r="H1507" s="86"/>
    </row>
    <row r="1508" spans="1:8" ht="30" customHeight="1" x14ac:dyDescent="0.25">
      <c r="A1508" s="312"/>
      <c r="B1508" s="86"/>
      <c r="C1508" s="53" t="s">
        <v>1807</v>
      </c>
      <c r="D1508" s="54"/>
      <c r="E1508" s="55"/>
      <c r="F1508" s="85"/>
      <c r="G1508" s="85"/>
      <c r="H1508" s="86"/>
    </row>
    <row r="1509" spans="1:8" ht="30" customHeight="1" thickBot="1" x14ac:dyDescent="0.3">
      <c r="A1509" s="83"/>
      <c r="B1509" s="91"/>
      <c r="C1509" s="88" t="s">
        <v>1808</v>
      </c>
      <c r="D1509" s="89"/>
      <c r="E1509" s="90"/>
      <c r="F1509" s="77"/>
      <c r="G1509" s="77"/>
      <c r="H1509" s="91"/>
    </row>
    <row r="1510" spans="1:8" ht="30" customHeight="1" x14ac:dyDescent="0.25">
      <c r="A1510" s="76">
        <f>+A1498+1</f>
        <v>588</v>
      </c>
      <c r="B1510" s="50" t="s">
        <v>1776</v>
      </c>
      <c r="C1510" s="100"/>
      <c r="D1510" s="101"/>
      <c r="E1510" s="102"/>
      <c r="F1510" s="56"/>
      <c r="G1510" s="84" t="str">
        <f>+VLOOKUP(588,prueba!$D$2:$E$733,2,FALSE)</f>
        <v>FINANCIERA</v>
      </c>
      <c r="H1510" s="50" t="s">
        <v>8394</v>
      </c>
    </row>
    <row r="1511" spans="1:8" ht="30" customHeight="1" x14ac:dyDescent="0.25">
      <c r="A1511" s="312"/>
      <c r="B1511" s="53"/>
      <c r="C1511" s="60" t="s">
        <v>1809</v>
      </c>
      <c r="D1511" s="60"/>
      <c r="E1511" s="60"/>
      <c r="F1511" s="56" t="s">
        <v>1810</v>
      </c>
      <c r="G1511" s="85"/>
      <c r="H1511" s="86"/>
    </row>
    <row r="1512" spans="1:8" ht="30" customHeight="1" thickBot="1" x14ac:dyDescent="0.3">
      <c r="A1512" s="83"/>
      <c r="B1512" s="91"/>
      <c r="C1512" s="88"/>
      <c r="D1512" s="89"/>
      <c r="E1512" s="90"/>
      <c r="F1512" s="62"/>
      <c r="G1512" s="77"/>
      <c r="H1512" s="91"/>
    </row>
    <row r="1513" spans="1:8" ht="30" customHeight="1" x14ac:dyDescent="0.25">
      <c r="A1513" s="76">
        <f>+A1510+1</f>
        <v>589</v>
      </c>
      <c r="B1513" s="50" t="s">
        <v>1776</v>
      </c>
      <c r="C1513" s="63" t="s">
        <v>1811</v>
      </c>
      <c r="D1513" s="64"/>
      <c r="E1513" s="65"/>
      <c r="F1513" s="84" t="s">
        <v>1812</v>
      </c>
      <c r="G1513" s="84" t="str">
        <f>+VLOOKUP(589,prueba!$D$2:$E$733,2,FALSE)</f>
        <v>TÉCNICA</v>
      </c>
      <c r="H1513" s="50" t="s">
        <v>1813</v>
      </c>
    </row>
    <row r="1514" spans="1:8" ht="30" customHeight="1" x14ac:dyDescent="0.25">
      <c r="A1514" s="312"/>
      <c r="B1514" s="86"/>
      <c r="C1514" s="53" t="s">
        <v>1814</v>
      </c>
      <c r="D1514" s="54"/>
      <c r="E1514" s="55"/>
      <c r="F1514" s="85"/>
      <c r="G1514" s="85"/>
      <c r="H1514" s="86"/>
    </row>
    <row r="1515" spans="1:8" ht="30" customHeight="1" x14ac:dyDescent="0.25">
      <c r="A1515" s="312"/>
      <c r="B1515" s="86"/>
      <c r="C1515" s="53" t="s">
        <v>1815</v>
      </c>
      <c r="D1515" s="54"/>
      <c r="E1515" s="55"/>
      <c r="F1515" s="85"/>
      <c r="G1515" s="85"/>
      <c r="H1515" s="86"/>
    </row>
    <row r="1516" spans="1:8" ht="30" customHeight="1" thickBot="1" x14ac:dyDescent="0.3">
      <c r="A1516" s="83"/>
      <c r="B1516" s="91"/>
      <c r="C1516" s="88" t="s">
        <v>1816</v>
      </c>
      <c r="D1516" s="89"/>
      <c r="E1516" s="90"/>
      <c r="F1516" s="77"/>
      <c r="G1516" s="77"/>
      <c r="H1516" s="91"/>
    </row>
    <row r="1517" spans="1:8" ht="30" customHeight="1" x14ac:dyDescent="0.25">
      <c r="A1517" s="76">
        <f>+A1513+1</f>
        <v>590</v>
      </c>
      <c r="B1517" s="50" t="s">
        <v>1776</v>
      </c>
      <c r="C1517" s="63" t="s">
        <v>1817</v>
      </c>
      <c r="D1517" s="64"/>
      <c r="E1517" s="65"/>
      <c r="F1517" s="84" t="s">
        <v>1818</v>
      </c>
      <c r="G1517" s="84" t="str">
        <f>+VLOOKUP(590,prueba!$D$2:$E$733,2,FALSE)</f>
        <v>TÉCNICA</v>
      </c>
      <c r="H1517" s="50" t="s">
        <v>1819</v>
      </c>
    </row>
    <row r="1518" spans="1:8" ht="30" customHeight="1" x14ac:dyDescent="0.25">
      <c r="A1518" s="312"/>
      <c r="B1518" s="86"/>
      <c r="C1518" s="53" t="s">
        <v>1820</v>
      </c>
      <c r="D1518" s="54"/>
      <c r="E1518" s="55"/>
      <c r="F1518" s="85"/>
      <c r="G1518" s="85"/>
      <c r="H1518" s="86"/>
    </row>
    <row r="1519" spans="1:8" ht="30" customHeight="1" x14ac:dyDescent="0.25">
      <c r="A1519" s="312"/>
      <c r="B1519" s="86"/>
      <c r="C1519" s="53" t="s">
        <v>1821</v>
      </c>
      <c r="D1519" s="54"/>
      <c r="E1519" s="55"/>
      <c r="F1519" s="85"/>
      <c r="G1519" s="85"/>
      <c r="H1519" s="86"/>
    </row>
    <row r="1520" spans="1:8" ht="30" customHeight="1" x14ac:dyDescent="0.25">
      <c r="A1520" s="312"/>
      <c r="B1520" s="86"/>
      <c r="C1520" s="53"/>
      <c r="D1520" s="54"/>
      <c r="E1520" s="55"/>
      <c r="F1520" s="85"/>
      <c r="G1520" s="85"/>
      <c r="H1520" s="86"/>
    </row>
    <row r="1521" spans="1:8" ht="30" customHeight="1" x14ac:dyDescent="0.25">
      <c r="A1521" s="312"/>
      <c r="B1521" s="86"/>
      <c r="C1521" s="53" t="s">
        <v>1822</v>
      </c>
      <c r="D1521" s="54"/>
      <c r="E1521" s="55"/>
      <c r="F1521" s="85"/>
      <c r="G1521" s="85"/>
      <c r="H1521" s="86"/>
    </row>
    <row r="1522" spans="1:8" ht="30" customHeight="1" x14ac:dyDescent="0.25">
      <c r="A1522" s="312"/>
      <c r="B1522" s="86"/>
      <c r="C1522" s="53"/>
      <c r="D1522" s="54"/>
      <c r="E1522" s="55"/>
      <c r="F1522" s="85"/>
      <c r="G1522" s="85"/>
      <c r="H1522" s="86"/>
    </row>
    <row r="1523" spans="1:8" ht="30" customHeight="1" x14ac:dyDescent="0.25">
      <c r="A1523" s="312"/>
      <c r="B1523" s="86"/>
      <c r="C1523" s="53" t="s">
        <v>9731</v>
      </c>
      <c r="D1523" s="54"/>
      <c r="E1523" s="55"/>
      <c r="F1523" s="85"/>
      <c r="G1523" s="85"/>
      <c r="H1523" s="86"/>
    </row>
    <row r="1524" spans="1:8" ht="30" customHeight="1" x14ac:dyDescent="0.25">
      <c r="A1524" s="312"/>
      <c r="B1524" s="86"/>
      <c r="C1524" s="53" t="s">
        <v>9732</v>
      </c>
      <c r="D1524" s="54"/>
      <c r="E1524" s="55"/>
      <c r="F1524" s="85"/>
      <c r="G1524" s="85"/>
      <c r="H1524" s="86"/>
    </row>
    <row r="1525" spans="1:8" ht="30" customHeight="1" thickBot="1" x14ac:dyDescent="0.3">
      <c r="A1525" s="83"/>
      <c r="B1525" s="91"/>
      <c r="C1525" s="88" t="s">
        <v>9733</v>
      </c>
      <c r="D1525" s="89"/>
      <c r="E1525" s="90"/>
      <c r="F1525" s="77"/>
      <c r="G1525" s="77"/>
      <c r="H1525" s="91"/>
    </row>
    <row r="1526" spans="1:8" ht="30" customHeight="1" thickBot="1" x14ac:dyDescent="0.3">
      <c r="A1526" s="313">
        <f>+A1517+1</f>
        <v>591</v>
      </c>
      <c r="B1526" s="52" t="s">
        <v>1776</v>
      </c>
      <c r="C1526" s="108" t="s">
        <v>1823</v>
      </c>
      <c r="D1526" s="109"/>
      <c r="E1526" s="110"/>
      <c r="F1526" s="78" t="s">
        <v>1824</v>
      </c>
      <c r="G1526" s="107" t="str">
        <f>+VLOOKUP(591,prueba!$D$2:$E$733,2,FALSE)</f>
        <v>FINANCIERA</v>
      </c>
      <c r="H1526" s="335" t="s">
        <v>1825</v>
      </c>
    </row>
    <row r="1527" spans="1:8" ht="30" customHeight="1" x14ac:dyDescent="0.25">
      <c r="A1527" s="76">
        <f>+A1526+1</f>
        <v>592</v>
      </c>
      <c r="B1527" s="50" t="s">
        <v>1776</v>
      </c>
      <c r="C1527" s="63" t="s">
        <v>1826</v>
      </c>
      <c r="D1527" s="64"/>
      <c r="E1527" s="65"/>
      <c r="F1527" s="84" t="s">
        <v>1827</v>
      </c>
      <c r="G1527" s="84" t="str">
        <f>+VLOOKUP(592,prueba!$D$2:$E$733,2,FALSE)</f>
        <v>FINANCIERA RIESGOS</v>
      </c>
      <c r="H1527" s="50" t="s">
        <v>8395</v>
      </c>
    </row>
    <row r="1528" spans="1:8" ht="30" customHeight="1" thickBot="1" x14ac:dyDescent="0.3">
      <c r="A1528" s="83"/>
      <c r="B1528" s="91"/>
      <c r="C1528" s="88" t="s">
        <v>1828</v>
      </c>
      <c r="D1528" s="89"/>
      <c r="E1528" s="90"/>
      <c r="F1528" s="77"/>
      <c r="G1528" s="77"/>
      <c r="H1528" s="91"/>
    </row>
    <row r="1529" spans="1:8" ht="30" customHeight="1" x14ac:dyDescent="0.25">
      <c r="A1529" s="76">
        <f>+A1527+1</f>
        <v>593</v>
      </c>
      <c r="B1529" s="50" t="s">
        <v>1776</v>
      </c>
      <c r="C1529" s="63" t="s">
        <v>1829</v>
      </c>
      <c r="D1529" s="64"/>
      <c r="E1529" s="65"/>
      <c r="F1529" s="84" t="s">
        <v>1830</v>
      </c>
      <c r="G1529" s="84" t="str">
        <f>+VLOOKUP(593,prueba!$D$2:$E$733,2,FALSE)</f>
        <v>FINANCIERA RIESGOS</v>
      </c>
      <c r="H1529" s="50" t="s">
        <v>1831</v>
      </c>
    </row>
    <row r="1530" spans="1:8" ht="30" customHeight="1" thickBot="1" x14ac:dyDescent="0.3">
      <c r="A1530" s="83"/>
      <c r="B1530" s="91"/>
      <c r="C1530" s="88" t="s">
        <v>6019</v>
      </c>
      <c r="D1530" s="89"/>
      <c r="E1530" s="90"/>
      <c r="F1530" s="77"/>
      <c r="G1530" s="77"/>
      <c r="H1530" s="91"/>
    </row>
    <row r="1531" spans="1:8" ht="30" customHeight="1" x14ac:dyDescent="0.25">
      <c r="A1531" s="76">
        <f>+A1529+1</f>
        <v>594</v>
      </c>
      <c r="B1531" s="50" t="s">
        <v>1776</v>
      </c>
      <c r="C1531" s="63" t="s">
        <v>1832</v>
      </c>
      <c r="D1531" s="64"/>
      <c r="E1531" s="65"/>
      <c r="F1531" s="84" t="s">
        <v>1833</v>
      </c>
      <c r="G1531" s="84" t="str">
        <f>+VLOOKUP(594,prueba!$D$2:$E$733,2,FALSE)</f>
        <v>FINANCIERA</v>
      </c>
      <c r="H1531" s="50" t="s">
        <v>1834</v>
      </c>
    </row>
    <row r="1532" spans="1:8" ht="30" customHeight="1" x14ac:dyDescent="0.25">
      <c r="A1532" s="312"/>
      <c r="B1532" s="86"/>
      <c r="C1532" s="53"/>
      <c r="D1532" s="54"/>
      <c r="E1532" s="55"/>
      <c r="F1532" s="85"/>
      <c r="G1532" s="85"/>
      <c r="H1532" s="98"/>
    </row>
    <row r="1533" spans="1:8" ht="30" customHeight="1" x14ac:dyDescent="0.25">
      <c r="A1533" s="312"/>
      <c r="B1533" s="86"/>
      <c r="C1533" s="53" t="s">
        <v>1835</v>
      </c>
      <c r="D1533" s="54"/>
      <c r="E1533" s="55"/>
      <c r="F1533" s="85"/>
      <c r="G1533" s="85"/>
      <c r="H1533" s="98"/>
    </row>
    <row r="1534" spans="1:8" ht="30" customHeight="1" x14ac:dyDescent="0.25">
      <c r="A1534" s="312"/>
      <c r="B1534" s="86"/>
      <c r="C1534" s="53" t="s">
        <v>1836</v>
      </c>
      <c r="D1534" s="54"/>
      <c r="E1534" s="55"/>
      <c r="F1534" s="85"/>
      <c r="G1534" s="85"/>
      <c r="H1534" s="98"/>
    </row>
    <row r="1535" spans="1:8" ht="30" customHeight="1" x14ac:dyDescent="0.25">
      <c r="A1535" s="312"/>
      <c r="B1535" s="86"/>
      <c r="C1535" s="53" t="s">
        <v>1837</v>
      </c>
      <c r="D1535" s="54"/>
      <c r="E1535" s="55"/>
      <c r="F1535" s="85"/>
      <c r="G1535" s="85"/>
      <c r="H1535" s="98"/>
    </row>
    <row r="1536" spans="1:8" ht="30" customHeight="1" thickBot="1" x14ac:dyDescent="0.3">
      <c r="A1536" s="83"/>
      <c r="B1536" s="91"/>
      <c r="C1536" s="88"/>
      <c r="D1536" s="89"/>
      <c r="E1536" s="90"/>
      <c r="F1536" s="77"/>
      <c r="G1536" s="77"/>
      <c r="H1536" s="99"/>
    </row>
    <row r="1537" spans="1:8" ht="30" customHeight="1" x14ac:dyDescent="0.25">
      <c r="A1537" s="76">
        <f>+A1531+1</f>
        <v>595</v>
      </c>
      <c r="B1537" s="50" t="s">
        <v>1776</v>
      </c>
      <c r="C1537" s="63" t="s">
        <v>1838</v>
      </c>
      <c r="D1537" s="64"/>
      <c r="E1537" s="65"/>
      <c r="F1537" s="56" t="s">
        <v>1839</v>
      </c>
      <c r="G1537" s="84" t="str">
        <f>+VLOOKUP(595,prueba!$D$2:$E$733,2,FALSE)</f>
        <v>TÉCNICA</v>
      </c>
      <c r="H1537" s="50" t="s">
        <v>9190</v>
      </c>
    </row>
    <row r="1538" spans="1:8" ht="30" customHeight="1" x14ac:dyDescent="0.25">
      <c r="A1538" s="312"/>
      <c r="B1538" s="86"/>
      <c r="C1538" s="53"/>
      <c r="D1538" s="54"/>
      <c r="E1538" s="55"/>
      <c r="F1538" s="56" t="s">
        <v>1840</v>
      </c>
      <c r="G1538" s="85"/>
      <c r="H1538" s="86"/>
    </row>
    <row r="1539" spans="1:8" ht="30" customHeight="1" x14ac:dyDescent="0.25">
      <c r="A1539" s="312"/>
      <c r="B1539" s="86"/>
      <c r="C1539" s="53" t="s">
        <v>1841</v>
      </c>
      <c r="D1539" s="54"/>
      <c r="E1539" s="55"/>
      <c r="F1539" s="69"/>
      <c r="G1539" s="85"/>
      <c r="H1539" s="86"/>
    </row>
    <row r="1540" spans="1:8" ht="30" customHeight="1" x14ac:dyDescent="0.25">
      <c r="A1540" s="312"/>
      <c r="B1540" s="86"/>
      <c r="C1540" s="53"/>
      <c r="D1540" s="54"/>
      <c r="E1540" s="55"/>
      <c r="F1540" s="69"/>
      <c r="G1540" s="85"/>
      <c r="H1540" s="86"/>
    </row>
    <row r="1541" spans="1:8" ht="30" customHeight="1" x14ac:dyDescent="0.25">
      <c r="A1541" s="312"/>
      <c r="B1541" s="86"/>
      <c r="C1541" s="53" t="s">
        <v>1842</v>
      </c>
      <c r="D1541" s="54"/>
      <c r="E1541" s="55"/>
      <c r="F1541" s="69"/>
      <c r="G1541" s="85"/>
      <c r="H1541" s="86"/>
    </row>
    <row r="1542" spans="1:8" ht="30" customHeight="1" x14ac:dyDescent="0.25">
      <c r="A1542" s="312"/>
      <c r="B1542" s="86"/>
      <c r="C1542" s="53"/>
      <c r="D1542" s="54"/>
      <c r="E1542" s="55"/>
      <c r="F1542" s="69"/>
      <c r="G1542" s="85"/>
      <c r="H1542" s="86"/>
    </row>
    <row r="1543" spans="1:8" ht="30" customHeight="1" x14ac:dyDescent="0.25">
      <c r="A1543" s="312"/>
      <c r="B1543" s="86"/>
      <c r="C1543" s="53" t="s">
        <v>1843</v>
      </c>
      <c r="D1543" s="54"/>
      <c r="E1543" s="55"/>
      <c r="F1543" s="69"/>
      <c r="G1543" s="85"/>
      <c r="H1543" s="86"/>
    </row>
    <row r="1544" spans="1:8" ht="30" customHeight="1" thickBot="1" x14ac:dyDescent="0.3">
      <c r="A1544" s="83"/>
      <c r="B1544" s="91"/>
      <c r="C1544" s="88"/>
      <c r="D1544" s="89"/>
      <c r="E1544" s="90"/>
      <c r="F1544" s="62"/>
      <c r="G1544" s="77"/>
      <c r="H1544" s="91"/>
    </row>
    <row r="1545" spans="1:8" ht="30" customHeight="1" x14ac:dyDescent="0.25">
      <c r="A1545" s="76">
        <f>+A1537+1</f>
        <v>596</v>
      </c>
      <c r="B1545" s="50" t="s">
        <v>1776</v>
      </c>
      <c r="C1545" s="63" t="s">
        <v>1844</v>
      </c>
      <c r="D1545" s="64"/>
      <c r="E1545" s="65"/>
      <c r="F1545" s="56" t="s">
        <v>1839</v>
      </c>
      <c r="G1545" s="84" t="str">
        <f>+VLOOKUP(596,prueba!$D$2:$E$733,2,FALSE)</f>
        <v>TÉCNICA</v>
      </c>
      <c r="H1545" s="50" t="s">
        <v>9191</v>
      </c>
    </row>
    <row r="1546" spans="1:8" ht="30" customHeight="1" x14ac:dyDescent="0.25">
      <c r="A1546" s="312"/>
      <c r="B1546" s="86"/>
      <c r="C1546" s="53"/>
      <c r="D1546" s="54"/>
      <c r="E1546" s="55"/>
      <c r="F1546" s="56" t="s">
        <v>1840</v>
      </c>
      <c r="G1546" s="85"/>
      <c r="H1546" s="86"/>
    </row>
    <row r="1547" spans="1:8" ht="30" customHeight="1" x14ac:dyDescent="0.25">
      <c r="A1547" s="312"/>
      <c r="B1547" s="86"/>
      <c r="C1547" s="53" t="s">
        <v>1845</v>
      </c>
      <c r="D1547" s="54"/>
      <c r="E1547" s="55"/>
      <c r="F1547" s="69"/>
      <c r="G1547" s="85"/>
      <c r="H1547" s="86"/>
    </row>
    <row r="1548" spans="1:8" ht="30" customHeight="1" x14ac:dyDescent="0.25">
      <c r="A1548" s="312"/>
      <c r="B1548" s="86"/>
      <c r="C1548" s="53"/>
      <c r="D1548" s="54"/>
      <c r="E1548" s="55"/>
      <c r="F1548" s="69"/>
      <c r="G1548" s="85"/>
      <c r="H1548" s="86"/>
    </row>
    <row r="1549" spans="1:8" ht="30" customHeight="1" x14ac:dyDescent="0.25">
      <c r="A1549" s="312"/>
      <c r="B1549" s="86"/>
      <c r="C1549" s="53" t="s">
        <v>1842</v>
      </c>
      <c r="D1549" s="54"/>
      <c r="E1549" s="55"/>
      <c r="F1549" s="69"/>
      <c r="G1549" s="85"/>
      <c r="H1549" s="86"/>
    </row>
    <row r="1550" spans="1:8" ht="30" customHeight="1" x14ac:dyDescent="0.25">
      <c r="A1550" s="312"/>
      <c r="B1550" s="86"/>
      <c r="C1550" s="53"/>
      <c r="D1550" s="54"/>
      <c r="E1550" s="55"/>
      <c r="F1550" s="69"/>
      <c r="G1550" s="85"/>
      <c r="H1550" s="86"/>
    </row>
    <row r="1551" spans="1:8" ht="30" customHeight="1" thickBot="1" x14ac:dyDescent="0.3">
      <c r="A1551" s="83"/>
      <c r="B1551" s="91"/>
      <c r="C1551" s="88" t="s">
        <v>1843</v>
      </c>
      <c r="D1551" s="89"/>
      <c r="E1551" s="90"/>
      <c r="F1551" s="62"/>
      <c r="G1551" s="77"/>
      <c r="H1551" s="91"/>
    </row>
    <row r="1552" spans="1:8" ht="30" customHeight="1" x14ac:dyDescent="0.25">
      <c r="A1552" s="76">
        <f>+A1545+1</f>
        <v>597</v>
      </c>
      <c r="B1552" s="50" t="s">
        <v>1776</v>
      </c>
      <c r="C1552" s="63" t="s">
        <v>1846</v>
      </c>
      <c r="D1552" s="64"/>
      <c r="E1552" s="65"/>
      <c r="F1552" s="56" t="s">
        <v>1839</v>
      </c>
      <c r="G1552" s="84" t="str">
        <f>+VLOOKUP(597,prueba!$D$2:$E$733,2,FALSE)</f>
        <v>TÉCNICA</v>
      </c>
      <c r="H1552" s="50" t="s">
        <v>9192</v>
      </c>
    </row>
    <row r="1553" spans="1:8" ht="30" customHeight="1" x14ac:dyDescent="0.25">
      <c r="A1553" s="312"/>
      <c r="B1553" s="86"/>
      <c r="C1553" s="53"/>
      <c r="D1553" s="54"/>
      <c r="E1553" s="55"/>
      <c r="F1553" s="56" t="s">
        <v>1840</v>
      </c>
      <c r="G1553" s="85"/>
      <c r="H1553" s="86"/>
    </row>
    <row r="1554" spans="1:8" ht="30" customHeight="1" x14ac:dyDescent="0.25">
      <c r="A1554" s="312"/>
      <c r="B1554" s="86"/>
      <c r="C1554" s="53" t="s">
        <v>1847</v>
      </c>
      <c r="D1554" s="54"/>
      <c r="E1554" s="55"/>
      <c r="F1554" s="69"/>
      <c r="G1554" s="85"/>
      <c r="H1554" s="86"/>
    </row>
    <row r="1555" spans="1:8" ht="30" customHeight="1" x14ac:dyDescent="0.25">
      <c r="A1555" s="312"/>
      <c r="B1555" s="86"/>
      <c r="C1555" s="53"/>
      <c r="D1555" s="54"/>
      <c r="E1555" s="55"/>
      <c r="F1555" s="69"/>
      <c r="G1555" s="85"/>
      <c r="H1555" s="86"/>
    </row>
    <row r="1556" spans="1:8" ht="30" customHeight="1" x14ac:dyDescent="0.25">
      <c r="A1556" s="312"/>
      <c r="B1556" s="86"/>
      <c r="C1556" s="53" t="s">
        <v>1842</v>
      </c>
      <c r="D1556" s="54"/>
      <c r="E1556" s="55"/>
      <c r="F1556" s="69"/>
      <c r="G1556" s="85"/>
      <c r="H1556" s="86"/>
    </row>
    <row r="1557" spans="1:8" ht="30" customHeight="1" x14ac:dyDescent="0.25">
      <c r="A1557" s="312"/>
      <c r="B1557" s="86"/>
      <c r="C1557" s="53"/>
      <c r="D1557" s="54"/>
      <c r="E1557" s="55"/>
      <c r="F1557" s="69"/>
      <c r="G1557" s="85"/>
      <c r="H1557" s="86"/>
    </row>
    <row r="1558" spans="1:8" ht="30" customHeight="1" x14ac:dyDescent="0.25">
      <c r="A1558" s="312"/>
      <c r="B1558" s="86"/>
      <c r="C1558" s="53" t="s">
        <v>1848</v>
      </c>
      <c r="D1558" s="54"/>
      <c r="E1558" s="55"/>
      <c r="F1558" s="69"/>
      <c r="G1558" s="85"/>
      <c r="H1558" s="86"/>
    </row>
    <row r="1559" spans="1:8" ht="30" customHeight="1" thickBot="1" x14ac:dyDescent="0.3">
      <c r="A1559" s="83"/>
      <c r="B1559" s="91"/>
      <c r="C1559" s="88"/>
      <c r="D1559" s="89"/>
      <c r="E1559" s="90"/>
      <c r="F1559" s="62"/>
      <c r="G1559" s="77"/>
      <c r="H1559" s="91"/>
    </row>
    <row r="1560" spans="1:8" ht="30" customHeight="1" x14ac:dyDescent="0.25">
      <c r="A1560" s="76">
        <f>+A1552+1</f>
        <v>598</v>
      </c>
      <c r="B1560" s="50" t="s">
        <v>1776</v>
      </c>
      <c r="C1560" s="63" t="s">
        <v>1849</v>
      </c>
      <c r="D1560" s="64"/>
      <c r="E1560" s="65"/>
      <c r="F1560" s="84" t="s">
        <v>1850</v>
      </c>
      <c r="G1560" s="84" t="str">
        <f>+VLOOKUP(598,prueba!$D$2:$E$733,2,FALSE)</f>
        <v>FINANCIERA</v>
      </c>
      <c r="H1560" s="50" t="s">
        <v>8396</v>
      </c>
    </row>
    <row r="1561" spans="1:8" ht="30" customHeight="1" thickBot="1" x14ac:dyDescent="0.3">
      <c r="A1561" s="83"/>
      <c r="B1561" s="91"/>
      <c r="C1561" s="88"/>
      <c r="D1561" s="89"/>
      <c r="E1561" s="90"/>
      <c r="F1561" s="77"/>
      <c r="G1561" s="77"/>
      <c r="H1561" s="91"/>
    </row>
    <row r="1562" spans="1:8" ht="30" customHeight="1" x14ac:dyDescent="0.25">
      <c r="A1562" s="76">
        <f>+A1560+1</f>
        <v>599</v>
      </c>
      <c r="B1562" s="50" t="s">
        <v>1776</v>
      </c>
      <c r="C1562" s="63" t="s">
        <v>1851</v>
      </c>
      <c r="D1562" s="64"/>
      <c r="E1562" s="65"/>
      <c r="F1562" s="84" t="s">
        <v>1852</v>
      </c>
      <c r="G1562" s="84" t="str">
        <f>+VLOOKUP(599,prueba!$D$2:$E$733,2,FALSE)</f>
        <v xml:space="preserve"> FINANCIERA</v>
      </c>
      <c r="H1562" s="50" t="s">
        <v>1853</v>
      </c>
    </row>
    <row r="1563" spans="1:8" ht="30" customHeight="1" x14ac:dyDescent="0.25">
      <c r="A1563" s="312"/>
      <c r="B1563" s="86"/>
      <c r="C1563" s="53"/>
      <c r="D1563" s="54"/>
      <c r="E1563" s="55"/>
      <c r="F1563" s="85"/>
      <c r="G1563" s="85"/>
      <c r="H1563" s="86"/>
    </row>
    <row r="1564" spans="1:8" ht="30" customHeight="1" x14ac:dyDescent="0.25">
      <c r="A1564" s="312"/>
      <c r="B1564" s="86"/>
      <c r="C1564" s="53" t="s">
        <v>1854</v>
      </c>
      <c r="D1564" s="54"/>
      <c r="E1564" s="55"/>
      <c r="F1564" s="85"/>
      <c r="G1564" s="85"/>
      <c r="H1564" s="86"/>
    </row>
    <row r="1565" spans="1:8" ht="30" customHeight="1" x14ac:dyDescent="0.25">
      <c r="A1565" s="312"/>
      <c r="B1565" s="86"/>
      <c r="C1565" s="53"/>
      <c r="D1565" s="54"/>
      <c r="E1565" s="55"/>
      <c r="F1565" s="85"/>
      <c r="G1565" s="85"/>
      <c r="H1565" s="86"/>
    </row>
    <row r="1566" spans="1:8" ht="30" customHeight="1" x14ac:dyDescent="0.25">
      <c r="A1566" s="312"/>
      <c r="B1566" s="86"/>
      <c r="C1566" s="53" t="s">
        <v>1855</v>
      </c>
      <c r="D1566" s="54"/>
      <c r="E1566" s="55"/>
      <c r="F1566" s="85"/>
      <c r="G1566" s="85"/>
      <c r="H1566" s="86"/>
    </row>
    <row r="1567" spans="1:8" ht="30" customHeight="1" x14ac:dyDescent="0.25">
      <c r="A1567" s="312"/>
      <c r="B1567" s="86"/>
      <c r="C1567" s="53"/>
      <c r="D1567" s="54"/>
      <c r="E1567" s="55"/>
      <c r="F1567" s="85"/>
      <c r="G1567" s="85"/>
      <c r="H1567" s="86"/>
    </row>
    <row r="1568" spans="1:8" ht="30" customHeight="1" x14ac:dyDescent="0.25">
      <c r="A1568" s="312"/>
      <c r="B1568" s="86"/>
      <c r="C1568" s="53" t="s">
        <v>1856</v>
      </c>
      <c r="D1568" s="54"/>
      <c r="E1568" s="55"/>
      <c r="F1568" s="85"/>
      <c r="G1568" s="85"/>
      <c r="H1568" s="86"/>
    </row>
    <row r="1569" spans="1:8" ht="30" customHeight="1" x14ac:dyDescent="0.25">
      <c r="A1569" s="312"/>
      <c r="B1569" s="86"/>
      <c r="C1569" s="53"/>
      <c r="D1569" s="54"/>
      <c r="E1569" s="55"/>
      <c r="F1569" s="85"/>
      <c r="G1569" s="85"/>
      <c r="H1569" s="86"/>
    </row>
    <row r="1570" spans="1:8" ht="30" customHeight="1" x14ac:dyDescent="0.25">
      <c r="A1570" s="312"/>
      <c r="B1570" s="86"/>
      <c r="C1570" s="53" t="s">
        <v>1857</v>
      </c>
      <c r="D1570" s="54"/>
      <c r="E1570" s="55"/>
      <c r="F1570" s="85"/>
      <c r="G1570" s="85"/>
      <c r="H1570" s="86"/>
    </row>
    <row r="1571" spans="1:8" ht="30" customHeight="1" x14ac:dyDescent="0.25">
      <c r="A1571" s="312"/>
      <c r="B1571" s="86"/>
      <c r="C1571" s="53"/>
      <c r="D1571" s="54"/>
      <c r="E1571" s="55"/>
      <c r="F1571" s="85"/>
      <c r="G1571" s="85"/>
      <c r="H1571" s="86"/>
    </row>
    <row r="1572" spans="1:8" ht="30" customHeight="1" x14ac:dyDescent="0.25">
      <c r="A1572" s="312"/>
      <c r="B1572" s="86"/>
      <c r="C1572" s="53" t="s">
        <v>9734</v>
      </c>
      <c r="D1572" s="54"/>
      <c r="E1572" s="55"/>
      <c r="F1572" s="85"/>
      <c r="G1572" s="85"/>
      <c r="H1572" s="86"/>
    </row>
    <row r="1573" spans="1:8" ht="30" customHeight="1" x14ac:dyDescent="0.25">
      <c r="A1573" s="312"/>
      <c r="B1573" s="86"/>
      <c r="C1573" s="53"/>
      <c r="D1573" s="54"/>
      <c r="E1573" s="55"/>
      <c r="F1573" s="85"/>
      <c r="G1573" s="85"/>
      <c r="H1573" s="86"/>
    </row>
    <row r="1574" spans="1:8" ht="30" customHeight="1" x14ac:dyDescent="0.25">
      <c r="A1574" s="312"/>
      <c r="B1574" s="86"/>
      <c r="C1574" s="53" t="s">
        <v>9735</v>
      </c>
      <c r="D1574" s="54"/>
      <c r="E1574" s="55"/>
      <c r="F1574" s="85"/>
      <c r="G1574" s="85"/>
      <c r="H1574" s="86"/>
    </row>
    <row r="1575" spans="1:8" ht="30" customHeight="1" x14ac:dyDescent="0.25">
      <c r="A1575" s="312"/>
      <c r="B1575" s="86"/>
      <c r="C1575" s="124"/>
      <c r="D1575" s="143"/>
      <c r="E1575" s="126"/>
      <c r="F1575" s="85"/>
      <c r="G1575" s="85"/>
      <c r="H1575" s="86"/>
    </row>
    <row r="1576" spans="1:8" ht="30" customHeight="1" x14ac:dyDescent="0.25">
      <c r="A1576" s="312"/>
      <c r="B1576" s="86"/>
      <c r="C1576" s="53" t="s">
        <v>9736</v>
      </c>
      <c r="D1576" s="54"/>
      <c r="E1576" s="55"/>
      <c r="F1576" s="85"/>
      <c r="G1576" s="85"/>
      <c r="H1576" s="86"/>
    </row>
    <row r="1577" spans="1:8" ht="30" customHeight="1" x14ac:dyDescent="0.25">
      <c r="A1577" s="312"/>
      <c r="B1577" s="86"/>
      <c r="C1577" s="124"/>
      <c r="D1577" s="143"/>
      <c r="E1577" s="126"/>
      <c r="F1577" s="85"/>
      <c r="G1577" s="85"/>
      <c r="H1577" s="86"/>
    </row>
    <row r="1578" spans="1:8" ht="30" customHeight="1" x14ac:dyDescent="0.25">
      <c r="A1578" s="312"/>
      <c r="B1578" s="86"/>
      <c r="C1578" s="53" t="s">
        <v>9737</v>
      </c>
      <c r="D1578" s="54"/>
      <c r="E1578" s="55"/>
      <c r="F1578" s="85"/>
      <c r="G1578" s="85"/>
      <c r="H1578" s="86"/>
    </row>
    <row r="1579" spans="1:8" ht="30" customHeight="1" thickBot="1" x14ac:dyDescent="0.3">
      <c r="A1579" s="83"/>
      <c r="B1579" s="91"/>
      <c r="C1579" s="88"/>
      <c r="D1579" s="89"/>
      <c r="E1579" s="90"/>
      <c r="F1579" s="77"/>
      <c r="G1579" s="77"/>
      <c r="H1579" s="91"/>
    </row>
    <row r="1580" spans="1:8" ht="30" customHeight="1" x14ac:dyDescent="0.25">
      <c r="A1580" s="76">
        <f>+A1562+1</f>
        <v>600</v>
      </c>
      <c r="B1580" s="50" t="s">
        <v>1776</v>
      </c>
      <c r="C1580" s="63" t="s">
        <v>1858</v>
      </c>
      <c r="D1580" s="64"/>
      <c r="E1580" s="65"/>
      <c r="F1580" s="84" t="s">
        <v>1859</v>
      </c>
      <c r="G1580" s="84" t="str">
        <f>+VLOOKUP(600,prueba!$D$2:$E$733,2,FALSE)</f>
        <v xml:space="preserve">JURÍDICA – FINANCIERA RIESGOS- TECNICA </v>
      </c>
      <c r="H1580" s="50" t="s">
        <v>8230</v>
      </c>
    </row>
    <row r="1581" spans="1:8" ht="30" customHeight="1" x14ac:dyDescent="0.25">
      <c r="A1581" s="312"/>
      <c r="B1581" s="86"/>
      <c r="C1581" s="53"/>
      <c r="D1581" s="54"/>
      <c r="E1581" s="55"/>
      <c r="F1581" s="85"/>
      <c r="G1581" s="85"/>
      <c r="H1581" s="86"/>
    </row>
    <row r="1582" spans="1:8" ht="30" customHeight="1" x14ac:dyDescent="0.25">
      <c r="A1582" s="312"/>
      <c r="B1582" s="86"/>
      <c r="C1582" s="53" t="s">
        <v>1860</v>
      </c>
      <c r="D1582" s="54"/>
      <c r="E1582" s="55"/>
      <c r="F1582" s="85"/>
      <c r="G1582" s="85"/>
      <c r="H1582" s="86"/>
    </row>
    <row r="1583" spans="1:8" ht="30" customHeight="1" x14ac:dyDescent="0.25">
      <c r="A1583" s="312"/>
      <c r="B1583" s="86"/>
      <c r="C1583" s="53"/>
      <c r="D1583" s="54"/>
      <c r="E1583" s="55"/>
      <c r="F1583" s="85"/>
      <c r="G1583" s="85"/>
      <c r="H1583" s="86"/>
    </row>
    <row r="1584" spans="1:8" ht="30" customHeight="1" x14ac:dyDescent="0.25">
      <c r="A1584" s="312"/>
      <c r="B1584" s="86"/>
      <c r="C1584" s="53" t="s">
        <v>1861</v>
      </c>
      <c r="D1584" s="54"/>
      <c r="E1584" s="55"/>
      <c r="F1584" s="85"/>
      <c r="G1584" s="85"/>
      <c r="H1584" s="86"/>
    </row>
    <row r="1585" spans="1:8" ht="30" customHeight="1" x14ac:dyDescent="0.25">
      <c r="A1585" s="312"/>
      <c r="B1585" s="86"/>
      <c r="C1585" s="53"/>
      <c r="D1585" s="54"/>
      <c r="E1585" s="55"/>
      <c r="F1585" s="85"/>
      <c r="G1585" s="85"/>
      <c r="H1585" s="86"/>
    </row>
    <row r="1586" spans="1:8" ht="30" customHeight="1" x14ac:dyDescent="0.25">
      <c r="A1586" s="312"/>
      <c r="B1586" s="86"/>
      <c r="C1586" s="53" t="s">
        <v>9738</v>
      </c>
      <c r="D1586" s="54"/>
      <c r="E1586" s="55"/>
      <c r="F1586" s="85"/>
      <c r="G1586" s="85"/>
      <c r="H1586" s="86"/>
    </row>
    <row r="1587" spans="1:8" ht="30" customHeight="1" x14ac:dyDescent="0.25">
      <c r="A1587" s="312"/>
      <c r="B1587" s="86"/>
      <c r="C1587" s="53"/>
      <c r="D1587" s="54"/>
      <c r="E1587" s="55"/>
      <c r="F1587" s="85"/>
      <c r="G1587" s="85"/>
      <c r="H1587" s="86"/>
    </row>
    <row r="1588" spans="1:8" ht="30" customHeight="1" x14ac:dyDescent="0.25">
      <c r="A1588" s="312"/>
      <c r="B1588" s="86"/>
      <c r="C1588" s="53" t="s">
        <v>1862</v>
      </c>
      <c r="D1588" s="54"/>
      <c r="E1588" s="55"/>
      <c r="F1588" s="85"/>
      <c r="G1588" s="85"/>
      <c r="H1588" s="86"/>
    </row>
    <row r="1589" spans="1:8" ht="30" customHeight="1" x14ac:dyDescent="0.25">
      <c r="A1589" s="312"/>
      <c r="B1589" s="86"/>
      <c r="C1589" s="53"/>
      <c r="D1589" s="54"/>
      <c r="E1589" s="55"/>
      <c r="F1589" s="85"/>
      <c r="G1589" s="85"/>
      <c r="H1589" s="86"/>
    </row>
    <row r="1590" spans="1:8" ht="30" customHeight="1" thickBot="1" x14ac:dyDescent="0.3">
      <c r="A1590" s="83"/>
      <c r="B1590" s="91"/>
      <c r="C1590" s="88"/>
      <c r="D1590" s="89"/>
      <c r="E1590" s="90"/>
      <c r="F1590" s="77"/>
      <c r="G1590" s="77"/>
      <c r="H1590" s="91"/>
    </row>
    <row r="1591" spans="1:8" ht="30" customHeight="1" x14ac:dyDescent="0.25">
      <c r="A1591" s="76">
        <f>+A1580+1</f>
        <v>601</v>
      </c>
      <c r="B1591" s="50" t="s">
        <v>1776</v>
      </c>
      <c r="C1591" s="63" t="s">
        <v>1863</v>
      </c>
      <c r="D1591" s="64"/>
      <c r="E1591" s="65"/>
      <c r="F1591" s="84" t="s">
        <v>1864</v>
      </c>
      <c r="G1591" s="84" t="str">
        <f>+VLOOKUP(601,prueba!$D$2:$E$733,2,FALSE)</f>
        <v>FINANCIERA</v>
      </c>
      <c r="H1591" s="50" t="s">
        <v>1865</v>
      </c>
    </row>
    <row r="1592" spans="1:8" ht="30" customHeight="1" x14ac:dyDescent="0.25">
      <c r="A1592" s="312"/>
      <c r="B1592" s="86"/>
      <c r="C1592" s="53"/>
      <c r="D1592" s="54"/>
      <c r="E1592" s="55"/>
      <c r="F1592" s="85"/>
      <c r="G1592" s="85"/>
      <c r="H1592" s="86"/>
    </row>
    <row r="1593" spans="1:8" ht="30" customHeight="1" x14ac:dyDescent="0.25">
      <c r="A1593" s="312"/>
      <c r="B1593" s="86"/>
      <c r="C1593" s="53" t="s">
        <v>1866</v>
      </c>
      <c r="D1593" s="54"/>
      <c r="E1593" s="55"/>
      <c r="F1593" s="85"/>
      <c r="G1593" s="85"/>
      <c r="H1593" s="86"/>
    </row>
    <row r="1594" spans="1:8" ht="30" customHeight="1" x14ac:dyDescent="0.25">
      <c r="A1594" s="312"/>
      <c r="B1594" s="86"/>
      <c r="C1594" s="53" t="s">
        <v>1546</v>
      </c>
      <c r="D1594" s="54"/>
      <c r="E1594" s="55"/>
      <c r="F1594" s="85"/>
      <c r="G1594" s="85"/>
      <c r="H1594" s="86"/>
    </row>
    <row r="1595" spans="1:8" ht="30" customHeight="1" x14ac:dyDescent="0.25">
      <c r="A1595" s="312"/>
      <c r="B1595" s="86"/>
      <c r="C1595" s="53"/>
      <c r="D1595" s="54"/>
      <c r="E1595" s="55"/>
      <c r="F1595" s="85"/>
      <c r="G1595" s="85"/>
      <c r="H1595" s="86"/>
    </row>
    <row r="1596" spans="1:8" ht="30" customHeight="1" x14ac:dyDescent="0.25">
      <c r="A1596" s="312"/>
      <c r="B1596" s="86"/>
      <c r="C1596" s="42"/>
      <c r="D1596" s="43"/>
      <c r="E1596" s="44"/>
      <c r="F1596" s="85"/>
      <c r="G1596" s="85"/>
      <c r="H1596" s="86"/>
    </row>
    <row r="1597" spans="1:8" ht="30" customHeight="1" x14ac:dyDescent="0.25">
      <c r="A1597" s="312"/>
      <c r="B1597" s="86"/>
      <c r="C1597" s="53" t="s">
        <v>1867</v>
      </c>
      <c r="D1597" s="54"/>
      <c r="E1597" s="55"/>
      <c r="F1597" s="85"/>
      <c r="G1597" s="85"/>
      <c r="H1597" s="86"/>
    </row>
    <row r="1598" spans="1:8" ht="30" customHeight="1" x14ac:dyDescent="0.25">
      <c r="A1598" s="312"/>
      <c r="B1598" s="86"/>
      <c r="C1598" s="53"/>
      <c r="D1598" s="54"/>
      <c r="E1598" s="55"/>
      <c r="F1598" s="85"/>
      <c r="G1598" s="85"/>
      <c r="H1598" s="86"/>
    </row>
    <row r="1599" spans="1:8" ht="30" customHeight="1" x14ac:dyDescent="0.25">
      <c r="A1599" s="312"/>
      <c r="B1599" s="86"/>
      <c r="C1599" s="53" t="s">
        <v>1868</v>
      </c>
      <c r="D1599" s="54"/>
      <c r="E1599" s="55"/>
      <c r="F1599" s="85"/>
      <c r="G1599" s="85"/>
      <c r="H1599" s="86"/>
    </row>
    <row r="1600" spans="1:8" ht="30" customHeight="1" x14ac:dyDescent="0.25">
      <c r="A1600" s="312"/>
      <c r="B1600" s="86"/>
      <c r="C1600" s="53"/>
      <c r="D1600" s="54"/>
      <c r="E1600" s="55"/>
      <c r="F1600" s="85"/>
      <c r="G1600" s="85"/>
      <c r="H1600" s="86"/>
    </row>
    <row r="1601" spans="1:8" ht="30" customHeight="1" x14ac:dyDescent="0.25">
      <c r="A1601" s="312"/>
      <c r="B1601" s="86"/>
      <c r="C1601" s="53" t="s">
        <v>9739</v>
      </c>
      <c r="D1601" s="54"/>
      <c r="E1601" s="55"/>
      <c r="F1601" s="85"/>
      <c r="G1601" s="85"/>
      <c r="H1601" s="86"/>
    </row>
    <row r="1602" spans="1:8" ht="30" customHeight="1" x14ac:dyDescent="0.25">
      <c r="A1602" s="312"/>
      <c r="B1602" s="86"/>
      <c r="C1602" s="53"/>
      <c r="D1602" s="54"/>
      <c r="E1602" s="55"/>
      <c r="F1602" s="85"/>
      <c r="G1602" s="85"/>
      <c r="H1602" s="86"/>
    </row>
    <row r="1603" spans="1:8" ht="30" customHeight="1" x14ac:dyDescent="0.25">
      <c r="A1603" s="312"/>
      <c r="B1603" s="86"/>
      <c r="C1603" s="53" t="s">
        <v>1869</v>
      </c>
      <c r="D1603" s="54"/>
      <c r="E1603" s="55"/>
      <c r="F1603" s="85"/>
      <c r="G1603" s="85"/>
      <c r="H1603" s="86"/>
    </row>
    <row r="1604" spans="1:8" ht="30" customHeight="1" x14ac:dyDescent="0.25">
      <c r="A1604" s="312"/>
      <c r="B1604" s="86"/>
      <c r="C1604" s="53"/>
      <c r="D1604" s="54"/>
      <c r="E1604" s="55"/>
      <c r="F1604" s="85"/>
      <c r="G1604" s="85"/>
      <c r="H1604" s="86"/>
    </row>
    <row r="1605" spans="1:8" ht="30" customHeight="1" x14ac:dyDescent="0.25">
      <c r="A1605" s="312"/>
      <c r="B1605" s="86"/>
      <c r="C1605" s="53" t="s">
        <v>1870</v>
      </c>
      <c r="D1605" s="54"/>
      <c r="E1605" s="55"/>
      <c r="F1605" s="85"/>
      <c r="G1605" s="85"/>
      <c r="H1605" s="86"/>
    </row>
    <row r="1606" spans="1:8" ht="30" customHeight="1" x14ac:dyDescent="0.25">
      <c r="A1606" s="312"/>
      <c r="B1606" s="86"/>
      <c r="C1606" s="53"/>
      <c r="D1606" s="54"/>
      <c r="E1606" s="55"/>
      <c r="F1606" s="85"/>
      <c r="G1606" s="85"/>
      <c r="H1606" s="86"/>
    </row>
    <row r="1607" spans="1:8" ht="30" customHeight="1" x14ac:dyDescent="0.25">
      <c r="A1607" s="312"/>
      <c r="B1607" s="86"/>
      <c r="C1607" s="53" t="s">
        <v>1871</v>
      </c>
      <c r="D1607" s="54"/>
      <c r="E1607" s="55"/>
      <c r="F1607" s="85"/>
      <c r="G1607" s="85"/>
      <c r="H1607" s="86"/>
    </row>
    <row r="1608" spans="1:8" ht="30" customHeight="1" x14ac:dyDescent="0.25">
      <c r="A1608" s="312"/>
      <c r="B1608" s="86"/>
      <c r="C1608" s="53"/>
      <c r="D1608" s="54"/>
      <c r="E1608" s="55"/>
      <c r="F1608" s="85"/>
      <c r="G1608" s="85"/>
      <c r="H1608" s="86"/>
    </row>
    <row r="1609" spans="1:8" ht="30" customHeight="1" x14ac:dyDescent="0.25">
      <c r="A1609" s="312"/>
      <c r="B1609" s="86"/>
      <c r="C1609" s="53" t="s">
        <v>9740</v>
      </c>
      <c r="D1609" s="54"/>
      <c r="E1609" s="55"/>
      <c r="F1609" s="85"/>
      <c r="G1609" s="85"/>
      <c r="H1609" s="86"/>
    </row>
    <row r="1610" spans="1:8" ht="30" customHeight="1" x14ac:dyDescent="0.25">
      <c r="A1610" s="312"/>
      <c r="B1610" s="86"/>
      <c r="C1610" s="53"/>
      <c r="D1610" s="54"/>
      <c r="E1610" s="55"/>
      <c r="F1610" s="85"/>
      <c r="G1610" s="85"/>
      <c r="H1610" s="86"/>
    </row>
    <row r="1611" spans="1:8" ht="30" customHeight="1" x14ac:dyDescent="0.25">
      <c r="A1611" s="312"/>
      <c r="B1611" s="86"/>
      <c r="C1611" s="53" t="s">
        <v>9741</v>
      </c>
      <c r="D1611" s="54"/>
      <c r="E1611" s="55"/>
      <c r="F1611" s="85"/>
      <c r="G1611" s="85"/>
      <c r="H1611" s="86"/>
    </row>
    <row r="1612" spans="1:8" ht="30" customHeight="1" x14ac:dyDescent="0.25">
      <c r="A1612" s="312"/>
      <c r="B1612" s="86"/>
      <c r="C1612" s="124"/>
      <c r="D1612" s="143"/>
      <c r="E1612" s="126"/>
      <c r="F1612" s="85"/>
      <c r="G1612" s="85"/>
      <c r="H1612" s="86"/>
    </row>
    <row r="1613" spans="1:8" ht="30" customHeight="1" x14ac:dyDescent="0.25">
      <c r="A1613" s="312"/>
      <c r="B1613" s="86"/>
      <c r="C1613" s="53" t="s">
        <v>9742</v>
      </c>
      <c r="D1613" s="54"/>
      <c r="E1613" s="55"/>
      <c r="F1613" s="85"/>
      <c r="G1613" s="85"/>
      <c r="H1613" s="86"/>
    </row>
    <row r="1614" spans="1:8" ht="30" customHeight="1" x14ac:dyDescent="0.25">
      <c r="A1614" s="312"/>
      <c r="B1614" s="86"/>
      <c r="C1614" s="124"/>
      <c r="D1614" s="143"/>
      <c r="E1614" s="126"/>
      <c r="F1614" s="85"/>
      <c r="G1614" s="85"/>
      <c r="H1614" s="86"/>
    </row>
    <row r="1615" spans="1:8" ht="30" customHeight="1" x14ac:dyDescent="0.25">
      <c r="A1615" s="312"/>
      <c r="B1615" s="86"/>
      <c r="C1615" s="53" t="s">
        <v>9743</v>
      </c>
      <c r="D1615" s="54"/>
      <c r="E1615" s="55"/>
      <c r="F1615" s="85"/>
      <c r="G1615" s="85"/>
      <c r="H1615" s="86"/>
    </row>
    <row r="1616" spans="1:8" ht="30" customHeight="1" x14ac:dyDescent="0.25">
      <c r="A1616" s="312"/>
      <c r="B1616" s="86"/>
      <c r="C1616" s="124"/>
      <c r="D1616" s="143"/>
      <c r="E1616" s="126"/>
      <c r="F1616" s="85"/>
      <c r="G1616" s="85"/>
      <c r="H1616" s="86"/>
    </row>
    <row r="1617" spans="1:8" ht="30" customHeight="1" x14ac:dyDescent="0.25">
      <c r="A1617" s="312"/>
      <c r="B1617" s="86"/>
      <c r="C1617" s="53" t="s">
        <v>9744</v>
      </c>
      <c r="D1617" s="54"/>
      <c r="E1617" s="55"/>
      <c r="F1617" s="85"/>
      <c r="G1617" s="85"/>
      <c r="H1617" s="86"/>
    </row>
    <row r="1618" spans="1:8" ht="30" customHeight="1" x14ac:dyDescent="0.25">
      <c r="A1618" s="312"/>
      <c r="B1618" s="86"/>
      <c r="C1618" s="124"/>
      <c r="D1618" s="143"/>
      <c r="E1618" s="126"/>
      <c r="F1618" s="85"/>
      <c r="G1618" s="85"/>
      <c r="H1618" s="86"/>
    </row>
    <row r="1619" spans="1:8" ht="30" customHeight="1" x14ac:dyDescent="0.25">
      <c r="A1619" s="312"/>
      <c r="B1619" s="86"/>
      <c r="C1619" s="53" t="s">
        <v>9745</v>
      </c>
      <c r="D1619" s="54"/>
      <c r="E1619" s="55"/>
      <c r="F1619" s="85"/>
      <c r="G1619" s="85"/>
      <c r="H1619" s="86"/>
    </row>
    <row r="1620" spans="1:8" ht="30" customHeight="1" thickBot="1" x14ac:dyDescent="0.3">
      <c r="A1620" s="83"/>
      <c r="B1620" s="91"/>
      <c r="C1620" s="88"/>
      <c r="D1620" s="89"/>
      <c r="E1620" s="90"/>
      <c r="F1620" s="77"/>
      <c r="G1620" s="77"/>
      <c r="H1620" s="91"/>
    </row>
    <row r="1621" spans="1:8" ht="30" customHeight="1" x14ac:dyDescent="0.25">
      <c r="A1621" s="76">
        <f>+A1591+1</f>
        <v>602</v>
      </c>
      <c r="B1621" s="50" t="s">
        <v>1776</v>
      </c>
      <c r="C1621" s="63" t="s">
        <v>1872</v>
      </c>
      <c r="D1621" s="64"/>
      <c r="E1621" s="65"/>
      <c r="F1621" s="84" t="s">
        <v>1873</v>
      </c>
      <c r="G1621" s="84" t="str">
        <f>+VLOOKUP(602,prueba!$D$2:$E$733,2,FALSE)</f>
        <v>TÉCNICA</v>
      </c>
      <c r="H1621" s="50" t="s">
        <v>8219</v>
      </c>
    </row>
    <row r="1622" spans="1:8" ht="30" customHeight="1" x14ac:dyDescent="0.25">
      <c r="A1622" s="312"/>
      <c r="B1622" s="86"/>
      <c r="C1622" s="53"/>
      <c r="D1622" s="54"/>
      <c r="E1622" s="55"/>
      <c r="F1622" s="85"/>
      <c r="G1622" s="85"/>
      <c r="H1622" s="86"/>
    </row>
    <row r="1623" spans="1:8" ht="30" customHeight="1" x14ac:dyDescent="0.25">
      <c r="A1623" s="312"/>
      <c r="B1623" s="86"/>
      <c r="C1623" s="57"/>
      <c r="D1623" s="58"/>
      <c r="E1623" s="59"/>
      <c r="F1623" s="85"/>
      <c r="G1623" s="85"/>
      <c r="H1623" s="86"/>
    </row>
    <row r="1624" spans="1:8" ht="30" customHeight="1" x14ac:dyDescent="0.25">
      <c r="A1624" s="312"/>
      <c r="B1624" s="86"/>
      <c r="C1624" s="53" t="s">
        <v>1874</v>
      </c>
      <c r="D1624" s="54"/>
      <c r="E1624" s="55"/>
      <c r="F1624" s="85"/>
      <c r="G1624" s="85"/>
      <c r="H1624" s="86"/>
    </row>
    <row r="1625" spans="1:8" ht="30" customHeight="1" thickBot="1" x14ac:dyDescent="0.3">
      <c r="A1625" s="83"/>
      <c r="B1625" s="91"/>
      <c r="C1625" s="88" t="s">
        <v>1875</v>
      </c>
      <c r="D1625" s="89"/>
      <c r="E1625" s="90"/>
      <c r="F1625" s="77"/>
      <c r="G1625" s="77"/>
      <c r="H1625" s="91"/>
    </row>
    <row r="1626" spans="1:8" ht="30" customHeight="1" x14ac:dyDescent="0.25">
      <c r="A1626" s="76">
        <f>+A1621+1</f>
        <v>603</v>
      </c>
      <c r="B1626" s="50" t="s">
        <v>1776</v>
      </c>
      <c r="C1626" s="63" t="s">
        <v>1876</v>
      </c>
      <c r="D1626" s="64"/>
      <c r="E1626" s="65"/>
      <c r="F1626" s="84" t="s">
        <v>1840</v>
      </c>
      <c r="G1626" s="84" t="str">
        <f>+VLOOKUP(603,prueba!$D$2:$E$733,2,FALSE)</f>
        <v>TÉCNICA</v>
      </c>
      <c r="H1626" s="50" t="s">
        <v>8220</v>
      </c>
    </row>
    <row r="1627" spans="1:8" ht="30" customHeight="1" x14ac:dyDescent="0.25">
      <c r="A1627" s="312"/>
      <c r="B1627" s="86"/>
      <c r="C1627" s="53"/>
      <c r="D1627" s="54"/>
      <c r="E1627" s="55"/>
      <c r="F1627" s="85"/>
      <c r="G1627" s="85"/>
      <c r="H1627" s="86"/>
    </row>
    <row r="1628" spans="1:8" ht="30" customHeight="1" x14ac:dyDescent="0.25">
      <c r="A1628" s="312"/>
      <c r="B1628" s="86"/>
      <c r="C1628" s="53" t="s">
        <v>1877</v>
      </c>
      <c r="D1628" s="54"/>
      <c r="E1628" s="55"/>
      <c r="F1628" s="85"/>
      <c r="G1628" s="85"/>
      <c r="H1628" s="86"/>
    </row>
    <row r="1629" spans="1:8" ht="30" customHeight="1" x14ac:dyDescent="0.25">
      <c r="A1629" s="312"/>
      <c r="B1629" s="86"/>
      <c r="C1629" s="53"/>
      <c r="D1629" s="54"/>
      <c r="E1629" s="55"/>
      <c r="F1629" s="85"/>
      <c r="G1629" s="85"/>
      <c r="H1629" s="86"/>
    </row>
    <row r="1630" spans="1:8" ht="30" customHeight="1" x14ac:dyDescent="0.25">
      <c r="A1630" s="312"/>
      <c r="B1630" s="86"/>
      <c r="C1630" s="53" t="s">
        <v>1878</v>
      </c>
      <c r="D1630" s="54"/>
      <c r="E1630" s="55"/>
      <c r="F1630" s="85"/>
      <c r="G1630" s="85"/>
      <c r="H1630" s="86"/>
    </row>
    <row r="1631" spans="1:8" ht="30" customHeight="1" x14ac:dyDescent="0.25">
      <c r="A1631" s="312"/>
      <c r="B1631" s="86"/>
      <c r="C1631" s="53"/>
      <c r="D1631" s="54"/>
      <c r="E1631" s="55"/>
      <c r="F1631" s="85"/>
      <c r="G1631" s="85"/>
      <c r="H1631" s="86"/>
    </row>
    <row r="1632" spans="1:8" ht="30" customHeight="1" x14ac:dyDescent="0.25">
      <c r="A1632" s="312"/>
      <c r="B1632" s="86"/>
      <c r="C1632" s="53" t="s">
        <v>1879</v>
      </c>
      <c r="D1632" s="54"/>
      <c r="E1632" s="55"/>
      <c r="F1632" s="85"/>
      <c r="G1632" s="85"/>
      <c r="H1632" s="86"/>
    </row>
    <row r="1633" spans="1:8" ht="30" customHeight="1" x14ac:dyDescent="0.25">
      <c r="A1633" s="312"/>
      <c r="B1633" s="86"/>
      <c r="C1633" s="53"/>
      <c r="D1633" s="54"/>
      <c r="E1633" s="55"/>
      <c r="F1633" s="85"/>
      <c r="G1633" s="85"/>
      <c r="H1633" s="86"/>
    </row>
    <row r="1634" spans="1:8" ht="30" customHeight="1" x14ac:dyDescent="0.25">
      <c r="A1634" s="312"/>
      <c r="B1634" s="86"/>
      <c r="C1634" s="53" t="s">
        <v>9746</v>
      </c>
      <c r="D1634" s="54"/>
      <c r="E1634" s="55"/>
      <c r="F1634" s="85"/>
      <c r="G1634" s="85"/>
      <c r="H1634" s="86"/>
    </row>
    <row r="1635" spans="1:8" ht="30" customHeight="1" x14ac:dyDescent="0.25">
      <c r="A1635" s="312"/>
      <c r="B1635" s="86"/>
      <c r="C1635" s="53"/>
      <c r="D1635" s="54"/>
      <c r="E1635" s="55"/>
      <c r="F1635" s="85"/>
      <c r="G1635" s="85"/>
      <c r="H1635" s="86"/>
    </row>
    <row r="1636" spans="1:8" ht="30" customHeight="1" x14ac:dyDescent="0.25">
      <c r="A1636" s="312"/>
      <c r="B1636" s="86"/>
      <c r="C1636" s="53" t="s">
        <v>9747</v>
      </c>
      <c r="D1636" s="54"/>
      <c r="E1636" s="55"/>
      <c r="F1636" s="85"/>
      <c r="G1636" s="85"/>
      <c r="H1636" s="86"/>
    </row>
    <row r="1637" spans="1:8" ht="30" customHeight="1" x14ac:dyDescent="0.25">
      <c r="A1637" s="312"/>
      <c r="B1637" s="86"/>
      <c r="C1637" s="124"/>
      <c r="D1637" s="143"/>
      <c r="E1637" s="126"/>
      <c r="F1637" s="85"/>
      <c r="G1637" s="85"/>
      <c r="H1637" s="86"/>
    </row>
    <row r="1638" spans="1:8" ht="30" customHeight="1" x14ac:dyDescent="0.25">
      <c r="A1638" s="312"/>
      <c r="B1638" s="86"/>
      <c r="C1638" s="53" t="s">
        <v>9748</v>
      </c>
      <c r="D1638" s="54"/>
      <c r="E1638" s="55"/>
      <c r="F1638" s="85"/>
      <c r="G1638" s="85"/>
      <c r="H1638" s="86"/>
    </row>
    <row r="1639" spans="1:8" ht="30" customHeight="1" x14ac:dyDescent="0.25">
      <c r="A1639" s="312"/>
      <c r="B1639" s="86"/>
      <c r="C1639" s="124"/>
      <c r="D1639" s="143"/>
      <c r="E1639" s="126"/>
      <c r="F1639" s="85"/>
      <c r="G1639" s="85"/>
      <c r="H1639" s="86"/>
    </row>
    <row r="1640" spans="1:8" ht="30" customHeight="1" x14ac:dyDescent="0.25">
      <c r="A1640" s="312"/>
      <c r="B1640" s="86"/>
      <c r="C1640" s="53" t="s">
        <v>9749</v>
      </c>
      <c r="D1640" s="54"/>
      <c r="E1640" s="55"/>
      <c r="F1640" s="85"/>
      <c r="G1640" s="85"/>
      <c r="H1640" s="86"/>
    </row>
    <row r="1641" spans="1:8" ht="30" customHeight="1" thickBot="1" x14ac:dyDescent="0.3">
      <c r="A1641" s="83"/>
      <c r="B1641" s="91"/>
      <c r="C1641" s="88"/>
      <c r="D1641" s="89"/>
      <c r="E1641" s="90"/>
      <c r="F1641" s="77"/>
      <c r="G1641" s="77"/>
      <c r="H1641" s="91"/>
    </row>
    <row r="1642" spans="1:8" ht="30" customHeight="1" x14ac:dyDescent="0.25">
      <c r="A1642" s="76">
        <f>+A1626+1</f>
        <v>604</v>
      </c>
      <c r="B1642" s="50" t="s">
        <v>1776</v>
      </c>
      <c r="C1642" s="63" t="s">
        <v>1880</v>
      </c>
      <c r="D1642" s="64"/>
      <c r="E1642" s="65"/>
      <c r="F1642" s="84" t="s">
        <v>1881</v>
      </c>
      <c r="G1642" s="84" t="str">
        <f>+VLOOKUP(604,prueba!$D$2:$E$733,2,FALSE)</f>
        <v>TÉCNICA</v>
      </c>
      <c r="H1642" s="50" t="s">
        <v>1882</v>
      </c>
    </row>
    <row r="1643" spans="1:8" ht="30" customHeight="1" x14ac:dyDescent="0.25">
      <c r="A1643" s="312"/>
      <c r="B1643" s="86"/>
      <c r="C1643" s="53" t="s">
        <v>1883</v>
      </c>
      <c r="D1643" s="54"/>
      <c r="E1643" s="55"/>
      <c r="F1643" s="85"/>
      <c r="G1643" s="85"/>
      <c r="H1643" s="86"/>
    </row>
    <row r="1644" spans="1:8" ht="30" customHeight="1" x14ac:dyDescent="0.25">
      <c r="A1644" s="312"/>
      <c r="B1644" s="86"/>
      <c r="C1644" s="53"/>
      <c r="D1644" s="54"/>
      <c r="E1644" s="55"/>
      <c r="F1644" s="85"/>
      <c r="G1644" s="85"/>
      <c r="H1644" s="86"/>
    </row>
    <row r="1645" spans="1:8" ht="30" customHeight="1" x14ac:dyDescent="0.25">
      <c r="A1645" s="312"/>
      <c r="B1645" s="86"/>
      <c r="C1645" s="53" t="s">
        <v>1884</v>
      </c>
      <c r="D1645" s="54"/>
      <c r="E1645" s="55"/>
      <c r="F1645" s="85"/>
      <c r="G1645" s="85"/>
      <c r="H1645" s="86"/>
    </row>
    <row r="1646" spans="1:8" ht="30" customHeight="1" thickBot="1" x14ac:dyDescent="0.3">
      <c r="A1646" s="83"/>
      <c r="B1646" s="91"/>
      <c r="C1646" s="88"/>
      <c r="D1646" s="89"/>
      <c r="E1646" s="90"/>
      <c r="F1646" s="77"/>
      <c r="G1646" s="77"/>
      <c r="H1646" s="91"/>
    </row>
    <row r="1647" spans="1:8" ht="30" customHeight="1" x14ac:dyDescent="0.25">
      <c r="A1647" s="76">
        <f>+A1642+1</f>
        <v>605</v>
      </c>
      <c r="B1647" s="50" t="s">
        <v>1776</v>
      </c>
      <c r="C1647" s="63" t="s">
        <v>1885</v>
      </c>
      <c r="D1647" s="64"/>
      <c r="E1647" s="65"/>
      <c r="F1647" s="84" t="s">
        <v>1886</v>
      </c>
      <c r="G1647" s="84" t="str">
        <f>+VLOOKUP(605,prueba!$D$2:$E$733,2,FALSE)</f>
        <v>TÉCNICA</v>
      </c>
      <c r="H1647" s="50" t="s">
        <v>1887</v>
      </c>
    </row>
    <row r="1648" spans="1:8" ht="30" customHeight="1" x14ac:dyDescent="0.25">
      <c r="A1648" s="312"/>
      <c r="B1648" s="86"/>
      <c r="C1648" s="53"/>
      <c r="D1648" s="54"/>
      <c r="E1648" s="55"/>
      <c r="F1648" s="85"/>
      <c r="G1648" s="85"/>
      <c r="H1648" s="86"/>
    </row>
    <row r="1649" spans="1:8" ht="30" customHeight="1" x14ac:dyDescent="0.25">
      <c r="A1649" s="312"/>
      <c r="B1649" s="86"/>
      <c r="C1649" s="53" t="s">
        <v>1888</v>
      </c>
      <c r="D1649" s="54"/>
      <c r="E1649" s="55"/>
      <c r="F1649" s="85"/>
      <c r="G1649" s="85"/>
      <c r="H1649" s="86"/>
    </row>
    <row r="1650" spans="1:8" ht="30" customHeight="1" thickBot="1" x14ac:dyDescent="0.3">
      <c r="A1650" s="83"/>
      <c r="B1650" s="91"/>
      <c r="C1650" s="88"/>
      <c r="D1650" s="89"/>
      <c r="E1650" s="90"/>
      <c r="F1650" s="77"/>
      <c r="G1650" s="77"/>
      <c r="H1650" s="91"/>
    </row>
    <row r="1651" spans="1:8" ht="30" customHeight="1" x14ac:dyDescent="0.25">
      <c r="A1651" s="76">
        <f>+A1647+1</f>
        <v>606</v>
      </c>
      <c r="B1651" s="50" t="s">
        <v>1776</v>
      </c>
      <c r="C1651" s="63" t="s">
        <v>1889</v>
      </c>
      <c r="D1651" s="64"/>
      <c r="E1651" s="65"/>
      <c r="F1651" s="84" t="s">
        <v>1890</v>
      </c>
      <c r="G1651" s="84" t="str">
        <f>+VLOOKUP(606,prueba!$D$2:$E$733,2,FALSE)</f>
        <v>TÉCNICA</v>
      </c>
      <c r="H1651" s="50" t="s">
        <v>7903</v>
      </c>
    </row>
    <row r="1652" spans="1:8" ht="30" customHeight="1" x14ac:dyDescent="0.25">
      <c r="A1652" s="312"/>
      <c r="B1652" s="86"/>
      <c r="C1652" s="53" t="s">
        <v>1891</v>
      </c>
      <c r="D1652" s="54"/>
      <c r="E1652" s="55"/>
      <c r="F1652" s="85"/>
      <c r="G1652" s="85"/>
      <c r="H1652" s="86"/>
    </row>
    <row r="1653" spans="1:8" ht="30" customHeight="1" x14ac:dyDescent="0.25">
      <c r="A1653" s="312"/>
      <c r="B1653" s="86"/>
      <c r="C1653" s="53"/>
      <c r="D1653" s="54"/>
      <c r="E1653" s="55"/>
      <c r="F1653" s="85"/>
      <c r="G1653" s="85"/>
      <c r="H1653" s="86"/>
    </row>
    <row r="1654" spans="1:8" ht="30" customHeight="1" x14ac:dyDescent="0.25">
      <c r="A1654" s="312"/>
      <c r="B1654" s="86"/>
      <c r="C1654" s="53" t="s">
        <v>1892</v>
      </c>
      <c r="D1654" s="54"/>
      <c r="E1654" s="55"/>
      <c r="F1654" s="85"/>
      <c r="G1654" s="85"/>
      <c r="H1654" s="86"/>
    </row>
    <row r="1655" spans="1:8" ht="30" customHeight="1" thickBot="1" x14ac:dyDescent="0.3">
      <c r="A1655" s="83"/>
      <c r="B1655" s="91"/>
      <c r="C1655" s="88"/>
      <c r="D1655" s="89"/>
      <c r="E1655" s="90"/>
      <c r="F1655" s="77"/>
      <c r="G1655" s="77"/>
      <c r="H1655" s="91"/>
    </row>
    <row r="1656" spans="1:8" ht="30" customHeight="1" x14ac:dyDescent="0.25">
      <c r="A1656" s="76">
        <f>+A1651+1</f>
        <v>607</v>
      </c>
      <c r="B1656" s="50" t="s">
        <v>1776</v>
      </c>
      <c r="C1656" s="63"/>
      <c r="D1656" s="64"/>
      <c r="E1656" s="65"/>
      <c r="F1656" s="84" t="s">
        <v>1893</v>
      </c>
      <c r="G1656" s="84" t="str">
        <f>+VLOOKUP(607,prueba!$D$2:$E$733,2,FALSE)</f>
        <v>TÉCNICA</v>
      </c>
      <c r="H1656" s="50" t="s">
        <v>1894</v>
      </c>
    </row>
    <row r="1657" spans="1:8" ht="30" customHeight="1" thickBot="1" x14ac:dyDescent="0.3">
      <c r="A1657" s="83"/>
      <c r="B1657" s="91"/>
      <c r="C1657" s="88" t="s">
        <v>1895</v>
      </c>
      <c r="D1657" s="89"/>
      <c r="E1657" s="90"/>
      <c r="F1657" s="77"/>
      <c r="G1657" s="77"/>
      <c r="H1657" s="91"/>
    </row>
    <row r="1658" spans="1:8" ht="30" customHeight="1" x14ac:dyDescent="0.25">
      <c r="A1658" s="76">
        <f>+A1656+1</f>
        <v>608</v>
      </c>
      <c r="B1658" s="50" t="s">
        <v>1776</v>
      </c>
      <c r="C1658" s="63" t="s">
        <v>1896</v>
      </c>
      <c r="D1658" s="64"/>
      <c r="E1658" s="65"/>
      <c r="F1658" s="84" t="s">
        <v>1897</v>
      </c>
      <c r="G1658" s="84" t="str">
        <f>+VLOOKUP(608,prueba!$D$2:$E$733,2,FALSE)</f>
        <v>TÉCNICA</v>
      </c>
      <c r="H1658" s="50" t="s">
        <v>1898</v>
      </c>
    </row>
    <row r="1659" spans="1:8" ht="30" customHeight="1" x14ac:dyDescent="0.25">
      <c r="A1659" s="312"/>
      <c r="B1659" s="86"/>
      <c r="C1659" s="53" t="s">
        <v>1899</v>
      </c>
      <c r="D1659" s="54"/>
      <c r="E1659" s="55"/>
      <c r="F1659" s="85"/>
      <c r="G1659" s="85"/>
      <c r="H1659" s="86"/>
    </row>
    <row r="1660" spans="1:8" ht="30" customHeight="1" thickBot="1" x14ac:dyDescent="0.3">
      <c r="A1660" s="83"/>
      <c r="B1660" s="91"/>
      <c r="C1660" s="88" t="s">
        <v>9750</v>
      </c>
      <c r="D1660" s="89"/>
      <c r="E1660" s="90"/>
      <c r="F1660" s="77"/>
      <c r="G1660" s="77"/>
      <c r="H1660" s="91"/>
    </row>
    <row r="1661" spans="1:8" ht="30" customHeight="1" x14ac:dyDescent="0.25">
      <c r="A1661" s="76">
        <f>+A1658+1</f>
        <v>609</v>
      </c>
      <c r="B1661" s="50" t="s">
        <v>1900</v>
      </c>
      <c r="C1661" s="140" t="s">
        <v>1901</v>
      </c>
      <c r="D1661" s="141"/>
      <c r="E1661" s="142"/>
      <c r="F1661" s="84" t="s">
        <v>1902</v>
      </c>
      <c r="G1661" s="84" t="str">
        <f>+VLOOKUP(609,prueba!$D$2:$E$733,2,FALSE)</f>
        <v>FINANCIERA SEGUROS</v>
      </c>
      <c r="H1661" s="50" t="s">
        <v>359</v>
      </c>
    </row>
    <row r="1662" spans="1:8" ht="30" customHeight="1" x14ac:dyDescent="0.25">
      <c r="A1662" s="312"/>
      <c r="B1662" s="86"/>
      <c r="C1662" s="53" t="s">
        <v>9751</v>
      </c>
      <c r="D1662" s="54"/>
      <c r="E1662" s="55"/>
      <c r="F1662" s="85"/>
      <c r="G1662" s="85"/>
      <c r="H1662" s="86"/>
    </row>
    <row r="1663" spans="1:8" ht="30" customHeight="1" x14ac:dyDescent="0.25">
      <c r="A1663" s="312"/>
      <c r="B1663" s="86"/>
      <c r="C1663" s="53"/>
      <c r="D1663" s="54"/>
      <c r="E1663" s="55"/>
      <c r="F1663" s="85"/>
      <c r="G1663" s="85"/>
      <c r="H1663" s="86"/>
    </row>
    <row r="1664" spans="1:8" ht="30" customHeight="1" x14ac:dyDescent="0.25">
      <c r="A1664" s="312"/>
      <c r="B1664" s="86"/>
      <c r="C1664" s="53" t="s">
        <v>1903</v>
      </c>
      <c r="D1664" s="54"/>
      <c r="E1664" s="55"/>
      <c r="F1664" s="85"/>
      <c r="G1664" s="85"/>
      <c r="H1664" s="86"/>
    </row>
    <row r="1665" spans="1:8" ht="30" customHeight="1" x14ac:dyDescent="0.25">
      <c r="A1665" s="312"/>
      <c r="B1665" s="86"/>
      <c r="C1665" s="53"/>
      <c r="D1665" s="54"/>
      <c r="E1665" s="55"/>
      <c r="F1665" s="85"/>
      <c r="G1665" s="85"/>
      <c r="H1665" s="86"/>
    </row>
    <row r="1666" spans="1:8" ht="30" customHeight="1" x14ac:dyDescent="0.25">
      <c r="A1666" s="312"/>
      <c r="B1666" s="86"/>
      <c r="C1666" s="53" t="s">
        <v>1904</v>
      </c>
      <c r="D1666" s="54"/>
      <c r="E1666" s="55"/>
      <c r="F1666" s="85"/>
      <c r="G1666" s="85"/>
      <c r="H1666" s="86"/>
    </row>
    <row r="1667" spans="1:8" ht="30" customHeight="1" x14ac:dyDescent="0.25">
      <c r="A1667" s="312"/>
      <c r="B1667" s="86"/>
      <c r="C1667" s="53"/>
      <c r="D1667" s="54"/>
      <c r="E1667" s="55"/>
      <c r="F1667" s="85"/>
      <c r="G1667" s="85"/>
      <c r="H1667" s="86"/>
    </row>
    <row r="1668" spans="1:8" ht="30" customHeight="1" x14ac:dyDescent="0.25">
      <c r="A1668" s="312"/>
      <c r="B1668" s="86"/>
      <c r="C1668" s="66"/>
      <c r="D1668" s="67"/>
      <c r="E1668" s="68"/>
      <c r="F1668" s="85"/>
      <c r="G1668" s="85"/>
      <c r="H1668" s="86"/>
    </row>
    <row r="1669" spans="1:8" ht="30" customHeight="1" x14ac:dyDescent="0.25">
      <c r="A1669" s="312"/>
      <c r="B1669" s="86"/>
      <c r="C1669" s="53"/>
      <c r="D1669" s="54"/>
      <c r="E1669" s="55"/>
      <c r="F1669" s="85"/>
      <c r="G1669" s="85"/>
      <c r="H1669" s="86"/>
    </row>
    <row r="1670" spans="1:8" ht="30" customHeight="1" x14ac:dyDescent="0.25">
      <c r="A1670" s="312"/>
      <c r="B1670" s="86"/>
      <c r="C1670" s="53" t="s">
        <v>1905</v>
      </c>
      <c r="D1670" s="54"/>
      <c r="E1670" s="55"/>
      <c r="F1670" s="85"/>
      <c r="G1670" s="85"/>
      <c r="H1670" s="86"/>
    </row>
    <row r="1671" spans="1:8" ht="30" customHeight="1" x14ac:dyDescent="0.25">
      <c r="A1671" s="312"/>
      <c r="B1671" s="86"/>
      <c r="C1671" s="53"/>
      <c r="D1671" s="54"/>
      <c r="E1671" s="55"/>
      <c r="F1671" s="85"/>
      <c r="G1671" s="85"/>
      <c r="H1671" s="86"/>
    </row>
    <row r="1672" spans="1:8" ht="30" customHeight="1" x14ac:dyDescent="0.25">
      <c r="A1672" s="312"/>
      <c r="B1672" s="86"/>
      <c r="C1672" s="53" t="s">
        <v>1906</v>
      </c>
      <c r="D1672" s="54"/>
      <c r="E1672" s="55"/>
      <c r="F1672" s="85"/>
      <c r="G1672" s="85"/>
      <c r="H1672" s="86"/>
    </row>
    <row r="1673" spans="1:8" ht="30" customHeight="1" x14ac:dyDescent="0.25">
      <c r="A1673" s="312"/>
      <c r="B1673" s="86"/>
      <c r="C1673" s="53"/>
      <c r="D1673" s="54"/>
      <c r="E1673" s="55"/>
      <c r="F1673" s="85"/>
      <c r="G1673" s="85"/>
      <c r="H1673" s="86"/>
    </row>
    <row r="1674" spans="1:8" ht="30" customHeight="1" thickBot="1" x14ac:dyDescent="0.3">
      <c r="A1674" s="83"/>
      <c r="B1674" s="91"/>
      <c r="C1674" s="88"/>
      <c r="D1674" s="89"/>
      <c r="E1674" s="90"/>
      <c r="F1674" s="77"/>
      <c r="G1674" s="77"/>
      <c r="H1674" s="91"/>
    </row>
    <row r="1675" spans="1:8" ht="30" customHeight="1" x14ac:dyDescent="0.25">
      <c r="A1675" s="76">
        <f>+A1661+1</f>
        <v>610</v>
      </c>
      <c r="B1675" s="50" t="s">
        <v>1900</v>
      </c>
      <c r="C1675" s="140" t="s">
        <v>1907</v>
      </c>
      <c r="D1675" s="141"/>
      <c r="E1675" s="142"/>
      <c r="F1675" s="84" t="s">
        <v>1902</v>
      </c>
      <c r="G1675" s="84" t="str">
        <f>+VLOOKUP(610,prueba!$D$2:$E$733,2,FALSE)</f>
        <v>FINANCIERA SEGUROS</v>
      </c>
      <c r="H1675" s="50" t="s">
        <v>359</v>
      </c>
    </row>
    <row r="1676" spans="1:8" ht="30" customHeight="1" x14ac:dyDescent="0.25">
      <c r="A1676" s="312"/>
      <c r="B1676" s="86"/>
      <c r="C1676" s="53" t="s">
        <v>9752</v>
      </c>
      <c r="D1676" s="54"/>
      <c r="E1676" s="55"/>
      <c r="F1676" s="85"/>
      <c r="G1676" s="85"/>
      <c r="H1676" s="86"/>
    </row>
    <row r="1677" spans="1:8" ht="30" customHeight="1" x14ac:dyDescent="0.25">
      <c r="A1677" s="312"/>
      <c r="B1677" s="86"/>
      <c r="C1677" s="53"/>
      <c r="D1677" s="54"/>
      <c r="E1677" s="55"/>
      <c r="F1677" s="85"/>
      <c r="G1677" s="85"/>
      <c r="H1677" s="86"/>
    </row>
    <row r="1678" spans="1:8" ht="30" customHeight="1" x14ac:dyDescent="0.25">
      <c r="A1678" s="312"/>
      <c r="B1678" s="86"/>
      <c r="C1678" s="53" t="s">
        <v>1908</v>
      </c>
      <c r="D1678" s="54"/>
      <c r="E1678" s="55"/>
      <c r="F1678" s="85"/>
      <c r="G1678" s="85"/>
      <c r="H1678" s="86"/>
    </row>
    <row r="1679" spans="1:8" ht="30" customHeight="1" x14ac:dyDescent="0.25">
      <c r="A1679" s="312"/>
      <c r="B1679" s="86"/>
      <c r="C1679" s="53"/>
      <c r="D1679" s="54"/>
      <c r="E1679" s="55"/>
      <c r="F1679" s="85"/>
      <c r="G1679" s="85"/>
      <c r="H1679" s="86"/>
    </row>
    <row r="1680" spans="1:8" ht="30" customHeight="1" x14ac:dyDescent="0.25">
      <c r="A1680" s="312"/>
      <c r="B1680" s="86"/>
      <c r="C1680" s="53" t="s">
        <v>1909</v>
      </c>
      <c r="D1680" s="54"/>
      <c r="E1680" s="55"/>
      <c r="F1680" s="85"/>
      <c r="G1680" s="85"/>
      <c r="H1680" s="86"/>
    </row>
    <row r="1681" spans="1:8" ht="30" customHeight="1" x14ac:dyDescent="0.25">
      <c r="A1681" s="312"/>
      <c r="B1681" s="86"/>
      <c r="C1681" s="53"/>
      <c r="D1681" s="54"/>
      <c r="E1681" s="55"/>
      <c r="F1681" s="85"/>
      <c r="G1681" s="85"/>
      <c r="H1681" s="86"/>
    </row>
    <row r="1682" spans="1:8" ht="30" customHeight="1" x14ac:dyDescent="0.25">
      <c r="A1682" s="312"/>
      <c r="B1682" s="86"/>
      <c r="C1682" s="53" t="s">
        <v>1910</v>
      </c>
      <c r="D1682" s="54"/>
      <c r="E1682" s="55"/>
      <c r="F1682" s="85"/>
      <c r="G1682" s="85"/>
      <c r="H1682" s="86"/>
    </row>
    <row r="1683" spans="1:8" ht="30" customHeight="1" x14ac:dyDescent="0.25">
      <c r="A1683" s="312"/>
      <c r="B1683" s="86"/>
      <c r="C1683" s="53"/>
      <c r="D1683" s="54"/>
      <c r="E1683" s="55"/>
      <c r="F1683" s="85"/>
      <c r="G1683" s="85"/>
      <c r="H1683" s="86"/>
    </row>
    <row r="1684" spans="1:8" ht="30" customHeight="1" x14ac:dyDescent="0.25">
      <c r="A1684" s="312"/>
      <c r="B1684" s="86"/>
      <c r="C1684" s="66"/>
      <c r="D1684" s="67"/>
      <c r="E1684" s="68"/>
      <c r="F1684" s="85"/>
      <c r="G1684" s="85"/>
      <c r="H1684" s="86"/>
    </row>
    <row r="1685" spans="1:8" ht="30" customHeight="1" x14ac:dyDescent="0.25">
      <c r="A1685" s="312"/>
      <c r="B1685" s="86"/>
      <c r="C1685" s="53"/>
      <c r="D1685" s="54"/>
      <c r="E1685" s="55"/>
      <c r="F1685" s="85"/>
      <c r="G1685" s="85"/>
      <c r="H1685" s="86"/>
    </row>
    <row r="1686" spans="1:8" ht="30" customHeight="1" x14ac:dyDescent="0.25">
      <c r="A1686" s="312"/>
      <c r="B1686" s="86"/>
      <c r="C1686" s="53" t="s">
        <v>1911</v>
      </c>
      <c r="D1686" s="54"/>
      <c r="E1686" s="55"/>
      <c r="F1686" s="85"/>
      <c r="G1686" s="85"/>
      <c r="H1686" s="86"/>
    </row>
    <row r="1687" spans="1:8" ht="30" customHeight="1" x14ac:dyDescent="0.25">
      <c r="A1687" s="312"/>
      <c r="B1687" s="86"/>
      <c r="C1687" s="53"/>
      <c r="D1687" s="54"/>
      <c r="E1687" s="55"/>
      <c r="F1687" s="85"/>
      <c r="G1687" s="85"/>
      <c r="H1687" s="86"/>
    </row>
    <row r="1688" spans="1:8" ht="30" customHeight="1" x14ac:dyDescent="0.25">
      <c r="A1688" s="312"/>
      <c r="B1688" s="86"/>
      <c r="C1688" s="53" t="s">
        <v>1912</v>
      </c>
      <c r="D1688" s="54"/>
      <c r="E1688" s="55"/>
      <c r="F1688" s="85"/>
      <c r="G1688" s="85"/>
      <c r="H1688" s="86"/>
    </row>
    <row r="1689" spans="1:8" ht="30" customHeight="1" x14ac:dyDescent="0.25">
      <c r="A1689" s="312"/>
      <c r="B1689" s="86"/>
      <c r="C1689" s="53"/>
      <c r="D1689" s="54"/>
      <c r="E1689" s="55"/>
      <c r="F1689" s="85"/>
      <c r="G1689" s="85"/>
      <c r="H1689" s="86"/>
    </row>
    <row r="1690" spans="1:8" ht="30" customHeight="1" x14ac:dyDescent="0.25">
      <c r="A1690" s="312"/>
      <c r="B1690" s="86"/>
      <c r="C1690" s="112" t="s">
        <v>1913</v>
      </c>
      <c r="D1690" s="113"/>
      <c r="E1690" s="114"/>
      <c r="F1690" s="85"/>
      <c r="G1690" s="85"/>
      <c r="H1690" s="86"/>
    </row>
    <row r="1691" spans="1:8" ht="30" customHeight="1" x14ac:dyDescent="0.25">
      <c r="A1691" s="312"/>
      <c r="B1691" s="86"/>
      <c r="C1691" s="53"/>
      <c r="D1691" s="54"/>
      <c r="E1691" s="55"/>
      <c r="F1691" s="85"/>
      <c r="G1691" s="85"/>
      <c r="H1691" s="86"/>
    </row>
    <row r="1692" spans="1:8" ht="30" customHeight="1" x14ac:dyDescent="0.25">
      <c r="A1692" s="312"/>
      <c r="B1692" s="86"/>
      <c r="C1692" s="53" t="s">
        <v>1914</v>
      </c>
      <c r="D1692" s="54"/>
      <c r="E1692" s="55"/>
      <c r="F1692" s="85"/>
      <c r="G1692" s="85"/>
      <c r="H1692" s="86"/>
    </row>
    <row r="1693" spans="1:8" ht="30" customHeight="1" x14ac:dyDescent="0.25">
      <c r="A1693" s="312"/>
      <c r="B1693" s="86"/>
      <c r="C1693" s="42"/>
      <c r="D1693" s="43"/>
      <c r="E1693" s="44"/>
      <c r="F1693" s="85"/>
      <c r="G1693" s="85"/>
      <c r="H1693" s="86"/>
    </row>
    <row r="1694" spans="1:8" ht="30" customHeight="1" thickBot="1" x14ac:dyDescent="0.3">
      <c r="A1694" s="83"/>
      <c r="B1694" s="91"/>
      <c r="C1694" s="88"/>
      <c r="D1694" s="89"/>
      <c r="E1694" s="90"/>
      <c r="F1694" s="77"/>
      <c r="G1694" s="77"/>
      <c r="H1694" s="91"/>
    </row>
    <row r="1695" spans="1:8" ht="30" customHeight="1" x14ac:dyDescent="0.25">
      <c r="A1695" s="76">
        <f>+A1675+1</f>
        <v>611</v>
      </c>
      <c r="B1695" s="50" t="s">
        <v>1900</v>
      </c>
      <c r="C1695" s="63" t="s">
        <v>9753</v>
      </c>
      <c r="D1695" s="64"/>
      <c r="E1695" s="65"/>
      <c r="F1695" s="84" t="s">
        <v>1915</v>
      </c>
      <c r="G1695" s="84" t="str">
        <f>+VLOOKUP(611,prueba!$D$2:$E$733,2,FALSE)</f>
        <v>FINANCIERA SEGUROS</v>
      </c>
      <c r="H1695" s="50" t="s">
        <v>2599</v>
      </c>
    </row>
    <row r="1696" spans="1:8" ht="30" customHeight="1" x14ac:dyDescent="0.25">
      <c r="A1696" s="312"/>
      <c r="B1696" s="86"/>
      <c r="C1696" s="53"/>
      <c r="D1696" s="54"/>
      <c r="E1696" s="55"/>
      <c r="F1696" s="85"/>
      <c r="G1696" s="85"/>
      <c r="H1696" s="86"/>
    </row>
    <row r="1697" spans="1:8" ht="30" customHeight="1" x14ac:dyDescent="0.25">
      <c r="A1697" s="312"/>
      <c r="B1697" s="86"/>
      <c r="C1697" s="53" t="s">
        <v>1916</v>
      </c>
      <c r="D1697" s="54"/>
      <c r="E1697" s="55"/>
      <c r="F1697" s="85"/>
      <c r="G1697" s="85"/>
      <c r="H1697" s="86"/>
    </row>
    <row r="1698" spans="1:8" ht="30" customHeight="1" x14ac:dyDescent="0.25">
      <c r="A1698" s="312"/>
      <c r="B1698" s="86"/>
      <c r="C1698" s="53"/>
      <c r="D1698" s="54"/>
      <c r="E1698" s="55"/>
      <c r="F1698" s="85"/>
      <c r="G1698" s="85"/>
      <c r="H1698" s="86"/>
    </row>
    <row r="1699" spans="1:8" ht="30" customHeight="1" x14ac:dyDescent="0.25">
      <c r="A1699" s="312"/>
      <c r="B1699" s="86"/>
      <c r="C1699" s="53" t="s">
        <v>1917</v>
      </c>
      <c r="D1699" s="54"/>
      <c r="E1699" s="55"/>
      <c r="F1699" s="85"/>
      <c r="G1699" s="85"/>
      <c r="H1699" s="86"/>
    </row>
    <row r="1700" spans="1:8" ht="30" customHeight="1" x14ac:dyDescent="0.25">
      <c r="A1700" s="312"/>
      <c r="B1700" s="86"/>
      <c r="C1700" s="53"/>
      <c r="D1700" s="54"/>
      <c r="E1700" s="55"/>
      <c r="F1700" s="85"/>
      <c r="G1700" s="85"/>
      <c r="H1700" s="86"/>
    </row>
    <row r="1701" spans="1:8" ht="30" customHeight="1" thickBot="1" x14ac:dyDescent="0.3">
      <c r="A1701" s="83"/>
      <c r="B1701" s="91"/>
      <c r="C1701" s="88"/>
      <c r="D1701" s="89"/>
      <c r="E1701" s="90"/>
      <c r="F1701" s="77"/>
      <c r="G1701" s="77"/>
      <c r="H1701" s="91"/>
    </row>
    <row r="1702" spans="1:8" ht="30" customHeight="1" x14ac:dyDescent="0.25">
      <c r="A1702" s="76">
        <f>+A1695+1</f>
        <v>612</v>
      </c>
      <c r="B1702" s="50" t="s">
        <v>1900</v>
      </c>
      <c r="C1702" s="63" t="s">
        <v>9754</v>
      </c>
      <c r="D1702" s="64"/>
      <c r="E1702" s="65"/>
      <c r="F1702" s="84" t="s">
        <v>1918</v>
      </c>
      <c r="G1702" s="84" t="str">
        <f>+VLOOKUP(612,prueba!$D$2:$E$733,2,FALSE)</f>
        <v>FINANCIERA SEGUROS</v>
      </c>
      <c r="H1702" s="50" t="s">
        <v>8321</v>
      </c>
    </row>
    <row r="1703" spans="1:8" ht="30" customHeight="1" x14ac:dyDescent="0.25">
      <c r="A1703" s="312"/>
      <c r="B1703" s="86"/>
      <c r="C1703" s="53"/>
      <c r="D1703" s="54"/>
      <c r="E1703" s="55"/>
      <c r="F1703" s="85"/>
      <c r="G1703" s="85"/>
      <c r="H1703" s="86"/>
    </row>
    <row r="1704" spans="1:8" ht="30" customHeight="1" x14ac:dyDescent="0.25">
      <c r="A1704" s="312"/>
      <c r="B1704" s="86"/>
      <c r="C1704" s="53" t="s">
        <v>1919</v>
      </c>
      <c r="D1704" s="54"/>
      <c r="E1704" s="55"/>
      <c r="F1704" s="85"/>
      <c r="G1704" s="85"/>
      <c r="H1704" s="86"/>
    </row>
    <row r="1705" spans="1:8" ht="30" customHeight="1" x14ac:dyDescent="0.25">
      <c r="A1705" s="312"/>
      <c r="B1705" s="86"/>
      <c r="C1705" s="53"/>
      <c r="D1705" s="54"/>
      <c r="E1705" s="55"/>
      <c r="F1705" s="85"/>
      <c r="G1705" s="85"/>
      <c r="H1705" s="86"/>
    </row>
    <row r="1706" spans="1:8" ht="30" customHeight="1" x14ac:dyDescent="0.25">
      <c r="A1706" s="312"/>
      <c r="B1706" s="86"/>
      <c r="C1706" s="112" t="s">
        <v>589</v>
      </c>
      <c r="D1706" s="113"/>
      <c r="E1706" s="114"/>
      <c r="F1706" s="85"/>
      <c r="G1706" s="85"/>
      <c r="H1706" s="86"/>
    </row>
    <row r="1707" spans="1:8" ht="30" customHeight="1" x14ac:dyDescent="0.25">
      <c r="A1707" s="312"/>
      <c r="B1707" s="86"/>
      <c r="C1707" s="112"/>
      <c r="D1707" s="113"/>
      <c r="E1707" s="114"/>
      <c r="F1707" s="85"/>
      <c r="G1707" s="85"/>
      <c r="H1707" s="86"/>
    </row>
    <row r="1708" spans="1:8" ht="30" customHeight="1" x14ac:dyDescent="0.25">
      <c r="A1708" s="312"/>
      <c r="B1708" s="86"/>
      <c r="C1708" s="112" t="s">
        <v>1920</v>
      </c>
      <c r="D1708" s="113"/>
      <c r="E1708" s="114"/>
      <c r="F1708" s="85"/>
      <c r="G1708" s="85"/>
      <c r="H1708" s="86"/>
    </row>
    <row r="1709" spans="1:8" ht="30" customHeight="1" x14ac:dyDescent="0.25">
      <c r="A1709" s="312"/>
      <c r="B1709" s="86"/>
      <c r="C1709" s="53"/>
      <c r="D1709" s="54"/>
      <c r="E1709" s="55"/>
      <c r="F1709" s="85"/>
      <c r="G1709" s="85"/>
      <c r="H1709" s="86"/>
    </row>
    <row r="1710" spans="1:8" ht="30" customHeight="1" x14ac:dyDescent="0.25">
      <c r="A1710" s="312"/>
      <c r="B1710" s="86"/>
      <c r="C1710" s="53" t="s">
        <v>1921</v>
      </c>
      <c r="D1710" s="54"/>
      <c r="E1710" s="55"/>
      <c r="F1710" s="85"/>
      <c r="G1710" s="85"/>
      <c r="H1710" s="86"/>
    </row>
    <row r="1711" spans="1:8" ht="30" customHeight="1" x14ac:dyDescent="0.25">
      <c r="A1711" s="312"/>
      <c r="B1711" s="86"/>
      <c r="C1711" s="53"/>
      <c r="D1711" s="54"/>
      <c r="E1711" s="55"/>
      <c r="F1711" s="85"/>
      <c r="G1711" s="85"/>
      <c r="H1711" s="86"/>
    </row>
    <row r="1712" spans="1:8" ht="30" customHeight="1" x14ac:dyDescent="0.25">
      <c r="A1712" s="312"/>
      <c r="B1712" s="86"/>
      <c r="C1712" s="53" t="s">
        <v>1922</v>
      </c>
      <c r="D1712" s="54"/>
      <c r="E1712" s="55"/>
      <c r="F1712" s="85"/>
      <c r="G1712" s="85"/>
      <c r="H1712" s="86"/>
    </row>
    <row r="1713" spans="1:8" ht="30" customHeight="1" x14ac:dyDescent="0.25">
      <c r="A1713" s="312"/>
      <c r="B1713" s="86"/>
      <c r="C1713" s="53"/>
      <c r="D1713" s="54"/>
      <c r="E1713" s="55"/>
      <c r="F1713" s="85"/>
      <c r="G1713" s="85"/>
      <c r="H1713" s="86"/>
    </row>
    <row r="1714" spans="1:8" ht="30" customHeight="1" x14ac:dyDescent="0.25">
      <c r="A1714" s="312"/>
      <c r="B1714" s="86"/>
      <c r="C1714" s="53" t="s">
        <v>1923</v>
      </c>
      <c r="D1714" s="54"/>
      <c r="E1714" s="55"/>
      <c r="F1714" s="85"/>
      <c r="G1714" s="85"/>
      <c r="H1714" s="86"/>
    </row>
    <row r="1715" spans="1:8" ht="30" customHeight="1" x14ac:dyDescent="0.25">
      <c r="A1715" s="312"/>
      <c r="B1715" s="86"/>
      <c r="C1715" s="53"/>
      <c r="D1715" s="54"/>
      <c r="E1715" s="55"/>
      <c r="F1715" s="85"/>
      <c r="G1715" s="85"/>
      <c r="H1715" s="86"/>
    </row>
    <row r="1716" spans="1:8" ht="30" customHeight="1" x14ac:dyDescent="0.25">
      <c r="A1716" s="312"/>
      <c r="B1716" s="86"/>
      <c r="C1716" s="53" t="s">
        <v>1924</v>
      </c>
      <c r="D1716" s="54"/>
      <c r="E1716" s="55"/>
      <c r="F1716" s="85"/>
      <c r="G1716" s="85"/>
      <c r="H1716" s="86"/>
    </row>
    <row r="1717" spans="1:8" ht="30" customHeight="1" x14ac:dyDescent="0.25">
      <c r="A1717" s="312"/>
      <c r="B1717" s="86"/>
      <c r="C1717" s="53"/>
      <c r="D1717" s="54"/>
      <c r="E1717" s="55"/>
      <c r="F1717" s="85"/>
      <c r="G1717" s="85"/>
      <c r="H1717" s="86"/>
    </row>
    <row r="1718" spans="1:8" ht="30" customHeight="1" x14ac:dyDescent="0.25">
      <c r="A1718" s="312"/>
      <c r="B1718" s="86"/>
      <c r="C1718" s="53" t="s">
        <v>1925</v>
      </c>
      <c r="D1718" s="54"/>
      <c r="E1718" s="55"/>
      <c r="F1718" s="85"/>
      <c r="G1718" s="85"/>
      <c r="H1718" s="86"/>
    </row>
    <row r="1719" spans="1:8" ht="30" customHeight="1" x14ac:dyDescent="0.25">
      <c r="A1719" s="312"/>
      <c r="B1719" s="86"/>
      <c r="C1719" s="53"/>
      <c r="D1719" s="54"/>
      <c r="E1719" s="55"/>
      <c r="F1719" s="85"/>
      <c r="G1719" s="85"/>
      <c r="H1719" s="86"/>
    </row>
    <row r="1720" spans="1:8" ht="30" customHeight="1" thickBot="1" x14ac:dyDescent="0.3">
      <c r="A1720" s="83"/>
      <c r="B1720" s="91"/>
      <c r="C1720" s="88"/>
      <c r="D1720" s="89"/>
      <c r="E1720" s="90"/>
      <c r="F1720" s="77"/>
      <c r="G1720" s="77"/>
      <c r="H1720" s="91"/>
    </row>
    <row r="1721" spans="1:8" ht="30" customHeight="1" x14ac:dyDescent="0.25">
      <c r="A1721" s="76">
        <f>+A1702+1</f>
        <v>613</v>
      </c>
      <c r="B1721" s="50" t="s">
        <v>1900</v>
      </c>
      <c r="C1721" s="63" t="s">
        <v>1926</v>
      </c>
      <c r="D1721" s="64"/>
      <c r="E1721" s="65"/>
      <c r="F1721" s="45" t="s">
        <v>1927</v>
      </c>
      <c r="G1721" s="84" t="str">
        <f>+VLOOKUP(613,prueba!$D$2:$E$733,2,FALSE)</f>
        <v>FINANCIERA SEGUROS</v>
      </c>
      <c r="H1721" s="50" t="s">
        <v>8322</v>
      </c>
    </row>
    <row r="1722" spans="1:8" ht="30" customHeight="1" x14ac:dyDescent="0.25">
      <c r="A1722" s="312"/>
      <c r="B1722" s="86"/>
      <c r="C1722" s="53"/>
      <c r="D1722" s="54"/>
      <c r="E1722" s="55"/>
      <c r="F1722" s="45"/>
      <c r="G1722" s="85"/>
      <c r="H1722" s="86"/>
    </row>
    <row r="1723" spans="1:8" ht="30" customHeight="1" x14ac:dyDescent="0.25">
      <c r="A1723" s="312"/>
      <c r="B1723" s="86"/>
      <c r="C1723" s="53" t="s">
        <v>1928</v>
      </c>
      <c r="D1723" s="54"/>
      <c r="E1723" s="55"/>
      <c r="F1723" s="45"/>
      <c r="G1723" s="85"/>
      <c r="H1723" s="86"/>
    </row>
    <row r="1724" spans="1:8" ht="30" customHeight="1" x14ac:dyDescent="0.25">
      <c r="A1724" s="312"/>
      <c r="B1724" s="86"/>
      <c r="C1724" s="53"/>
      <c r="D1724" s="54"/>
      <c r="E1724" s="55"/>
      <c r="F1724" s="56" t="s">
        <v>1929</v>
      </c>
      <c r="G1724" s="85"/>
      <c r="H1724" s="86"/>
    </row>
    <row r="1725" spans="1:8" ht="30" customHeight="1" x14ac:dyDescent="0.25">
      <c r="A1725" s="312"/>
      <c r="B1725" s="86"/>
      <c r="C1725" s="53" t="s">
        <v>1930</v>
      </c>
      <c r="D1725" s="54"/>
      <c r="E1725" s="55"/>
      <c r="F1725" s="69"/>
      <c r="G1725" s="85"/>
      <c r="H1725" s="86"/>
    </row>
    <row r="1726" spans="1:8" ht="30" customHeight="1" x14ac:dyDescent="0.25">
      <c r="A1726" s="312"/>
      <c r="B1726" s="86"/>
      <c r="C1726" s="53"/>
      <c r="D1726" s="54"/>
      <c r="E1726" s="55"/>
      <c r="F1726" s="69"/>
      <c r="G1726" s="85"/>
      <c r="H1726" s="86"/>
    </row>
    <row r="1727" spans="1:8" ht="30" customHeight="1" thickBot="1" x14ac:dyDescent="0.3">
      <c r="A1727" s="83"/>
      <c r="B1727" s="91"/>
      <c r="C1727" s="88"/>
      <c r="D1727" s="89"/>
      <c r="E1727" s="90"/>
      <c r="F1727" s="62"/>
      <c r="G1727" s="77"/>
      <c r="H1727" s="91"/>
    </row>
    <row r="1728" spans="1:8" ht="30" customHeight="1" x14ac:dyDescent="0.25">
      <c r="A1728" s="76">
        <f>+A1721+1</f>
        <v>614</v>
      </c>
      <c r="B1728" s="50" t="s">
        <v>1900</v>
      </c>
      <c r="C1728" s="63" t="s">
        <v>1931</v>
      </c>
      <c r="D1728" s="64"/>
      <c r="E1728" s="65"/>
      <c r="F1728" s="84"/>
      <c r="G1728" s="84" t="str">
        <f>+VLOOKUP(614,prueba!$D$2:$E$733,2,FALSE)</f>
        <v>FINANCIERA SEGUROS</v>
      </c>
      <c r="H1728" s="50" t="s">
        <v>7347</v>
      </c>
    </row>
    <row r="1729" spans="1:8" ht="30" customHeight="1" x14ac:dyDescent="0.25">
      <c r="A1729" s="312"/>
      <c r="B1729" s="86"/>
      <c r="C1729" s="53"/>
      <c r="D1729" s="54"/>
      <c r="E1729" s="55"/>
      <c r="F1729" s="85"/>
      <c r="G1729" s="85"/>
      <c r="H1729" s="86"/>
    </row>
    <row r="1730" spans="1:8" ht="30" customHeight="1" x14ac:dyDescent="0.25">
      <c r="A1730" s="312"/>
      <c r="B1730" s="86"/>
      <c r="C1730" s="53" t="s">
        <v>1932</v>
      </c>
      <c r="D1730" s="54"/>
      <c r="E1730" s="55"/>
      <c r="F1730" s="85"/>
      <c r="G1730" s="85"/>
      <c r="H1730" s="86"/>
    </row>
    <row r="1731" spans="1:8" ht="30" customHeight="1" thickBot="1" x14ac:dyDescent="0.3">
      <c r="A1731" s="83"/>
      <c r="B1731" s="91"/>
      <c r="C1731" s="88"/>
      <c r="D1731" s="89"/>
      <c r="E1731" s="90"/>
      <c r="F1731" s="77"/>
      <c r="G1731" s="77"/>
      <c r="H1731" s="91"/>
    </row>
    <row r="1732" spans="1:8" ht="30" customHeight="1" x14ac:dyDescent="0.25">
      <c r="A1732" s="76">
        <f>+A1728+1</f>
        <v>615</v>
      </c>
      <c r="B1732" s="50" t="s">
        <v>1900</v>
      </c>
      <c r="C1732" s="63" t="s">
        <v>1933</v>
      </c>
      <c r="D1732" s="64"/>
      <c r="E1732" s="65"/>
      <c r="F1732" s="84" t="s">
        <v>1934</v>
      </c>
      <c r="G1732" s="84" t="str">
        <f>+VLOOKUP(615,prueba!$D$2:$E$733,2,FALSE)</f>
        <v>FINANCIERA SEGUROS</v>
      </c>
      <c r="H1732" s="50" t="s">
        <v>1775</v>
      </c>
    </row>
    <row r="1733" spans="1:8" ht="30" customHeight="1" x14ac:dyDescent="0.25">
      <c r="A1733" s="312"/>
      <c r="B1733" s="86"/>
      <c r="C1733" s="53" t="s">
        <v>575</v>
      </c>
      <c r="D1733" s="54"/>
      <c r="E1733" s="55"/>
      <c r="F1733" s="85"/>
      <c r="G1733" s="85"/>
      <c r="H1733" s="86"/>
    </row>
    <row r="1734" spans="1:8" ht="30" customHeight="1" x14ac:dyDescent="0.25">
      <c r="A1734" s="312"/>
      <c r="B1734" s="86"/>
      <c r="C1734" s="53" t="s">
        <v>1935</v>
      </c>
      <c r="D1734" s="54"/>
      <c r="E1734" s="55"/>
      <c r="F1734" s="85"/>
      <c r="G1734" s="85"/>
      <c r="H1734" s="86"/>
    </row>
    <row r="1735" spans="1:8" ht="30" customHeight="1" x14ac:dyDescent="0.25">
      <c r="A1735" s="312"/>
      <c r="B1735" s="86"/>
      <c r="C1735" s="53"/>
      <c r="D1735" s="54"/>
      <c r="E1735" s="55"/>
      <c r="F1735" s="85"/>
      <c r="G1735" s="85"/>
      <c r="H1735" s="86"/>
    </row>
    <row r="1736" spans="1:8" ht="30" customHeight="1" x14ac:dyDescent="0.25">
      <c r="A1736" s="312"/>
      <c r="B1736" s="86"/>
      <c r="C1736" s="53" t="s">
        <v>1936</v>
      </c>
      <c r="D1736" s="54"/>
      <c r="E1736" s="55"/>
      <c r="F1736" s="85"/>
      <c r="G1736" s="85"/>
      <c r="H1736" s="86"/>
    </row>
    <row r="1737" spans="1:8" ht="30" customHeight="1" x14ac:dyDescent="0.25">
      <c r="A1737" s="312"/>
      <c r="B1737" s="86"/>
      <c r="C1737" s="53" t="s">
        <v>575</v>
      </c>
      <c r="D1737" s="54"/>
      <c r="E1737" s="55"/>
      <c r="F1737" s="85"/>
      <c r="G1737" s="85"/>
      <c r="H1737" s="86"/>
    </row>
    <row r="1738" spans="1:8" ht="30" customHeight="1" x14ac:dyDescent="0.25">
      <c r="A1738" s="312"/>
      <c r="B1738" s="86"/>
      <c r="C1738" s="112" t="s">
        <v>1937</v>
      </c>
      <c r="D1738" s="113"/>
      <c r="E1738" s="114"/>
      <c r="F1738" s="85"/>
      <c r="G1738" s="85"/>
      <c r="H1738" s="86"/>
    </row>
    <row r="1739" spans="1:8" ht="30" customHeight="1" thickBot="1" x14ac:dyDescent="0.3">
      <c r="A1739" s="83"/>
      <c r="B1739" s="91"/>
      <c r="C1739" s="88"/>
      <c r="D1739" s="89"/>
      <c r="E1739" s="90"/>
      <c r="F1739" s="77"/>
      <c r="G1739" s="77"/>
      <c r="H1739" s="91"/>
    </row>
    <row r="1740" spans="1:8" ht="30" customHeight="1" x14ac:dyDescent="0.25">
      <c r="A1740" s="76">
        <f>+A1732+1</f>
        <v>616</v>
      </c>
      <c r="B1740" s="50" t="s">
        <v>1900</v>
      </c>
      <c r="C1740" s="63" t="s">
        <v>1938</v>
      </c>
      <c r="D1740" s="64"/>
      <c r="E1740" s="65"/>
      <c r="F1740" s="84" t="s">
        <v>1939</v>
      </c>
      <c r="G1740" s="84" t="str">
        <f>+VLOOKUP(616,prueba!$D$2:$E$733,2,FALSE)</f>
        <v xml:space="preserve">FINANCIERA SEGUROS </v>
      </c>
      <c r="H1740" s="50" t="s">
        <v>1940</v>
      </c>
    </row>
    <row r="1741" spans="1:8" ht="30" customHeight="1" thickBot="1" x14ac:dyDescent="0.3">
      <c r="A1741" s="83"/>
      <c r="B1741" s="91"/>
      <c r="C1741" s="88"/>
      <c r="D1741" s="89"/>
      <c r="E1741" s="90"/>
      <c r="F1741" s="77"/>
      <c r="G1741" s="77"/>
      <c r="H1741" s="91"/>
    </row>
    <row r="1742" spans="1:8" ht="30" customHeight="1" x14ac:dyDescent="0.25">
      <c r="A1742" s="76">
        <f>+A1740+1</f>
        <v>617</v>
      </c>
      <c r="B1742" s="50" t="s">
        <v>1900</v>
      </c>
      <c r="C1742" s="63" t="s">
        <v>1941</v>
      </c>
      <c r="D1742" s="64"/>
      <c r="E1742" s="65"/>
      <c r="F1742" s="84" t="s">
        <v>1942</v>
      </c>
      <c r="G1742" s="84" t="str">
        <f>+VLOOKUP(617,prueba!$D$2:$E$733,2,FALSE)</f>
        <v>FINANCIERA SEGUROS</v>
      </c>
      <c r="H1742" s="50" t="s">
        <v>1943</v>
      </c>
    </row>
    <row r="1743" spans="1:8" ht="30" customHeight="1" thickBot="1" x14ac:dyDescent="0.3">
      <c r="A1743" s="83"/>
      <c r="B1743" s="91"/>
      <c r="C1743" s="88"/>
      <c r="D1743" s="89"/>
      <c r="E1743" s="90"/>
      <c r="F1743" s="77"/>
      <c r="G1743" s="77"/>
      <c r="H1743" s="91"/>
    </row>
    <row r="1744" spans="1:8" ht="30" customHeight="1" x14ac:dyDescent="0.25">
      <c r="A1744" s="76">
        <f>+A1742+1</f>
        <v>618</v>
      </c>
      <c r="B1744" s="50" t="s">
        <v>1900</v>
      </c>
      <c r="C1744" s="63" t="s">
        <v>1944</v>
      </c>
      <c r="D1744" s="64"/>
      <c r="E1744" s="65"/>
      <c r="F1744" s="84" t="s">
        <v>1945</v>
      </c>
      <c r="G1744" s="84" t="str">
        <f>+VLOOKUP(618,prueba!$D$2:$E$733,2,FALSE)</f>
        <v>FINANCIERA</v>
      </c>
      <c r="H1744" s="50" t="s">
        <v>8397</v>
      </c>
    </row>
    <row r="1745" spans="1:8" ht="30" customHeight="1" thickBot="1" x14ac:dyDescent="0.3">
      <c r="A1745" s="83"/>
      <c r="B1745" s="91"/>
      <c r="C1745" s="88" t="s">
        <v>9755</v>
      </c>
      <c r="D1745" s="89"/>
      <c r="E1745" s="90"/>
      <c r="F1745" s="77"/>
      <c r="G1745" s="77"/>
      <c r="H1745" s="91"/>
    </row>
    <row r="1746" spans="1:8" ht="30" customHeight="1" x14ac:dyDescent="0.25">
      <c r="A1746" s="76">
        <f>+A1744+1</f>
        <v>619</v>
      </c>
      <c r="B1746" s="50" t="s">
        <v>1900</v>
      </c>
      <c r="C1746" s="63" t="s">
        <v>1946</v>
      </c>
      <c r="D1746" s="64"/>
      <c r="E1746" s="65"/>
      <c r="F1746" s="84" t="s">
        <v>1947</v>
      </c>
      <c r="G1746" s="84" t="str">
        <f>+VLOOKUP(619,prueba!$D$2:$E$733,2,FALSE)</f>
        <v>FINANCIERA</v>
      </c>
      <c r="H1746" s="50" t="s">
        <v>8398</v>
      </c>
    </row>
    <row r="1747" spans="1:8" ht="30" customHeight="1" x14ac:dyDescent="0.25">
      <c r="A1747" s="312"/>
      <c r="B1747" s="86"/>
      <c r="C1747" s="53"/>
      <c r="D1747" s="54"/>
      <c r="E1747" s="55"/>
      <c r="F1747" s="85"/>
      <c r="G1747" s="85"/>
      <c r="H1747" s="86"/>
    </row>
    <row r="1748" spans="1:8" ht="30" customHeight="1" x14ac:dyDescent="0.25">
      <c r="A1748" s="312"/>
      <c r="B1748" s="86"/>
      <c r="C1748" s="112" t="s">
        <v>1948</v>
      </c>
      <c r="D1748" s="113"/>
      <c r="E1748" s="114"/>
      <c r="F1748" s="85"/>
      <c r="G1748" s="85"/>
      <c r="H1748" s="86"/>
    </row>
    <row r="1749" spans="1:8" ht="30" customHeight="1" thickBot="1" x14ac:dyDescent="0.3">
      <c r="A1749" s="83"/>
      <c r="B1749" s="91"/>
      <c r="C1749" s="88"/>
      <c r="D1749" s="89"/>
      <c r="E1749" s="90"/>
      <c r="F1749" s="77"/>
      <c r="G1749" s="77"/>
      <c r="H1749" s="91"/>
    </row>
    <row r="1750" spans="1:8" ht="30" customHeight="1" thickBot="1" x14ac:dyDescent="0.3">
      <c r="A1750" s="313">
        <f>+A1746+1</f>
        <v>620</v>
      </c>
      <c r="B1750" s="52" t="s">
        <v>1900</v>
      </c>
      <c r="C1750" s="108" t="s">
        <v>1949</v>
      </c>
      <c r="D1750" s="109"/>
      <c r="E1750" s="110"/>
      <c r="F1750" s="78" t="s">
        <v>1950</v>
      </c>
      <c r="G1750" s="107" t="str">
        <f>+VLOOKUP(620,prueba!$D$2:$E$733,2,FALSE)</f>
        <v>FINANCIERA</v>
      </c>
      <c r="H1750" s="52" t="s">
        <v>7011</v>
      </c>
    </row>
    <row r="1751" spans="1:8" ht="30" customHeight="1" x14ac:dyDescent="0.25">
      <c r="A1751" s="76">
        <f>+A1750+1</f>
        <v>621</v>
      </c>
      <c r="B1751" s="50" t="s">
        <v>1900</v>
      </c>
      <c r="C1751" s="63" t="s">
        <v>1951</v>
      </c>
      <c r="D1751" s="64"/>
      <c r="E1751" s="65"/>
      <c r="F1751" s="84" t="s">
        <v>1952</v>
      </c>
      <c r="G1751" s="84" t="str">
        <f>+VLOOKUP(621,prueba!$D$2:$E$733,2,FALSE)</f>
        <v xml:space="preserve">FINANCIERA </v>
      </c>
      <c r="H1751" s="50" t="s">
        <v>8399</v>
      </c>
    </row>
    <row r="1752" spans="1:8" ht="30" customHeight="1" x14ac:dyDescent="0.25">
      <c r="A1752" s="312"/>
      <c r="B1752" s="86"/>
      <c r="C1752" s="53"/>
      <c r="D1752" s="54"/>
      <c r="E1752" s="55"/>
      <c r="F1752" s="85"/>
      <c r="G1752" s="85"/>
      <c r="H1752" s="86"/>
    </row>
    <row r="1753" spans="1:8" ht="30" customHeight="1" x14ac:dyDescent="0.25">
      <c r="A1753" s="312"/>
      <c r="B1753" s="86"/>
      <c r="C1753" s="53" t="s">
        <v>1953</v>
      </c>
      <c r="D1753" s="54"/>
      <c r="E1753" s="55"/>
      <c r="F1753" s="85"/>
      <c r="G1753" s="85"/>
      <c r="H1753" s="86"/>
    </row>
    <row r="1754" spans="1:8" ht="30" customHeight="1" x14ac:dyDescent="0.25">
      <c r="A1754" s="312"/>
      <c r="B1754" s="86"/>
      <c r="C1754" s="53"/>
      <c r="D1754" s="54"/>
      <c r="E1754" s="55"/>
      <c r="F1754" s="85"/>
      <c r="G1754" s="85"/>
      <c r="H1754" s="86"/>
    </row>
    <row r="1755" spans="1:8" ht="30" customHeight="1" x14ac:dyDescent="0.25">
      <c r="A1755" s="312"/>
      <c r="B1755" s="86"/>
      <c r="C1755" s="53" t="s">
        <v>1954</v>
      </c>
      <c r="D1755" s="54"/>
      <c r="E1755" s="55"/>
      <c r="F1755" s="85"/>
      <c r="G1755" s="85"/>
      <c r="H1755" s="86"/>
    </row>
    <row r="1756" spans="1:8" ht="30" customHeight="1" x14ac:dyDescent="0.25">
      <c r="A1756" s="312"/>
      <c r="B1756" s="86"/>
      <c r="C1756" s="53"/>
      <c r="D1756" s="54"/>
      <c r="E1756" s="55"/>
      <c r="F1756" s="85"/>
      <c r="G1756" s="85"/>
      <c r="H1756" s="86"/>
    </row>
    <row r="1757" spans="1:8" ht="30" customHeight="1" x14ac:dyDescent="0.25">
      <c r="A1757" s="312"/>
      <c r="B1757" s="86"/>
      <c r="C1757" s="115" t="s">
        <v>1955</v>
      </c>
      <c r="D1757" s="116"/>
      <c r="E1757" s="117"/>
      <c r="F1757" s="85"/>
      <c r="G1757" s="85"/>
      <c r="H1757" s="86"/>
    </row>
    <row r="1758" spans="1:8" ht="30" customHeight="1" thickBot="1" x14ac:dyDescent="0.3">
      <c r="A1758" s="312"/>
      <c r="B1758" s="86"/>
      <c r="C1758" s="88"/>
      <c r="D1758" s="89"/>
      <c r="E1758" s="90"/>
      <c r="F1758" s="85"/>
      <c r="G1758" s="85"/>
      <c r="H1758" s="86"/>
    </row>
    <row r="1759" spans="1:8" ht="30" customHeight="1" thickBot="1" x14ac:dyDescent="0.3">
      <c r="A1759" s="312"/>
      <c r="B1759" s="86"/>
      <c r="C1759" s="154" t="s">
        <v>1956</v>
      </c>
      <c r="D1759" s="154" t="s">
        <v>1957</v>
      </c>
      <c r="E1759" s="154" t="s">
        <v>1958</v>
      </c>
      <c r="F1759" s="85"/>
      <c r="G1759" s="85"/>
      <c r="H1759" s="86"/>
    </row>
    <row r="1760" spans="1:8" ht="30" customHeight="1" thickBot="1" x14ac:dyDescent="0.3">
      <c r="A1760" s="312"/>
      <c r="B1760" s="86"/>
      <c r="C1760" s="78" t="s">
        <v>1959</v>
      </c>
      <c r="D1760" s="78" t="s">
        <v>1960</v>
      </c>
      <c r="E1760" s="78" t="s">
        <v>1961</v>
      </c>
      <c r="F1760" s="85"/>
      <c r="G1760" s="85"/>
      <c r="H1760" s="86"/>
    </row>
    <row r="1761" spans="1:8" ht="30" customHeight="1" thickBot="1" x14ac:dyDescent="0.3">
      <c r="A1761" s="312"/>
      <c r="B1761" s="86"/>
      <c r="C1761" s="78" t="s">
        <v>1962</v>
      </c>
      <c r="D1761" s="78" t="s">
        <v>1963</v>
      </c>
      <c r="E1761" s="78" t="s">
        <v>1964</v>
      </c>
      <c r="F1761" s="85"/>
      <c r="G1761" s="85"/>
      <c r="H1761" s="86"/>
    </row>
    <row r="1762" spans="1:8" ht="30" customHeight="1" thickBot="1" x14ac:dyDescent="0.3">
      <c r="A1762" s="312"/>
      <c r="B1762" s="86"/>
      <c r="C1762" s="78" t="s">
        <v>1965</v>
      </c>
      <c r="D1762" s="78" t="s">
        <v>1966</v>
      </c>
      <c r="E1762" s="78" t="s">
        <v>1967</v>
      </c>
      <c r="F1762" s="85"/>
      <c r="G1762" s="85"/>
      <c r="H1762" s="86"/>
    </row>
    <row r="1763" spans="1:8" ht="30" customHeight="1" thickBot="1" x14ac:dyDescent="0.3">
      <c r="A1763" s="312"/>
      <c r="B1763" s="86"/>
      <c r="C1763" s="78" t="s">
        <v>1968</v>
      </c>
      <c r="D1763" s="78" t="s">
        <v>1969</v>
      </c>
      <c r="E1763" s="78" t="s">
        <v>1970</v>
      </c>
      <c r="F1763" s="85"/>
      <c r="G1763" s="85"/>
      <c r="H1763" s="86"/>
    </row>
    <row r="1764" spans="1:8" ht="30" customHeight="1" thickBot="1" x14ac:dyDescent="0.3">
      <c r="A1764" s="312"/>
      <c r="B1764" s="86"/>
      <c r="C1764" s="78" t="s">
        <v>1971</v>
      </c>
      <c r="D1764" s="78" t="s">
        <v>1972</v>
      </c>
      <c r="E1764" s="78" t="s">
        <v>1973</v>
      </c>
      <c r="F1764" s="85"/>
      <c r="G1764" s="85"/>
      <c r="H1764" s="86"/>
    </row>
    <row r="1765" spans="1:8" ht="30" customHeight="1" thickBot="1" x14ac:dyDescent="0.3">
      <c r="A1765" s="312"/>
      <c r="B1765" s="86"/>
      <c r="C1765" s="155" t="s">
        <v>1974</v>
      </c>
      <c r="D1765" s="156">
        <v>1</v>
      </c>
      <c r="E1765" s="78"/>
      <c r="F1765" s="85"/>
      <c r="G1765" s="85"/>
      <c r="H1765" s="86"/>
    </row>
    <row r="1766" spans="1:8" ht="30" customHeight="1" x14ac:dyDescent="0.25">
      <c r="A1766" s="312"/>
      <c r="B1766" s="86"/>
      <c r="C1766" s="63"/>
      <c r="D1766" s="64"/>
      <c r="E1766" s="65"/>
      <c r="F1766" s="85"/>
      <c r="G1766" s="85"/>
      <c r="H1766" s="86"/>
    </row>
    <row r="1767" spans="1:8" ht="30" customHeight="1" x14ac:dyDescent="0.25">
      <c r="A1767" s="312"/>
      <c r="B1767" s="86"/>
      <c r="C1767" s="53"/>
      <c r="D1767" s="54"/>
      <c r="E1767" s="55"/>
      <c r="F1767" s="85"/>
      <c r="G1767" s="85"/>
      <c r="H1767" s="86"/>
    </row>
    <row r="1768" spans="1:8" ht="30" customHeight="1" x14ac:dyDescent="0.25">
      <c r="A1768" s="312"/>
      <c r="B1768" s="86"/>
      <c r="C1768" s="115" t="s">
        <v>1975</v>
      </c>
      <c r="D1768" s="116"/>
      <c r="E1768" s="117"/>
      <c r="F1768" s="85"/>
      <c r="G1768" s="85"/>
      <c r="H1768" s="86"/>
    </row>
    <row r="1769" spans="1:8" ht="30" customHeight="1" thickBot="1" x14ac:dyDescent="0.3">
      <c r="A1769" s="312"/>
      <c r="B1769" s="86"/>
      <c r="C1769" s="88"/>
      <c r="D1769" s="89"/>
      <c r="E1769" s="90"/>
      <c r="F1769" s="85"/>
      <c r="G1769" s="85"/>
      <c r="H1769" s="86"/>
    </row>
    <row r="1770" spans="1:8" ht="30" customHeight="1" thickBot="1" x14ac:dyDescent="0.3">
      <c r="A1770" s="312"/>
      <c r="B1770" s="86"/>
      <c r="C1770" s="154" t="s">
        <v>1956</v>
      </c>
      <c r="D1770" s="154" t="s">
        <v>1957</v>
      </c>
      <c r="E1770" s="154" t="s">
        <v>1958</v>
      </c>
      <c r="F1770" s="85"/>
      <c r="G1770" s="85"/>
      <c r="H1770" s="86"/>
    </row>
    <row r="1771" spans="1:8" ht="30" customHeight="1" thickBot="1" x14ac:dyDescent="0.3">
      <c r="A1771" s="312"/>
      <c r="B1771" s="86"/>
      <c r="C1771" s="78" t="s">
        <v>1959</v>
      </c>
      <c r="D1771" s="78" t="s">
        <v>1976</v>
      </c>
      <c r="E1771" s="78" t="s">
        <v>1961</v>
      </c>
      <c r="F1771" s="85"/>
      <c r="G1771" s="85"/>
      <c r="H1771" s="86"/>
    </row>
    <row r="1772" spans="1:8" ht="30" customHeight="1" thickBot="1" x14ac:dyDescent="0.3">
      <c r="A1772" s="312"/>
      <c r="B1772" s="86"/>
      <c r="C1772" s="78" t="s">
        <v>1962</v>
      </c>
      <c r="D1772" s="78" t="s">
        <v>1976</v>
      </c>
      <c r="E1772" s="78" t="s">
        <v>1977</v>
      </c>
      <c r="F1772" s="85"/>
      <c r="G1772" s="85"/>
      <c r="H1772" s="86"/>
    </row>
    <row r="1773" spans="1:8" ht="30" customHeight="1" thickBot="1" x14ac:dyDescent="0.3">
      <c r="A1773" s="312"/>
      <c r="B1773" s="86"/>
      <c r="C1773" s="78" t="s">
        <v>1965</v>
      </c>
      <c r="D1773" s="78" t="s">
        <v>1978</v>
      </c>
      <c r="E1773" s="78" t="s">
        <v>1979</v>
      </c>
      <c r="F1773" s="85"/>
      <c r="G1773" s="85"/>
      <c r="H1773" s="86"/>
    </row>
    <row r="1774" spans="1:8" ht="30" customHeight="1" thickBot="1" x14ac:dyDescent="0.3">
      <c r="A1774" s="312"/>
      <c r="B1774" s="86"/>
      <c r="C1774" s="78" t="s">
        <v>1968</v>
      </c>
      <c r="D1774" s="78" t="s">
        <v>1978</v>
      </c>
      <c r="E1774" s="78" t="s">
        <v>1980</v>
      </c>
      <c r="F1774" s="85"/>
      <c r="G1774" s="85"/>
      <c r="H1774" s="86"/>
    </row>
    <row r="1775" spans="1:8" ht="30" customHeight="1" thickBot="1" x14ac:dyDescent="0.3">
      <c r="A1775" s="312"/>
      <c r="B1775" s="86"/>
      <c r="C1775" s="78" t="s">
        <v>1971</v>
      </c>
      <c r="D1775" s="78" t="s">
        <v>1981</v>
      </c>
      <c r="E1775" s="78" t="s">
        <v>1982</v>
      </c>
      <c r="F1775" s="85"/>
      <c r="G1775" s="85"/>
      <c r="H1775" s="86"/>
    </row>
    <row r="1776" spans="1:8" ht="30" customHeight="1" thickBot="1" x14ac:dyDescent="0.3">
      <c r="A1776" s="312"/>
      <c r="B1776" s="86"/>
      <c r="C1776" s="78" t="s">
        <v>1983</v>
      </c>
      <c r="D1776" s="78" t="s">
        <v>1981</v>
      </c>
      <c r="E1776" s="78" t="s">
        <v>1984</v>
      </c>
      <c r="F1776" s="85"/>
      <c r="G1776" s="85"/>
      <c r="H1776" s="86"/>
    </row>
    <row r="1777" spans="1:8" ht="30" customHeight="1" thickBot="1" x14ac:dyDescent="0.3">
      <c r="A1777" s="312"/>
      <c r="B1777" s="86"/>
      <c r="C1777" s="78" t="s">
        <v>1985</v>
      </c>
      <c r="D1777" s="78" t="s">
        <v>1986</v>
      </c>
      <c r="E1777" s="78" t="s">
        <v>1987</v>
      </c>
      <c r="F1777" s="85"/>
      <c r="G1777" s="85"/>
      <c r="H1777" s="86"/>
    </row>
    <row r="1778" spans="1:8" ht="30" customHeight="1" thickBot="1" x14ac:dyDescent="0.3">
      <c r="A1778" s="312"/>
      <c r="B1778" s="86"/>
      <c r="C1778" s="78" t="s">
        <v>1988</v>
      </c>
      <c r="D1778" s="78" t="s">
        <v>1986</v>
      </c>
      <c r="E1778" s="78" t="s">
        <v>1989</v>
      </c>
      <c r="F1778" s="85"/>
      <c r="G1778" s="85"/>
      <c r="H1778" s="86"/>
    </row>
    <row r="1779" spans="1:8" ht="30" customHeight="1" thickBot="1" x14ac:dyDescent="0.3">
      <c r="A1779" s="312"/>
      <c r="B1779" s="86"/>
      <c r="C1779" s="78" t="s">
        <v>1990</v>
      </c>
      <c r="D1779" s="78" t="s">
        <v>1991</v>
      </c>
      <c r="E1779" s="78" t="s">
        <v>1992</v>
      </c>
      <c r="F1779" s="85"/>
      <c r="G1779" s="85"/>
      <c r="H1779" s="86"/>
    </row>
    <row r="1780" spans="1:8" ht="30" customHeight="1" thickBot="1" x14ac:dyDescent="0.3">
      <c r="A1780" s="312"/>
      <c r="B1780" s="86"/>
      <c r="C1780" s="78" t="s">
        <v>1993</v>
      </c>
      <c r="D1780" s="78" t="s">
        <v>1991</v>
      </c>
      <c r="E1780" s="78" t="s">
        <v>1994</v>
      </c>
      <c r="F1780" s="85"/>
      <c r="G1780" s="85"/>
      <c r="H1780" s="86"/>
    </row>
    <row r="1781" spans="1:8" ht="30" customHeight="1" thickBot="1" x14ac:dyDescent="0.3">
      <c r="A1781" s="83"/>
      <c r="B1781" s="91"/>
      <c r="C1781" s="155" t="s">
        <v>1974</v>
      </c>
      <c r="D1781" s="156">
        <v>1</v>
      </c>
      <c r="E1781" s="78"/>
      <c r="F1781" s="77"/>
      <c r="G1781" s="77"/>
      <c r="H1781" s="91"/>
    </row>
    <row r="1782" spans="1:8" ht="30" customHeight="1" x14ac:dyDescent="0.25">
      <c r="A1782" s="76">
        <f>+A1751+1</f>
        <v>622</v>
      </c>
      <c r="B1782" s="50" t="s">
        <v>1900</v>
      </c>
      <c r="C1782" s="63" t="s">
        <v>1995</v>
      </c>
      <c r="D1782" s="64"/>
      <c r="E1782" s="65"/>
      <c r="F1782" s="84" t="s">
        <v>1996</v>
      </c>
      <c r="G1782" s="84" t="str">
        <f>+VLOOKUP(622,prueba!$D$2:$E$733,2,FALSE)</f>
        <v xml:space="preserve">FINANCIERA </v>
      </c>
      <c r="H1782" s="50" t="s">
        <v>8400</v>
      </c>
    </row>
    <row r="1783" spans="1:8" ht="30" customHeight="1" x14ac:dyDescent="0.25">
      <c r="A1783" s="312"/>
      <c r="B1783" s="86"/>
      <c r="C1783" s="53"/>
      <c r="D1783" s="54"/>
      <c r="E1783" s="55"/>
      <c r="F1783" s="85"/>
      <c r="G1783" s="85"/>
      <c r="H1783" s="86"/>
    </row>
    <row r="1784" spans="1:8" ht="30" customHeight="1" x14ac:dyDescent="0.25">
      <c r="A1784" s="312"/>
      <c r="B1784" s="86"/>
      <c r="C1784" s="53" t="s">
        <v>9756</v>
      </c>
      <c r="D1784" s="54"/>
      <c r="E1784" s="55"/>
      <c r="F1784" s="85"/>
      <c r="G1784" s="85"/>
      <c r="H1784" s="86"/>
    </row>
    <row r="1785" spans="1:8" ht="30" customHeight="1" thickBot="1" x14ac:dyDescent="0.3">
      <c r="A1785" s="83"/>
      <c r="B1785" s="91"/>
      <c r="C1785" s="88"/>
      <c r="D1785" s="89"/>
      <c r="E1785" s="90"/>
      <c r="F1785" s="85"/>
      <c r="G1785" s="77"/>
      <c r="H1785" s="91"/>
    </row>
    <row r="1786" spans="1:8" ht="30" customHeight="1" x14ac:dyDescent="0.25">
      <c r="A1786" s="314">
        <f>+A1782+1</f>
        <v>623</v>
      </c>
      <c r="B1786" s="50" t="s">
        <v>1900</v>
      </c>
      <c r="C1786" s="63" t="s">
        <v>1997</v>
      </c>
      <c r="D1786" s="64"/>
      <c r="E1786" s="64"/>
      <c r="F1786" s="158" t="s">
        <v>1998</v>
      </c>
      <c r="G1786" s="157" t="str">
        <f>+VLOOKUP(623,prueba!$D$2:$E$733,2,FALSE)</f>
        <v xml:space="preserve">FINANCIERA </v>
      </c>
      <c r="H1786" s="50" t="s">
        <v>8401</v>
      </c>
    </row>
    <row r="1787" spans="1:8" ht="30" customHeight="1" x14ac:dyDescent="0.25">
      <c r="A1787" s="312"/>
      <c r="B1787" s="86"/>
      <c r="C1787" s="53"/>
      <c r="D1787" s="54"/>
      <c r="E1787" s="55"/>
      <c r="F1787" s="45" t="s">
        <v>1999</v>
      </c>
      <c r="G1787" s="159"/>
      <c r="H1787" s="86"/>
    </row>
    <row r="1788" spans="1:8" ht="30" customHeight="1" x14ac:dyDescent="0.25">
      <c r="A1788" s="312"/>
      <c r="B1788" s="86"/>
      <c r="C1788" s="53"/>
      <c r="D1788" s="54"/>
      <c r="E1788" s="55"/>
      <c r="F1788" s="45" t="s">
        <v>2000</v>
      </c>
      <c r="G1788" s="159"/>
      <c r="H1788" s="86"/>
    </row>
    <row r="1789" spans="1:8" ht="30" customHeight="1" thickBot="1" x14ac:dyDescent="0.3">
      <c r="A1789" s="83"/>
      <c r="B1789" s="91"/>
      <c r="C1789" s="88"/>
      <c r="D1789" s="89"/>
      <c r="E1789" s="90"/>
      <c r="F1789" s="56" t="s">
        <v>2001</v>
      </c>
      <c r="G1789" s="160"/>
      <c r="H1789" s="91"/>
    </row>
    <row r="1790" spans="1:8" ht="30" customHeight="1" thickBot="1" x14ac:dyDescent="0.3">
      <c r="A1790" s="313">
        <f>+A1786+1</f>
        <v>624</v>
      </c>
      <c r="B1790" s="52" t="s">
        <v>1900</v>
      </c>
      <c r="C1790" s="108" t="s">
        <v>2002</v>
      </c>
      <c r="D1790" s="109"/>
      <c r="E1790" s="109"/>
      <c r="F1790" s="161" t="s">
        <v>2003</v>
      </c>
      <c r="G1790" s="107" t="str">
        <f>+VLOOKUP(624,prueba!$D$2:$E$733,2,FALSE)</f>
        <v xml:space="preserve">FINANCIERA </v>
      </c>
      <c r="H1790" s="52" t="s">
        <v>8402</v>
      </c>
    </row>
    <row r="1791" spans="1:8" ht="30" customHeight="1" x14ac:dyDescent="0.25">
      <c r="A1791" s="76">
        <f>A1790+1</f>
        <v>625</v>
      </c>
      <c r="B1791" s="50" t="s">
        <v>1900</v>
      </c>
      <c r="C1791" s="63" t="s">
        <v>2004</v>
      </c>
      <c r="D1791" s="64"/>
      <c r="E1791" s="65"/>
      <c r="F1791" s="85" t="s">
        <v>2005</v>
      </c>
      <c r="G1791" s="84" t="str">
        <f>+VLOOKUP(625,prueba!$D$2:$E$733,2,FALSE)</f>
        <v>FINANCIERA</v>
      </c>
      <c r="H1791" s="50" t="s">
        <v>2006</v>
      </c>
    </row>
    <row r="1792" spans="1:8" ht="30" customHeight="1" x14ac:dyDescent="0.25">
      <c r="A1792" s="312"/>
      <c r="B1792" s="86"/>
      <c r="C1792" s="53"/>
      <c r="D1792" s="54"/>
      <c r="E1792" s="55"/>
      <c r="F1792" s="85"/>
      <c r="G1792" s="85"/>
      <c r="H1792" s="86"/>
    </row>
    <row r="1793" spans="1:8" ht="30" customHeight="1" x14ac:dyDescent="0.25">
      <c r="A1793" s="312"/>
      <c r="B1793" s="86"/>
      <c r="C1793" s="112" t="s">
        <v>2007</v>
      </c>
      <c r="D1793" s="113"/>
      <c r="E1793" s="114"/>
      <c r="F1793" s="85"/>
      <c r="G1793" s="85"/>
      <c r="H1793" s="86"/>
    </row>
    <row r="1794" spans="1:8" ht="30" customHeight="1" x14ac:dyDescent="0.25">
      <c r="A1794" s="312"/>
      <c r="B1794" s="86"/>
      <c r="C1794" s="53"/>
      <c r="D1794" s="54"/>
      <c r="E1794" s="55"/>
      <c r="F1794" s="85"/>
      <c r="G1794" s="85"/>
      <c r="H1794" s="86"/>
    </row>
    <row r="1795" spans="1:8" ht="30" customHeight="1" x14ac:dyDescent="0.25">
      <c r="A1795" s="312"/>
      <c r="B1795" s="86"/>
      <c r="C1795" s="53" t="s">
        <v>2008</v>
      </c>
      <c r="D1795" s="54"/>
      <c r="E1795" s="55"/>
      <c r="F1795" s="85"/>
      <c r="G1795" s="85"/>
      <c r="H1795" s="86"/>
    </row>
    <row r="1796" spans="1:8" ht="30" customHeight="1" thickBot="1" x14ac:dyDescent="0.3">
      <c r="A1796" s="83"/>
      <c r="B1796" s="91"/>
      <c r="C1796" s="88"/>
      <c r="D1796" s="89"/>
      <c r="E1796" s="90"/>
      <c r="F1796" s="77"/>
      <c r="G1796" s="77"/>
      <c r="H1796" s="91"/>
    </row>
    <row r="1797" spans="1:8" ht="30" customHeight="1" x14ac:dyDescent="0.25">
      <c r="A1797" s="76">
        <f>+A1791+1</f>
        <v>626</v>
      </c>
      <c r="B1797" s="50" t="s">
        <v>1900</v>
      </c>
      <c r="C1797" s="63" t="s">
        <v>2009</v>
      </c>
      <c r="D1797" s="64"/>
      <c r="E1797" s="65"/>
      <c r="F1797" s="84" t="s">
        <v>2010</v>
      </c>
      <c r="G1797" s="84" t="str">
        <f>+VLOOKUP(626,prueba!$D$2:$E$733,2,FALSE)</f>
        <v xml:space="preserve">FINANCIERA </v>
      </c>
      <c r="H1797" s="50" t="s">
        <v>2011</v>
      </c>
    </row>
    <row r="1798" spans="1:8" ht="30" customHeight="1" x14ac:dyDescent="0.25">
      <c r="A1798" s="312"/>
      <c r="B1798" s="86"/>
      <c r="C1798" s="53"/>
      <c r="D1798" s="54"/>
      <c r="E1798" s="55"/>
      <c r="F1798" s="85"/>
      <c r="G1798" s="85"/>
      <c r="H1798" s="86"/>
    </row>
    <row r="1799" spans="1:8" ht="30" customHeight="1" x14ac:dyDescent="0.25">
      <c r="A1799" s="312"/>
      <c r="B1799" s="86"/>
      <c r="C1799" s="53" t="s">
        <v>9757</v>
      </c>
      <c r="D1799" s="54"/>
      <c r="E1799" s="55"/>
      <c r="F1799" s="85"/>
      <c r="G1799" s="85"/>
      <c r="H1799" s="86"/>
    </row>
    <row r="1800" spans="1:8" ht="30" customHeight="1" x14ac:dyDescent="0.25">
      <c r="A1800" s="312"/>
      <c r="B1800" s="86"/>
      <c r="C1800" s="53"/>
      <c r="D1800" s="54"/>
      <c r="E1800" s="55"/>
      <c r="F1800" s="85"/>
      <c r="G1800" s="85"/>
      <c r="H1800" s="86"/>
    </row>
    <row r="1801" spans="1:8" ht="30" customHeight="1" x14ac:dyDescent="0.25">
      <c r="A1801" s="312"/>
      <c r="B1801" s="86"/>
      <c r="C1801" s="53" t="s">
        <v>2012</v>
      </c>
      <c r="D1801" s="54"/>
      <c r="E1801" s="55"/>
      <c r="F1801" s="85"/>
      <c r="G1801" s="85"/>
      <c r="H1801" s="86"/>
    </row>
    <row r="1802" spans="1:8" ht="30" customHeight="1" thickBot="1" x14ac:dyDescent="0.3">
      <c r="A1802" s="83"/>
      <c r="B1802" s="91"/>
      <c r="C1802" s="88"/>
      <c r="D1802" s="89"/>
      <c r="E1802" s="90"/>
      <c r="F1802" s="77"/>
      <c r="G1802" s="77"/>
      <c r="H1802" s="91"/>
    </row>
    <row r="1803" spans="1:8" ht="30" customHeight="1" thickBot="1" x14ac:dyDescent="0.3">
      <c r="A1803" s="313">
        <f>+A1797+1</f>
        <v>627</v>
      </c>
      <c r="B1803" s="52" t="s">
        <v>1900</v>
      </c>
      <c r="C1803" s="108" t="s">
        <v>2013</v>
      </c>
      <c r="D1803" s="109"/>
      <c r="E1803" s="110"/>
      <c r="F1803" s="78" t="s">
        <v>2014</v>
      </c>
      <c r="G1803" s="107" t="str">
        <f>+VLOOKUP(627,prueba!$D$2:$E$733,2,FALSE)</f>
        <v xml:space="preserve">FINANCIERA </v>
      </c>
      <c r="H1803" s="52" t="s">
        <v>9093</v>
      </c>
    </row>
    <row r="1804" spans="1:8" ht="30" customHeight="1" x14ac:dyDescent="0.25">
      <c r="A1804" s="76">
        <f>+A1803+1</f>
        <v>628</v>
      </c>
      <c r="B1804" s="50" t="s">
        <v>1900</v>
      </c>
      <c r="C1804" s="63" t="s">
        <v>2015</v>
      </c>
      <c r="D1804" s="64"/>
      <c r="E1804" s="65"/>
      <c r="F1804" s="84" t="s">
        <v>2016</v>
      </c>
      <c r="G1804" s="84" t="str">
        <f>+VLOOKUP(628,prueba!$D$2:$E$733,2,FALSE)</f>
        <v>FINANCIERA</v>
      </c>
      <c r="H1804" s="50" t="s">
        <v>9139</v>
      </c>
    </row>
    <row r="1805" spans="1:8" ht="30" customHeight="1" x14ac:dyDescent="0.25">
      <c r="A1805" s="312"/>
      <c r="B1805" s="86"/>
      <c r="C1805" s="53" t="s">
        <v>2017</v>
      </c>
      <c r="D1805" s="54"/>
      <c r="E1805" s="55"/>
      <c r="F1805" s="85"/>
      <c r="G1805" s="85"/>
      <c r="H1805" s="86"/>
    </row>
    <row r="1806" spans="1:8" ht="30" customHeight="1" x14ac:dyDescent="0.25">
      <c r="A1806" s="312"/>
      <c r="B1806" s="86"/>
      <c r="C1806" s="53" t="s">
        <v>2018</v>
      </c>
      <c r="D1806" s="54"/>
      <c r="E1806" s="55"/>
      <c r="F1806" s="85"/>
      <c r="G1806" s="85"/>
      <c r="H1806" s="86"/>
    </row>
    <row r="1807" spans="1:8" ht="30" customHeight="1" x14ac:dyDescent="0.25">
      <c r="A1807" s="312"/>
      <c r="B1807" s="86"/>
      <c r="C1807" s="53" t="s">
        <v>2019</v>
      </c>
      <c r="D1807" s="54"/>
      <c r="E1807" s="55"/>
      <c r="F1807" s="85"/>
      <c r="G1807" s="85"/>
      <c r="H1807" s="86"/>
    </row>
    <row r="1808" spans="1:8" ht="30" customHeight="1" x14ac:dyDescent="0.25">
      <c r="A1808" s="312"/>
      <c r="B1808" s="86"/>
      <c r="C1808" s="53" t="s">
        <v>2020</v>
      </c>
      <c r="D1808" s="54"/>
      <c r="E1808" s="55"/>
      <c r="F1808" s="85"/>
      <c r="G1808" s="85"/>
      <c r="H1808" s="86"/>
    </row>
    <row r="1809" spans="1:8" ht="30" customHeight="1" thickBot="1" x14ac:dyDescent="0.3">
      <c r="A1809" s="83"/>
      <c r="B1809" s="91"/>
      <c r="C1809" s="88"/>
      <c r="D1809" s="89"/>
      <c r="E1809" s="90"/>
      <c r="F1809" s="77"/>
      <c r="G1809" s="77"/>
      <c r="H1809" s="91"/>
    </row>
    <row r="1810" spans="1:8" ht="53.25" customHeight="1" x14ac:dyDescent="0.25">
      <c r="A1810" s="76">
        <f>+A1804+1</f>
        <v>629</v>
      </c>
      <c r="B1810" s="50" t="s">
        <v>1900</v>
      </c>
      <c r="C1810" s="63" t="s">
        <v>2021</v>
      </c>
      <c r="D1810" s="64"/>
      <c r="E1810" s="65"/>
      <c r="F1810" s="84" t="s">
        <v>2022</v>
      </c>
      <c r="G1810" s="84" t="str">
        <f>+VLOOKUP(629,prueba!$D$2:$E$733,2,FALSE)</f>
        <v>FINANCIERA</v>
      </c>
      <c r="H1810" s="50" t="s">
        <v>2023</v>
      </c>
    </row>
    <row r="1811" spans="1:8" ht="53.25" customHeight="1" thickBot="1" x14ac:dyDescent="0.3">
      <c r="A1811" s="83"/>
      <c r="B1811" s="91"/>
      <c r="C1811" s="88"/>
      <c r="D1811" s="89"/>
      <c r="E1811" s="90"/>
      <c r="F1811" s="85"/>
      <c r="G1811" s="77"/>
      <c r="H1811" s="91"/>
    </row>
    <row r="1812" spans="1:8" ht="30" customHeight="1" x14ac:dyDescent="0.25">
      <c r="A1812" s="76">
        <f>+A1810+1</f>
        <v>630</v>
      </c>
      <c r="B1812" s="50" t="s">
        <v>1900</v>
      </c>
      <c r="C1812" s="63" t="s">
        <v>2024</v>
      </c>
      <c r="D1812" s="64"/>
      <c r="E1812" s="64"/>
      <c r="F1812" s="70" t="s">
        <v>2025</v>
      </c>
      <c r="G1812" s="84" t="str">
        <f>+VLOOKUP(630,prueba!$D$2:$E$733,2,FALSE)</f>
        <v xml:space="preserve">FINANCIERA </v>
      </c>
      <c r="H1812" s="50" t="s">
        <v>9167</v>
      </c>
    </row>
    <row r="1813" spans="1:8" ht="30" customHeight="1" thickBot="1" x14ac:dyDescent="0.3">
      <c r="A1813" s="83"/>
      <c r="B1813" s="91"/>
      <c r="C1813" s="88"/>
      <c r="D1813" s="89"/>
      <c r="E1813" s="90"/>
      <c r="F1813" s="77"/>
      <c r="G1813" s="77"/>
      <c r="H1813" s="91"/>
    </row>
    <row r="1814" spans="1:8" ht="30" customHeight="1" thickBot="1" x14ac:dyDescent="0.3">
      <c r="A1814" s="313">
        <f>+A1812+1</f>
        <v>631</v>
      </c>
      <c r="B1814" s="52" t="s">
        <v>1900</v>
      </c>
      <c r="C1814" s="108" t="s">
        <v>2026</v>
      </c>
      <c r="D1814" s="109"/>
      <c r="E1814" s="110"/>
      <c r="F1814" s="78" t="s">
        <v>2027</v>
      </c>
      <c r="G1814" s="107" t="str">
        <f>+VLOOKUP(631,prueba!$D$2:$E$733,2,FALSE)</f>
        <v xml:space="preserve">FINANCIERA </v>
      </c>
      <c r="H1814" s="52" t="s">
        <v>2028</v>
      </c>
    </row>
    <row r="1815" spans="1:8" ht="30" customHeight="1" x14ac:dyDescent="0.25">
      <c r="A1815" s="76">
        <f>+A1814+1</f>
        <v>632</v>
      </c>
      <c r="B1815" s="50" t="s">
        <v>1900</v>
      </c>
      <c r="C1815" s="63" t="s">
        <v>2029</v>
      </c>
      <c r="D1815" s="64"/>
      <c r="E1815" s="65"/>
      <c r="F1815" s="84" t="s">
        <v>2022</v>
      </c>
      <c r="G1815" s="84" t="str">
        <f>+VLOOKUP(632,prueba!$D$2:$E$733,2,FALSE)</f>
        <v xml:space="preserve">FINANCIERA </v>
      </c>
      <c r="H1815" s="50" t="s">
        <v>7012</v>
      </c>
    </row>
    <row r="1816" spans="1:8" ht="30" customHeight="1" thickBot="1" x14ac:dyDescent="0.3">
      <c r="A1816" s="83"/>
      <c r="B1816" s="91"/>
      <c r="C1816" s="88"/>
      <c r="D1816" s="89"/>
      <c r="E1816" s="90"/>
      <c r="F1816" s="77"/>
      <c r="G1816" s="77"/>
      <c r="H1816" s="91"/>
    </row>
    <row r="1817" spans="1:8" ht="30" customHeight="1" x14ac:dyDescent="0.25">
      <c r="A1817" s="76">
        <f>+A1815+1</f>
        <v>633</v>
      </c>
      <c r="B1817" s="50" t="s">
        <v>1900</v>
      </c>
      <c r="C1817" s="63" t="s">
        <v>2030</v>
      </c>
      <c r="D1817" s="64"/>
      <c r="E1817" s="65"/>
      <c r="F1817" s="84" t="s">
        <v>2031</v>
      </c>
      <c r="G1817" s="84" t="str">
        <f>+VLOOKUP(633,prueba!$D$2:$E$733,2,FALSE)</f>
        <v>FINANCIERA</v>
      </c>
      <c r="H1817" s="50" t="s">
        <v>6996</v>
      </c>
    </row>
    <row r="1818" spans="1:8" ht="30" customHeight="1" thickBot="1" x14ac:dyDescent="0.3">
      <c r="A1818" s="83"/>
      <c r="B1818" s="91"/>
      <c r="C1818" s="88"/>
      <c r="D1818" s="89"/>
      <c r="E1818" s="90"/>
      <c r="F1818" s="77"/>
      <c r="G1818" s="77"/>
      <c r="H1818" s="91"/>
    </row>
    <row r="1819" spans="1:8" ht="30" customHeight="1" x14ac:dyDescent="0.25">
      <c r="A1819" s="76">
        <f>+A1817+1</f>
        <v>634</v>
      </c>
      <c r="B1819" s="50" t="s">
        <v>1900</v>
      </c>
      <c r="C1819" s="63" t="s">
        <v>2032</v>
      </c>
      <c r="D1819" s="64"/>
      <c r="E1819" s="65"/>
      <c r="F1819" s="84" t="s">
        <v>2033</v>
      </c>
      <c r="G1819" s="84" t="str">
        <f>+VLOOKUP(634,prueba!$D$2:$E$733,2,FALSE)</f>
        <v>FINANCIERA</v>
      </c>
      <c r="H1819" s="50" t="s">
        <v>2034</v>
      </c>
    </row>
    <row r="1820" spans="1:8" ht="30" customHeight="1" x14ac:dyDescent="0.25">
      <c r="A1820" s="312"/>
      <c r="B1820" s="86"/>
      <c r="C1820" s="53"/>
      <c r="D1820" s="54"/>
      <c r="E1820" s="55"/>
      <c r="F1820" s="85"/>
      <c r="G1820" s="85"/>
      <c r="H1820" s="86"/>
    </row>
    <row r="1821" spans="1:8" ht="30" customHeight="1" x14ac:dyDescent="0.25">
      <c r="A1821" s="312"/>
      <c r="B1821" s="86"/>
      <c r="C1821" s="53" t="s">
        <v>2035</v>
      </c>
      <c r="D1821" s="54"/>
      <c r="E1821" s="55"/>
      <c r="F1821" s="85"/>
      <c r="G1821" s="85"/>
      <c r="H1821" s="86"/>
    </row>
    <row r="1822" spans="1:8" ht="30" customHeight="1" thickBot="1" x14ac:dyDescent="0.3">
      <c r="A1822" s="83"/>
      <c r="B1822" s="91"/>
      <c r="C1822" s="88"/>
      <c r="D1822" s="89"/>
      <c r="E1822" s="90"/>
      <c r="F1822" s="77"/>
      <c r="G1822" s="77"/>
      <c r="H1822" s="91"/>
    </row>
    <row r="1823" spans="1:8" ht="30" customHeight="1" x14ac:dyDescent="0.25">
      <c r="A1823" s="76">
        <f>+A1819+1</f>
        <v>635</v>
      </c>
      <c r="B1823" s="50" t="s">
        <v>1900</v>
      </c>
      <c r="C1823" s="63" t="s">
        <v>2036</v>
      </c>
      <c r="D1823" s="64"/>
      <c r="E1823" s="65"/>
      <c r="F1823" s="84" t="s">
        <v>2037</v>
      </c>
      <c r="G1823" s="84" t="str">
        <f>+VLOOKUP(635,prueba!$D$2:$E$733,2,FALSE)</f>
        <v xml:space="preserve">FINANCIERA </v>
      </c>
      <c r="H1823" s="50" t="s">
        <v>2038</v>
      </c>
    </row>
    <row r="1824" spans="1:8" ht="30" customHeight="1" thickBot="1" x14ac:dyDescent="0.3">
      <c r="A1824" s="83"/>
      <c r="B1824" s="91"/>
      <c r="C1824" s="88"/>
      <c r="D1824" s="89"/>
      <c r="E1824" s="90"/>
      <c r="F1824" s="77"/>
      <c r="G1824" s="77"/>
      <c r="H1824" s="91"/>
    </row>
    <row r="1825" spans="1:8" ht="30" customHeight="1" x14ac:dyDescent="0.25">
      <c r="A1825" s="76">
        <f>+A1823+1</f>
        <v>636</v>
      </c>
      <c r="B1825" s="50" t="s">
        <v>1900</v>
      </c>
      <c r="C1825" s="63" t="s">
        <v>2039</v>
      </c>
      <c r="D1825" s="64"/>
      <c r="E1825" s="65"/>
      <c r="F1825" s="84" t="s">
        <v>2040</v>
      </c>
      <c r="G1825" s="84" t="str">
        <f>+VLOOKUP(636,prueba!$D$2:$E$733,2,FALSE)</f>
        <v>FINANCIERA</v>
      </c>
      <c r="H1825" s="50" t="s">
        <v>2041</v>
      </c>
    </row>
    <row r="1826" spans="1:8" ht="30" customHeight="1" x14ac:dyDescent="0.25">
      <c r="A1826" s="312"/>
      <c r="B1826" s="86"/>
      <c r="C1826" s="53"/>
      <c r="D1826" s="54"/>
      <c r="E1826" s="55"/>
      <c r="F1826" s="85"/>
      <c r="G1826" s="85"/>
      <c r="H1826" s="86"/>
    </row>
    <row r="1827" spans="1:8" ht="30" customHeight="1" x14ac:dyDescent="0.25">
      <c r="A1827" s="312"/>
      <c r="B1827" s="86"/>
      <c r="C1827" s="53"/>
      <c r="D1827" s="54"/>
      <c r="E1827" s="55"/>
      <c r="F1827" s="85"/>
      <c r="G1827" s="85"/>
      <c r="H1827" s="86"/>
    </row>
    <row r="1828" spans="1:8" ht="30" customHeight="1" thickBot="1" x14ac:dyDescent="0.3">
      <c r="A1828" s="83"/>
      <c r="B1828" s="91"/>
      <c r="C1828" s="88"/>
      <c r="D1828" s="89"/>
      <c r="E1828" s="90"/>
      <c r="F1828" s="77"/>
      <c r="G1828" s="77"/>
      <c r="H1828" s="91"/>
    </row>
    <row r="1829" spans="1:8" ht="30" customHeight="1" x14ac:dyDescent="0.25">
      <c r="A1829" s="76">
        <f>+A1825+1</f>
        <v>637</v>
      </c>
      <c r="B1829" s="50" t="s">
        <v>1900</v>
      </c>
      <c r="C1829" s="63" t="s">
        <v>2042</v>
      </c>
      <c r="D1829" s="64"/>
      <c r="E1829" s="65"/>
      <c r="F1829" s="162" t="s">
        <v>2043</v>
      </c>
      <c r="G1829" s="84" t="str">
        <f>+VLOOKUP(637,prueba!$D$2:$E$733,2,FALSE)</f>
        <v>FINANCIERA</v>
      </c>
      <c r="H1829" s="50" t="s">
        <v>2044</v>
      </c>
    </row>
    <row r="1830" spans="1:8" ht="30" customHeight="1" x14ac:dyDescent="0.25">
      <c r="A1830" s="312"/>
      <c r="B1830" s="86"/>
      <c r="C1830" s="53" t="s">
        <v>296</v>
      </c>
      <c r="D1830" s="54"/>
      <c r="E1830" s="55"/>
      <c r="F1830" s="163"/>
      <c r="G1830" s="85"/>
      <c r="H1830" s="86"/>
    </row>
    <row r="1831" spans="1:8" ht="30" customHeight="1" x14ac:dyDescent="0.25">
      <c r="A1831" s="312"/>
      <c r="B1831" s="86"/>
      <c r="C1831" s="53"/>
      <c r="D1831" s="54"/>
      <c r="E1831" s="55"/>
      <c r="F1831" s="163"/>
      <c r="G1831" s="85"/>
      <c r="H1831" s="86"/>
    </row>
    <row r="1832" spans="1:8" ht="30" customHeight="1" thickBot="1" x14ac:dyDescent="0.3">
      <c r="A1832" s="83"/>
      <c r="B1832" s="91"/>
      <c r="C1832" s="88" t="s">
        <v>9758</v>
      </c>
      <c r="D1832" s="89"/>
      <c r="E1832" s="90"/>
      <c r="F1832" s="164"/>
      <c r="G1832" s="77"/>
      <c r="H1832" s="91"/>
    </row>
    <row r="1833" spans="1:8" ht="30" customHeight="1" x14ac:dyDescent="0.25">
      <c r="A1833" s="76">
        <f>+A1829+1</f>
        <v>638</v>
      </c>
      <c r="B1833" s="50" t="s">
        <v>1900</v>
      </c>
      <c r="C1833" s="63" t="s">
        <v>2045</v>
      </c>
      <c r="D1833" s="64"/>
      <c r="E1833" s="65"/>
      <c r="F1833" s="162" t="s">
        <v>2046</v>
      </c>
      <c r="G1833" s="84" t="str">
        <f>+VLOOKUP(638,prueba!$D$2:$E$733,2,FALSE)</f>
        <v>FINANCIERA RIESGOS</v>
      </c>
      <c r="H1833" s="50" t="s">
        <v>6997</v>
      </c>
    </row>
    <row r="1834" spans="1:8" ht="30" customHeight="1" thickBot="1" x14ac:dyDescent="0.3">
      <c r="A1834" s="83"/>
      <c r="B1834" s="91"/>
      <c r="C1834" s="88"/>
      <c r="D1834" s="89"/>
      <c r="E1834" s="90"/>
      <c r="F1834" s="164"/>
      <c r="G1834" s="77"/>
      <c r="H1834" s="91"/>
    </row>
    <row r="1835" spans="1:8" ht="30" customHeight="1" x14ac:dyDescent="0.25">
      <c r="A1835" s="76">
        <f>+A1833+1</f>
        <v>639</v>
      </c>
      <c r="B1835" s="50" t="s">
        <v>1900</v>
      </c>
      <c r="C1835" s="63" t="s">
        <v>2048</v>
      </c>
      <c r="D1835" s="64"/>
      <c r="E1835" s="65"/>
      <c r="F1835" s="84" t="s">
        <v>2049</v>
      </c>
      <c r="G1835" s="84" t="str">
        <f>+VLOOKUP(639,prueba!$D$2:$E$733,2,FALSE)</f>
        <v xml:space="preserve">TÉCNICA AMBIENTAL </v>
      </c>
      <c r="H1835" s="50" t="s">
        <v>2050</v>
      </c>
    </row>
    <row r="1836" spans="1:8" ht="30" customHeight="1" x14ac:dyDescent="0.25">
      <c r="A1836" s="312"/>
      <c r="B1836" s="86"/>
      <c r="C1836" s="53"/>
      <c r="D1836" s="54"/>
      <c r="E1836" s="55"/>
      <c r="F1836" s="85"/>
      <c r="G1836" s="85"/>
      <c r="H1836" s="86"/>
    </row>
    <row r="1837" spans="1:8" ht="30" customHeight="1" x14ac:dyDescent="0.25">
      <c r="A1837" s="312"/>
      <c r="B1837" s="86"/>
      <c r="C1837" s="53" t="s">
        <v>2051</v>
      </c>
      <c r="D1837" s="54"/>
      <c r="E1837" s="55"/>
      <c r="F1837" s="85"/>
      <c r="G1837" s="85"/>
      <c r="H1837" s="86"/>
    </row>
    <row r="1838" spans="1:8" ht="30" customHeight="1" x14ac:dyDescent="0.25">
      <c r="A1838" s="312"/>
      <c r="B1838" s="86"/>
      <c r="C1838" s="53"/>
      <c r="D1838" s="54"/>
      <c r="E1838" s="55"/>
      <c r="F1838" s="85"/>
      <c r="G1838" s="85"/>
      <c r="H1838" s="86"/>
    </row>
    <row r="1839" spans="1:8" ht="30" customHeight="1" x14ac:dyDescent="0.25">
      <c r="A1839" s="312"/>
      <c r="B1839" s="86"/>
      <c r="C1839" s="53" t="s">
        <v>2052</v>
      </c>
      <c r="D1839" s="54"/>
      <c r="E1839" s="55"/>
      <c r="F1839" s="85"/>
      <c r="G1839" s="85"/>
      <c r="H1839" s="86"/>
    </row>
    <row r="1840" spans="1:8" ht="30" customHeight="1" x14ac:dyDescent="0.25">
      <c r="A1840" s="312"/>
      <c r="B1840" s="86"/>
      <c r="C1840" s="53"/>
      <c r="D1840" s="54"/>
      <c r="E1840" s="55"/>
      <c r="F1840" s="85"/>
      <c r="G1840" s="85"/>
      <c r="H1840" s="86"/>
    </row>
    <row r="1841" spans="1:8" ht="30" customHeight="1" x14ac:dyDescent="0.25">
      <c r="A1841" s="312"/>
      <c r="B1841" s="86"/>
      <c r="C1841" s="53" t="s">
        <v>2053</v>
      </c>
      <c r="D1841" s="54"/>
      <c r="E1841" s="55"/>
      <c r="F1841" s="85"/>
      <c r="G1841" s="85"/>
      <c r="H1841" s="86"/>
    </row>
    <row r="1842" spans="1:8" ht="30" customHeight="1" x14ac:dyDescent="0.25">
      <c r="A1842" s="312"/>
      <c r="B1842" s="86"/>
      <c r="C1842" s="53"/>
      <c r="D1842" s="54"/>
      <c r="E1842" s="55"/>
      <c r="F1842" s="85"/>
      <c r="G1842" s="85"/>
      <c r="H1842" s="86"/>
    </row>
    <row r="1843" spans="1:8" ht="30" customHeight="1" x14ac:dyDescent="0.25">
      <c r="A1843" s="312"/>
      <c r="B1843" s="86"/>
      <c r="C1843" s="53" t="s">
        <v>2054</v>
      </c>
      <c r="D1843" s="54"/>
      <c r="E1843" s="55"/>
      <c r="F1843" s="85"/>
      <c r="G1843" s="85"/>
      <c r="H1843" s="86"/>
    </row>
    <row r="1844" spans="1:8" ht="30" customHeight="1" thickBot="1" x14ac:dyDescent="0.3">
      <c r="A1844" s="83"/>
      <c r="B1844" s="91"/>
      <c r="C1844" s="88"/>
      <c r="D1844" s="89"/>
      <c r="E1844" s="90"/>
      <c r="F1844" s="77"/>
      <c r="G1844" s="77"/>
      <c r="H1844" s="91"/>
    </row>
    <row r="1845" spans="1:8" ht="30" customHeight="1" x14ac:dyDescent="0.25">
      <c r="A1845" s="76">
        <f>+A1835+1</f>
        <v>640</v>
      </c>
      <c r="B1845" s="50" t="s">
        <v>1900</v>
      </c>
      <c r="C1845" s="63" t="s">
        <v>2055</v>
      </c>
      <c r="D1845" s="64"/>
      <c r="E1845" s="65"/>
      <c r="F1845" s="84" t="s">
        <v>2056</v>
      </c>
      <c r="G1845" s="84" t="str">
        <f>+VLOOKUP(640,prueba!$D$2:$E$733,2,FALSE)</f>
        <v>FINANCIERA</v>
      </c>
      <c r="H1845" s="50" t="s">
        <v>9168</v>
      </c>
    </row>
    <row r="1846" spans="1:8" ht="30" customHeight="1" x14ac:dyDescent="0.25">
      <c r="A1846" s="312"/>
      <c r="B1846" s="86"/>
      <c r="C1846" s="53"/>
      <c r="D1846" s="54"/>
      <c r="E1846" s="55"/>
      <c r="F1846" s="85"/>
      <c r="G1846" s="85"/>
      <c r="H1846" s="86"/>
    </row>
    <row r="1847" spans="1:8" ht="30" customHeight="1" x14ac:dyDescent="0.25">
      <c r="A1847" s="312"/>
      <c r="B1847" s="86"/>
      <c r="C1847" s="53" t="s">
        <v>2057</v>
      </c>
      <c r="D1847" s="54"/>
      <c r="E1847" s="55"/>
      <c r="F1847" s="85"/>
      <c r="G1847" s="85"/>
      <c r="H1847" s="86"/>
    </row>
    <row r="1848" spans="1:8" ht="30" customHeight="1" x14ac:dyDescent="0.25">
      <c r="A1848" s="312"/>
      <c r="B1848" s="86"/>
      <c r="C1848" s="53"/>
      <c r="D1848" s="54"/>
      <c r="E1848" s="55"/>
      <c r="F1848" s="85"/>
      <c r="G1848" s="85"/>
      <c r="H1848" s="86"/>
    </row>
    <row r="1849" spans="1:8" ht="30" customHeight="1" x14ac:dyDescent="0.25">
      <c r="A1849" s="312"/>
      <c r="B1849" s="86"/>
      <c r="C1849" s="53" t="s">
        <v>9759</v>
      </c>
      <c r="D1849" s="54"/>
      <c r="E1849" s="55"/>
      <c r="F1849" s="85"/>
      <c r="G1849" s="85"/>
      <c r="H1849" s="86"/>
    </row>
    <row r="1850" spans="1:8" ht="30" customHeight="1" thickBot="1" x14ac:dyDescent="0.3">
      <c r="A1850" s="83"/>
      <c r="B1850" s="91"/>
      <c r="C1850" s="88"/>
      <c r="D1850" s="89"/>
      <c r="E1850" s="90"/>
      <c r="F1850" s="77"/>
      <c r="G1850" s="77"/>
      <c r="H1850" s="91"/>
    </row>
    <row r="1851" spans="1:8" ht="30" customHeight="1" x14ac:dyDescent="0.25">
      <c r="A1851" s="76">
        <f>+A1845+1</f>
        <v>641</v>
      </c>
      <c r="B1851" s="50" t="s">
        <v>1900</v>
      </c>
      <c r="C1851" s="63" t="s">
        <v>2058</v>
      </c>
      <c r="D1851" s="64"/>
      <c r="E1851" s="65"/>
      <c r="F1851" s="84" t="s">
        <v>2059</v>
      </c>
      <c r="G1851" s="84" t="str">
        <f>+VLOOKUP(641,prueba!$D$2:$E$733,2,FALSE)</f>
        <v> FINANCIERA</v>
      </c>
      <c r="H1851" s="50" t="s">
        <v>7013</v>
      </c>
    </row>
    <row r="1852" spans="1:8" ht="30" customHeight="1" x14ac:dyDescent="0.25">
      <c r="A1852" s="312"/>
      <c r="B1852" s="86"/>
      <c r="C1852" s="53"/>
      <c r="D1852" s="54"/>
      <c r="E1852" s="55"/>
      <c r="F1852" s="85"/>
      <c r="G1852" s="85"/>
      <c r="H1852" s="86"/>
    </row>
    <row r="1853" spans="1:8" ht="30" customHeight="1" x14ac:dyDescent="0.25">
      <c r="A1853" s="312"/>
      <c r="B1853" s="86"/>
      <c r="C1853" s="53" t="s">
        <v>2060</v>
      </c>
      <c r="D1853" s="54"/>
      <c r="E1853" s="55"/>
      <c r="F1853" s="85"/>
      <c r="G1853" s="85"/>
      <c r="H1853" s="86"/>
    </row>
    <row r="1854" spans="1:8" ht="30" customHeight="1" x14ac:dyDescent="0.25">
      <c r="A1854" s="312"/>
      <c r="B1854" s="86"/>
      <c r="C1854" s="53"/>
      <c r="D1854" s="54"/>
      <c r="E1854" s="55"/>
      <c r="F1854" s="85"/>
      <c r="G1854" s="85"/>
      <c r="H1854" s="86"/>
    </row>
    <row r="1855" spans="1:8" ht="30" customHeight="1" thickBot="1" x14ac:dyDescent="0.3">
      <c r="A1855" s="83"/>
      <c r="B1855" s="91"/>
      <c r="C1855" s="88"/>
      <c r="D1855" s="89"/>
      <c r="E1855" s="90"/>
      <c r="F1855" s="77"/>
      <c r="G1855" s="77"/>
      <c r="H1855" s="91"/>
    </row>
    <row r="1856" spans="1:8" ht="30" customHeight="1" x14ac:dyDescent="0.25">
      <c r="A1856" s="76">
        <f>+A1851+1</f>
        <v>642</v>
      </c>
      <c r="B1856" s="50" t="s">
        <v>1900</v>
      </c>
      <c r="C1856" s="63" t="s">
        <v>2061</v>
      </c>
      <c r="D1856" s="64"/>
      <c r="E1856" s="65"/>
      <c r="F1856" s="84" t="s">
        <v>2062</v>
      </c>
      <c r="G1856" s="84" t="str">
        <f>+VLOOKUP(642,prueba!$D$2:$E$733,2,FALSE)</f>
        <v>TÉCNICA</v>
      </c>
      <c r="H1856" s="50" t="s">
        <v>9253</v>
      </c>
    </row>
    <row r="1857" spans="1:8" ht="30" customHeight="1" thickBot="1" x14ac:dyDescent="0.3">
      <c r="A1857" s="83"/>
      <c r="B1857" s="91"/>
      <c r="C1857" s="88"/>
      <c r="D1857" s="89"/>
      <c r="E1857" s="90"/>
      <c r="F1857" s="77"/>
      <c r="G1857" s="77"/>
      <c r="H1857" s="91"/>
    </row>
    <row r="1858" spans="1:8" ht="30" customHeight="1" x14ac:dyDescent="0.25">
      <c r="A1858" s="76">
        <f>+A1856+1</f>
        <v>643</v>
      </c>
      <c r="B1858" s="50" t="s">
        <v>1900</v>
      </c>
      <c r="C1858" s="63" t="s">
        <v>2063</v>
      </c>
      <c r="D1858" s="64"/>
      <c r="E1858" s="65"/>
      <c r="F1858" s="84" t="s">
        <v>2064</v>
      </c>
      <c r="G1858" s="84" t="str">
        <f>+VLOOKUP(643,prueba!$D$2:$E$733,2,FALSE)</f>
        <v>JURÍDICO PREDIAL</v>
      </c>
      <c r="H1858" s="50" t="s">
        <v>2066</v>
      </c>
    </row>
    <row r="1859" spans="1:8" ht="30" customHeight="1" thickBot="1" x14ac:dyDescent="0.3">
      <c r="A1859" s="83"/>
      <c r="B1859" s="91"/>
      <c r="C1859" s="88"/>
      <c r="D1859" s="89"/>
      <c r="E1859" s="90"/>
      <c r="F1859" s="77"/>
      <c r="G1859" s="77"/>
      <c r="H1859" s="91"/>
    </row>
    <row r="1860" spans="1:8" ht="30" customHeight="1" x14ac:dyDescent="0.25">
      <c r="A1860" s="76">
        <f>+A1858+1</f>
        <v>644</v>
      </c>
      <c r="B1860" s="50" t="s">
        <v>1900</v>
      </c>
      <c r="C1860" s="63" t="s">
        <v>2067</v>
      </c>
      <c r="D1860" s="64"/>
      <c r="E1860" s="65"/>
      <c r="F1860" s="84" t="s">
        <v>2068</v>
      </c>
      <c r="G1860" s="84" t="str">
        <f>+VLOOKUP(644,prueba!$D$2:$E$733,2,FALSE)</f>
        <v xml:space="preserve">FINANCIERA </v>
      </c>
      <c r="H1860" s="50" t="s">
        <v>8403</v>
      </c>
    </row>
    <row r="1861" spans="1:8" ht="30" customHeight="1" thickBot="1" x14ac:dyDescent="0.3">
      <c r="A1861" s="83"/>
      <c r="B1861" s="91"/>
      <c r="C1861" s="88"/>
      <c r="D1861" s="89"/>
      <c r="E1861" s="90"/>
      <c r="F1861" s="77"/>
      <c r="G1861" s="77"/>
      <c r="H1861" s="91"/>
    </row>
    <row r="1862" spans="1:8" ht="30" customHeight="1" x14ac:dyDescent="0.25">
      <c r="A1862" s="76">
        <f>+A1860+1</f>
        <v>645</v>
      </c>
      <c r="B1862" s="50" t="s">
        <v>1900</v>
      </c>
      <c r="C1862" s="63" t="s">
        <v>2069</v>
      </c>
      <c r="D1862" s="64"/>
      <c r="E1862" s="65"/>
      <c r="F1862" s="84" t="s">
        <v>2070</v>
      </c>
      <c r="G1862" s="84" t="str">
        <f>+VLOOKUP(645,prueba!$D$2:$E$733,2,FALSE)</f>
        <v xml:space="preserve">JURÍDICA - ESTRUCTURACIÓN </v>
      </c>
      <c r="H1862" s="50" t="s">
        <v>8425</v>
      </c>
    </row>
    <row r="1863" spans="1:8" ht="30" customHeight="1" x14ac:dyDescent="0.25">
      <c r="A1863" s="312"/>
      <c r="B1863" s="86"/>
      <c r="C1863" s="53"/>
      <c r="D1863" s="54"/>
      <c r="E1863" s="55"/>
      <c r="F1863" s="85"/>
      <c r="G1863" s="85"/>
      <c r="H1863" s="86"/>
    </row>
    <row r="1864" spans="1:8" ht="30" customHeight="1" x14ac:dyDescent="0.25">
      <c r="A1864" s="312"/>
      <c r="B1864" s="86"/>
      <c r="C1864" s="53" t="s">
        <v>2071</v>
      </c>
      <c r="D1864" s="54"/>
      <c r="E1864" s="55"/>
      <c r="F1864" s="85"/>
      <c r="G1864" s="85"/>
      <c r="H1864" s="86"/>
    </row>
    <row r="1865" spans="1:8" ht="30" customHeight="1" thickBot="1" x14ac:dyDescent="0.3">
      <c r="A1865" s="83"/>
      <c r="B1865" s="91"/>
      <c r="C1865" s="88"/>
      <c r="D1865" s="89"/>
      <c r="E1865" s="90"/>
      <c r="F1865" s="77"/>
      <c r="G1865" s="77"/>
      <c r="H1865" s="91"/>
    </row>
    <row r="1866" spans="1:8" ht="30" customHeight="1" x14ac:dyDescent="0.25">
      <c r="A1866" s="76">
        <f>+A1862+1</f>
        <v>646</v>
      </c>
      <c r="B1866" s="50" t="s">
        <v>1900</v>
      </c>
      <c r="C1866" s="63" t="s">
        <v>2072</v>
      </c>
      <c r="D1866" s="64"/>
      <c r="E1866" s="65"/>
      <c r="F1866" s="162" t="s">
        <v>2073</v>
      </c>
      <c r="G1866" s="84" t="str">
        <f>+VLOOKUP(646,prueba!$D$2:$E$733,2,FALSE)</f>
        <v xml:space="preserve">JURÍDICA - ESTRUCTURACIÓN </v>
      </c>
      <c r="H1866" s="50" t="s">
        <v>8426</v>
      </c>
    </row>
    <row r="1867" spans="1:8" ht="30" customHeight="1" x14ac:dyDescent="0.25">
      <c r="A1867" s="312"/>
      <c r="B1867" s="86"/>
      <c r="C1867" s="53"/>
      <c r="D1867" s="54"/>
      <c r="E1867" s="55"/>
      <c r="F1867" s="163"/>
      <c r="G1867" s="85"/>
      <c r="H1867" s="86"/>
    </row>
    <row r="1868" spans="1:8" ht="30" customHeight="1" x14ac:dyDescent="0.25">
      <c r="A1868" s="312"/>
      <c r="B1868" s="86"/>
      <c r="C1868" s="53" t="s">
        <v>2074</v>
      </c>
      <c r="D1868" s="54"/>
      <c r="E1868" s="55"/>
      <c r="F1868" s="163"/>
      <c r="G1868" s="85"/>
      <c r="H1868" s="86"/>
    </row>
    <row r="1869" spans="1:8" ht="30" customHeight="1" x14ac:dyDescent="0.25">
      <c r="A1869" s="312"/>
      <c r="B1869" s="86"/>
      <c r="C1869" s="53" t="s">
        <v>2075</v>
      </c>
      <c r="D1869" s="54"/>
      <c r="E1869" s="55"/>
      <c r="F1869" s="163"/>
      <c r="G1869" s="85"/>
      <c r="H1869" s="86"/>
    </row>
    <row r="1870" spans="1:8" ht="30" customHeight="1" x14ac:dyDescent="0.25">
      <c r="A1870" s="312"/>
      <c r="B1870" s="86"/>
      <c r="C1870" s="53"/>
      <c r="D1870" s="54"/>
      <c r="E1870" s="55"/>
      <c r="F1870" s="163"/>
      <c r="G1870" s="85"/>
      <c r="H1870" s="86"/>
    </row>
    <row r="1871" spans="1:8" ht="30" customHeight="1" x14ac:dyDescent="0.25">
      <c r="A1871" s="312"/>
      <c r="B1871" s="86"/>
      <c r="C1871" s="53" t="s">
        <v>2076</v>
      </c>
      <c r="D1871" s="54"/>
      <c r="E1871" s="55"/>
      <c r="F1871" s="163"/>
      <c r="G1871" s="85"/>
      <c r="H1871" s="86"/>
    </row>
    <row r="1872" spans="1:8" ht="30" customHeight="1" x14ac:dyDescent="0.25">
      <c r="A1872" s="312"/>
      <c r="B1872" s="86"/>
      <c r="C1872" s="53"/>
      <c r="D1872" s="54"/>
      <c r="E1872" s="55"/>
      <c r="F1872" s="163"/>
      <c r="G1872" s="85"/>
      <c r="H1872" s="86"/>
    </row>
    <row r="1873" spans="1:8" ht="30" customHeight="1" x14ac:dyDescent="0.25">
      <c r="A1873" s="312"/>
      <c r="B1873" s="86"/>
      <c r="C1873" s="53" t="s">
        <v>2077</v>
      </c>
      <c r="D1873" s="54"/>
      <c r="E1873" s="55"/>
      <c r="F1873" s="163"/>
      <c r="G1873" s="85"/>
      <c r="H1873" s="86"/>
    </row>
    <row r="1874" spans="1:8" ht="30" customHeight="1" x14ac:dyDescent="0.25">
      <c r="A1874" s="312"/>
      <c r="B1874" s="86"/>
      <c r="C1874" s="53" t="s">
        <v>2078</v>
      </c>
      <c r="D1874" s="54"/>
      <c r="E1874" s="55"/>
      <c r="F1874" s="163"/>
      <c r="G1874" s="85"/>
      <c r="H1874" s="86"/>
    </row>
    <row r="1875" spans="1:8" ht="30" customHeight="1" x14ac:dyDescent="0.25">
      <c r="A1875" s="312"/>
      <c r="B1875" s="86"/>
      <c r="C1875" s="53" t="s">
        <v>2079</v>
      </c>
      <c r="D1875" s="54"/>
      <c r="E1875" s="55"/>
      <c r="F1875" s="163"/>
      <c r="G1875" s="85"/>
      <c r="H1875" s="86"/>
    </row>
    <row r="1876" spans="1:8" ht="30" customHeight="1" x14ac:dyDescent="0.25">
      <c r="A1876" s="312"/>
      <c r="B1876" s="86"/>
      <c r="C1876" s="53" t="s">
        <v>2080</v>
      </c>
      <c r="D1876" s="54"/>
      <c r="E1876" s="55"/>
      <c r="F1876" s="163"/>
      <c r="G1876" s="85"/>
      <c r="H1876" s="86"/>
    </row>
    <row r="1877" spans="1:8" ht="30" customHeight="1" x14ac:dyDescent="0.25">
      <c r="A1877" s="312"/>
      <c r="B1877" s="86"/>
      <c r="C1877" s="53" t="s">
        <v>2081</v>
      </c>
      <c r="D1877" s="54"/>
      <c r="E1877" s="55"/>
      <c r="F1877" s="163"/>
      <c r="G1877" s="85"/>
      <c r="H1877" s="86"/>
    </row>
    <row r="1878" spans="1:8" ht="30" customHeight="1" x14ac:dyDescent="0.25">
      <c r="A1878" s="312"/>
      <c r="B1878" s="86"/>
      <c r="C1878" s="53"/>
      <c r="D1878" s="54"/>
      <c r="E1878" s="55"/>
      <c r="F1878" s="163"/>
      <c r="G1878" s="85"/>
      <c r="H1878" s="86"/>
    </row>
    <row r="1879" spans="1:8" ht="30" customHeight="1" x14ac:dyDescent="0.25">
      <c r="A1879" s="312"/>
      <c r="B1879" s="86"/>
      <c r="C1879" s="53" t="s">
        <v>2082</v>
      </c>
      <c r="D1879" s="54"/>
      <c r="E1879" s="55"/>
      <c r="F1879" s="163"/>
      <c r="G1879" s="85"/>
      <c r="H1879" s="86"/>
    </row>
    <row r="1880" spans="1:8" ht="30" customHeight="1" x14ac:dyDescent="0.25">
      <c r="A1880" s="312"/>
      <c r="B1880" s="86"/>
      <c r="C1880" s="53"/>
      <c r="D1880" s="54"/>
      <c r="E1880" s="55"/>
      <c r="F1880" s="163"/>
      <c r="G1880" s="85"/>
      <c r="H1880" s="86"/>
    </row>
    <row r="1881" spans="1:8" ht="30" customHeight="1" x14ac:dyDescent="0.25">
      <c r="A1881" s="312"/>
      <c r="B1881" s="86"/>
      <c r="C1881" s="53" t="s">
        <v>2083</v>
      </c>
      <c r="D1881" s="54"/>
      <c r="E1881" s="55"/>
      <c r="F1881" s="163"/>
      <c r="G1881" s="85"/>
      <c r="H1881" s="86"/>
    </row>
    <row r="1882" spans="1:8" ht="30" customHeight="1" thickBot="1" x14ac:dyDescent="0.3">
      <c r="A1882" s="83"/>
      <c r="B1882" s="91"/>
      <c r="C1882" s="88"/>
      <c r="D1882" s="89"/>
      <c r="E1882" s="90"/>
      <c r="F1882" s="164"/>
      <c r="G1882" s="77"/>
      <c r="H1882" s="91"/>
    </row>
    <row r="1883" spans="1:8" ht="30" customHeight="1" x14ac:dyDescent="0.25">
      <c r="A1883" s="76">
        <f>+A1866+1</f>
        <v>647</v>
      </c>
      <c r="B1883" s="50" t="s">
        <v>1900</v>
      </c>
      <c r="C1883" s="63" t="s">
        <v>2084</v>
      </c>
      <c r="D1883" s="64"/>
      <c r="E1883" s="65"/>
      <c r="F1883" s="84" t="s">
        <v>2085</v>
      </c>
      <c r="G1883" s="84" t="str">
        <f>+VLOOKUP(647,prueba!$D$2:$E$733,2,FALSE)</f>
        <v>JURIDICA – DEFENSA JUDICIAL</v>
      </c>
      <c r="H1883" s="50" t="s">
        <v>8114</v>
      </c>
    </row>
    <row r="1884" spans="1:8" ht="30" customHeight="1" x14ac:dyDescent="0.25">
      <c r="A1884" s="312"/>
      <c r="B1884" s="86"/>
      <c r="C1884" s="112"/>
      <c r="D1884" s="113"/>
      <c r="E1884" s="114"/>
      <c r="F1884" s="85"/>
      <c r="G1884" s="85"/>
      <c r="H1884" s="86"/>
    </row>
    <row r="1885" spans="1:8" ht="30" customHeight="1" x14ac:dyDescent="0.25">
      <c r="A1885" s="312"/>
      <c r="B1885" s="86"/>
      <c r="C1885" s="112" t="s">
        <v>9760</v>
      </c>
      <c r="D1885" s="113"/>
      <c r="E1885" s="114"/>
      <c r="F1885" s="85"/>
      <c r="G1885" s="85"/>
      <c r="H1885" s="86"/>
    </row>
    <row r="1886" spans="1:8" ht="30" customHeight="1" thickBot="1" x14ac:dyDescent="0.3">
      <c r="A1886" s="83"/>
      <c r="B1886" s="91"/>
      <c r="C1886" s="88"/>
      <c r="D1886" s="89"/>
      <c r="E1886" s="90"/>
      <c r="F1886" s="77"/>
      <c r="G1886" s="77"/>
      <c r="H1886" s="91"/>
    </row>
    <row r="1887" spans="1:8" ht="30" customHeight="1" x14ac:dyDescent="0.25">
      <c r="A1887" s="76">
        <f>+A1883+1</f>
        <v>648</v>
      </c>
      <c r="B1887" s="50" t="s">
        <v>1900</v>
      </c>
      <c r="C1887" s="63" t="s">
        <v>9761</v>
      </c>
      <c r="D1887" s="64"/>
      <c r="E1887" s="65"/>
      <c r="F1887" s="84" t="s">
        <v>2086</v>
      </c>
      <c r="G1887" s="84" t="str">
        <f>+VLOOKUP(648,prueba!$D$2:$E$733,2,FALSE)</f>
        <v xml:space="preserve">FINANCIERA JURÍDICA - ESTRUCTURACIÓN </v>
      </c>
      <c r="H1887" s="50" t="s">
        <v>6020</v>
      </c>
    </row>
    <row r="1888" spans="1:8" ht="30" customHeight="1" x14ac:dyDescent="0.25">
      <c r="A1888" s="312"/>
      <c r="B1888" s="86"/>
      <c r="C1888" s="53"/>
      <c r="D1888" s="54"/>
      <c r="E1888" s="55"/>
      <c r="F1888" s="85"/>
      <c r="G1888" s="85"/>
      <c r="H1888" s="86"/>
    </row>
    <row r="1889" spans="1:8" ht="30" customHeight="1" x14ac:dyDescent="0.25">
      <c r="A1889" s="312"/>
      <c r="B1889" s="86"/>
      <c r="C1889" s="53" t="s">
        <v>9762</v>
      </c>
      <c r="D1889" s="54"/>
      <c r="E1889" s="55"/>
      <c r="F1889" s="85"/>
      <c r="G1889" s="85"/>
      <c r="H1889" s="86"/>
    </row>
    <row r="1890" spans="1:8" ht="30" customHeight="1" thickBot="1" x14ac:dyDescent="0.3">
      <c r="A1890" s="83"/>
      <c r="B1890" s="91"/>
      <c r="C1890" s="88"/>
      <c r="D1890" s="89"/>
      <c r="E1890" s="90"/>
      <c r="F1890" s="77"/>
      <c r="G1890" s="77"/>
      <c r="H1890" s="91"/>
    </row>
    <row r="1891" spans="1:8" ht="30" customHeight="1" x14ac:dyDescent="0.25">
      <c r="A1891" s="76">
        <f>+A1887+1</f>
        <v>649</v>
      </c>
      <c r="B1891" s="50" t="s">
        <v>1900</v>
      </c>
      <c r="C1891" s="63" t="s">
        <v>2087</v>
      </c>
      <c r="D1891" s="64"/>
      <c r="E1891" s="65"/>
      <c r="F1891" s="84" t="s">
        <v>2088</v>
      </c>
      <c r="G1891" s="84" t="str">
        <f>+VLOOKUP(649,prueba!$D$2:$E$733,2,FALSE)</f>
        <v> FINANCIERA</v>
      </c>
      <c r="H1891" s="50" t="s">
        <v>8404</v>
      </c>
    </row>
    <row r="1892" spans="1:8" ht="30" customHeight="1" x14ac:dyDescent="0.25">
      <c r="A1892" s="312"/>
      <c r="B1892" s="86"/>
      <c r="C1892" s="53"/>
      <c r="D1892" s="54"/>
      <c r="E1892" s="55"/>
      <c r="F1892" s="85"/>
      <c r="G1892" s="85"/>
      <c r="H1892" s="86"/>
    </row>
    <row r="1893" spans="1:8" ht="30" customHeight="1" x14ac:dyDescent="0.25">
      <c r="A1893" s="312"/>
      <c r="B1893" s="86"/>
      <c r="C1893" s="53" t="s">
        <v>2089</v>
      </c>
      <c r="D1893" s="54"/>
      <c r="E1893" s="55"/>
      <c r="F1893" s="85"/>
      <c r="G1893" s="85"/>
      <c r="H1893" s="86"/>
    </row>
    <row r="1894" spans="1:8" ht="30" customHeight="1" x14ac:dyDescent="0.25">
      <c r="A1894" s="312"/>
      <c r="B1894" s="86"/>
      <c r="C1894" s="53"/>
      <c r="D1894" s="54"/>
      <c r="E1894" s="55"/>
      <c r="F1894" s="85"/>
      <c r="G1894" s="85"/>
      <c r="H1894" s="86"/>
    </row>
    <row r="1895" spans="1:8" ht="30" customHeight="1" x14ac:dyDescent="0.25">
      <c r="A1895" s="312"/>
      <c r="B1895" s="86"/>
      <c r="C1895" s="53" t="s">
        <v>2090</v>
      </c>
      <c r="D1895" s="54"/>
      <c r="E1895" s="55"/>
      <c r="F1895" s="85"/>
      <c r="G1895" s="85"/>
      <c r="H1895" s="86"/>
    </row>
    <row r="1896" spans="1:8" ht="30" customHeight="1" thickBot="1" x14ac:dyDescent="0.3">
      <c r="A1896" s="83"/>
      <c r="B1896" s="91"/>
      <c r="C1896" s="88"/>
      <c r="D1896" s="89"/>
      <c r="E1896" s="90"/>
      <c r="F1896" s="77"/>
      <c r="G1896" s="77"/>
      <c r="H1896" s="91"/>
    </row>
    <row r="1897" spans="1:8" ht="30" customHeight="1" x14ac:dyDescent="0.25">
      <c r="A1897" s="76">
        <f>+A1891+1</f>
        <v>650</v>
      </c>
      <c r="B1897" s="50" t="s">
        <v>1900</v>
      </c>
      <c r="C1897" s="63" t="s">
        <v>2091</v>
      </c>
      <c r="D1897" s="64"/>
      <c r="E1897" s="65"/>
      <c r="F1897" s="84" t="s">
        <v>2092</v>
      </c>
      <c r="G1897" s="84" t="str">
        <f>+VLOOKUP(650,prueba!$D$2:$E$733,2,FALSE)</f>
        <v> FINANCIERA</v>
      </c>
      <c r="H1897" s="50" t="s">
        <v>2093</v>
      </c>
    </row>
    <row r="1898" spans="1:8" ht="30" customHeight="1" thickBot="1" x14ac:dyDescent="0.3">
      <c r="A1898" s="83"/>
      <c r="B1898" s="91"/>
      <c r="C1898" s="88"/>
      <c r="D1898" s="89"/>
      <c r="E1898" s="90"/>
      <c r="F1898" s="77"/>
      <c r="G1898" s="77"/>
      <c r="H1898" s="91"/>
    </row>
    <row r="1899" spans="1:8" ht="30" customHeight="1" x14ac:dyDescent="0.25">
      <c r="A1899" s="76">
        <f>+A1897+1</f>
        <v>651</v>
      </c>
      <c r="B1899" s="50" t="s">
        <v>1900</v>
      </c>
      <c r="C1899" s="63" t="s">
        <v>2094</v>
      </c>
      <c r="D1899" s="64"/>
      <c r="E1899" s="65"/>
      <c r="F1899" s="162" t="s">
        <v>2095</v>
      </c>
      <c r="G1899" s="84" t="str">
        <f>+VLOOKUP(651,prueba!$D$2:$E$733,2,FALSE)</f>
        <v xml:space="preserve">TÉCNICA </v>
      </c>
      <c r="H1899" s="50" t="s">
        <v>6998</v>
      </c>
    </row>
    <row r="1900" spans="1:8" ht="30" customHeight="1" x14ac:dyDescent="0.25">
      <c r="A1900" s="312"/>
      <c r="B1900" s="86"/>
      <c r="C1900" s="53"/>
      <c r="D1900" s="54"/>
      <c r="E1900" s="55"/>
      <c r="F1900" s="163"/>
      <c r="G1900" s="85"/>
      <c r="H1900" s="86"/>
    </row>
    <row r="1901" spans="1:8" ht="30" customHeight="1" x14ac:dyDescent="0.25">
      <c r="A1901" s="312"/>
      <c r="B1901" s="86"/>
      <c r="C1901" s="53" t="s">
        <v>2096</v>
      </c>
      <c r="D1901" s="54"/>
      <c r="E1901" s="55"/>
      <c r="F1901" s="163"/>
      <c r="G1901" s="85"/>
      <c r="H1901" s="86"/>
    </row>
    <row r="1902" spans="1:8" ht="30" customHeight="1" x14ac:dyDescent="0.25">
      <c r="A1902" s="312"/>
      <c r="B1902" s="86"/>
      <c r="C1902" s="53" t="s">
        <v>575</v>
      </c>
      <c r="D1902" s="54"/>
      <c r="E1902" s="55"/>
      <c r="F1902" s="163"/>
      <c r="G1902" s="85"/>
      <c r="H1902" s="86"/>
    </row>
    <row r="1903" spans="1:8" ht="30" customHeight="1" thickBot="1" x14ac:dyDescent="0.3">
      <c r="A1903" s="83"/>
      <c r="B1903" s="91"/>
      <c r="C1903" s="88"/>
      <c r="D1903" s="89"/>
      <c r="E1903" s="90"/>
      <c r="F1903" s="164"/>
      <c r="G1903" s="77"/>
      <c r="H1903" s="91"/>
    </row>
    <row r="1904" spans="1:8" ht="30" customHeight="1" x14ac:dyDescent="0.25">
      <c r="A1904" s="76">
        <f>+A1899+1</f>
        <v>652</v>
      </c>
      <c r="B1904" s="50" t="s">
        <v>1900</v>
      </c>
      <c r="C1904" s="63" t="s">
        <v>2097</v>
      </c>
      <c r="D1904" s="64"/>
      <c r="E1904" s="65"/>
      <c r="F1904" s="84" t="s">
        <v>2098</v>
      </c>
      <c r="G1904" s="84" t="str">
        <f>+VLOOKUP(652,prueba!$D$2:$E$733,2,FALSE)</f>
        <v xml:space="preserve">TÉCNICA </v>
      </c>
      <c r="H1904" s="50" t="s">
        <v>2099</v>
      </c>
    </row>
    <row r="1905" spans="1:8" ht="30" customHeight="1" x14ac:dyDescent="0.25">
      <c r="A1905" s="312"/>
      <c r="B1905" s="86"/>
      <c r="C1905" s="53"/>
      <c r="D1905" s="54"/>
      <c r="E1905" s="55"/>
      <c r="F1905" s="85"/>
      <c r="G1905" s="85"/>
      <c r="H1905" s="86"/>
    </row>
    <row r="1906" spans="1:8" ht="30" customHeight="1" thickBot="1" x14ac:dyDescent="0.3">
      <c r="A1906" s="83"/>
      <c r="B1906" s="91"/>
      <c r="C1906" s="88"/>
      <c r="D1906" s="89"/>
      <c r="E1906" s="90"/>
      <c r="F1906" s="77"/>
      <c r="G1906" s="77"/>
      <c r="H1906" s="91"/>
    </row>
    <row r="1907" spans="1:8" ht="30" customHeight="1" x14ac:dyDescent="0.25">
      <c r="A1907" s="76">
        <f>+A1904+1</f>
        <v>653</v>
      </c>
      <c r="B1907" s="50" t="s">
        <v>1900</v>
      </c>
      <c r="C1907" s="63" t="s">
        <v>2100</v>
      </c>
      <c r="D1907" s="64"/>
      <c r="E1907" s="65"/>
      <c r="F1907" s="84" t="s">
        <v>2101</v>
      </c>
      <c r="G1907" s="84" t="str">
        <f>+VLOOKUP(653,prueba!$D$2:$E$733,2,FALSE)</f>
        <v>TÉCNICA</v>
      </c>
      <c r="H1907" s="50" t="s">
        <v>7128</v>
      </c>
    </row>
    <row r="1908" spans="1:8" ht="30" customHeight="1" x14ac:dyDescent="0.25">
      <c r="A1908" s="312"/>
      <c r="B1908" s="86"/>
      <c r="C1908" s="53"/>
      <c r="D1908" s="54"/>
      <c r="E1908" s="55"/>
      <c r="F1908" s="85"/>
      <c r="G1908" s="85"/>
      <c r="H1908" s="86"/>
    </row>
    <row r="1909" spans="1:8" ht="30" customHeight="1" thickBot="1" x14ac:dyDescent="0.3">
      <c r="A1909" s="83"/>
      <c r="B1909" s="91"/>
      <c r="C1909" s="88"/>
      <c r="D1909" s="89"/>
      <c r="E1909" s="90"/>
      <c r="F1909" s="77"/>
      <c r="G1909" s="77"/>
      <c r="H1909" s="91"/>
    </row>
    <row r="1910" spans="1:8" ht="30" customHeight="1" x14ac:dyDescent="0.25">
      <c r="A1910" s="76">
        <f>+A1907+1</f>
        <v>654</v>
      </c>
      <c r="B1910" s="50" t="s">
        <v>1900</v>
      </c>
      <c r="C1910" s="63" t="s">
        <v>2102</v>
      </c>
      <c r="D1910" s="64"/>
      <c r="E1910" s="65"/>
      <c r="F1910" s="84" t="s">
        <v>2103</v>
      </c>
      <c r="G1910" s="84" t="str">
        <f>+VLOOKUP(654,prueba!$D$2:$E$733,2,FALSE)</f>
        <v>TÉCNICA</v>
      </c>
      <c r="H1910" s="50" t="s">
        <v>2104</v>
      </c>
    </row>
    <row r="1911" spans="1:8" ht="30" customHeight="1" thickBot="1" x14ac:dyDescent="0.3">
      <c r="A1911" s="83"/>
      <c r="B1911" s="91"/>
      <c r="C1911" s="88"/>
      <c r="D1911" s="89"/>
      <c r="E1911" s="90"/>
      <c r="F1911" s="77"/>
      <c r="G1911" s="77"/>
      <c r="H1911" s="91"/>
    </row>
    <row r="1912" spans="1:8" ht="30" customHeight="1" x14ac:dyDescent="0.25">
      <c r="A1912" s="76">
        <f>+A1910+1</f>
        <v>655</v>
      </c>
      <c r="B1912" s="50" t="s">
        <v>1900</v>
      </c>
      <c r="C1912" s="63" t="s">
        <v>2105</v>
      </c>
      <c r="D1912" s="64"/>
      <c r="E1912" s="65"/>
      <c r="F1912" s="84" t="s">
        <v>2106</v>
      </c>
      <c r="G1912" s="84" t="str">
        <f>+VLOOKUP(655,prueba!$D$2:$E$733,2,FALSE)</f>
        <v xml:space="preserve">TÉCNICA </v>
      </c>
      <c r="H1912" s="50" t="s">
        <v>2107</v>
      </c>
    </row>
    <row r="1913" spans="1:8" ht="30" customHeight="1" thickBot="1" x14ac:dyDescent="0.3">
      <c r="A1913" s="83"/>
      <c r="B1913" s="91"/>
      <c r="C1913" s="88"/>
      <c r="D1913" s="89"/>
      <c r="E1913" s="90"/>
      <c r="F1913" s="77"/>
      <c r="G1913" s="77"/>
      <c r="H1913" s="91"/>
    </row>
    <row r="1914" spans="1:8" ht="30" customHeight="1" x14ac:dyDescent="0.25">
      <c r="A1914" s="76">
        <f>+A1912+1</f>
        <v>656</v>
      </c>
      <c r="B1914" s="50" t="s">
        <v>1900</v>
      </c>
      <c r="C1914" s="63" t="s">
        <v>2108</v>
      </c>
      <c r="D1914" s="64"/>
      <c r="E1914" s="65"/>
      <c r="F1914" s="162" t="s">
        <v>2109</v>
      </c>
      <c r="G1914" s="84" t="str">
        <f>+VLOOKUP(656,prueba!$D$2:$E$733,2,FALSE)</f>
        <v>TÉCNICA PREDIAL</v>
      </c>
      <c r="H1914" s="50" t="s">
        <v>7904</v>
      </c>
    </row>
    <row r="1915" spans="1:8" ht="30" customHeight="1" x14ac:dyDescent="0.25">
      <c r="A1915" s="312"/>
      <c r="B1915" s="86"/>
      <c r="C1915" s="53"/>
      <c r="D1915" s="54"/>
      <c r="E1915" s="55"/>
      <c r="F1915" s="163"/>
      <c r="G1915" s="85"/>
      <c r="H1915" s="86"/>
    </row>
    <row r="1916" spans="1:8" ht="30" customHeight="1" x14ac:dyDescent="0.25">
      <c r="A1916" s="312"/>
      <c r="B1916" s="86"/>
      <c r="C1916" s="53" t="s">
        <v>9763</v>
      </c>
      <c r="D1916" s="54"/>
      <c r="E1916" s="55"/>
      <c r="F1916" s="163"/>
      <c r="G1916" s="85"/>
      <c r="H1916" s="86"/>
    </row>
    <row r="1917" spans="1:8" ht="30" customHeight="1" thickBot="1" x14ac:dyDescent="0.3">
      <c r="A1917" s="83"/>
      <c r="B1917" s="91"/>
      <c r="C1917" s="88" t="s">
        <v>575</v>
      </c>
      <c r="D1917" s="89"/>
      <c r="E1917" s="90"/>
      <c r="F1917" s="164"/>
      <c r="G1917" s="77"/>
      <c r="H1917" s="91"/>
    </row>
    <row r="1918" spans="1:8" ht="30" customHeight="1" x14ac:dyDescent="0.25">
      <c r="A1918" s="76">
        <f>+A1914+1</f>
        <v>657</v>
      </c>
      <c r="B1918" s="50" t="s">
        <v>1900</v>
      </c>
      <c r="C1918" s="63" t="s">
        <v>2110</v>
      </c>
      <c r="D1918" s="64"/>
      <c r="E1918" s="65"/>
      <c r="F1918" s="45" t="s">
        <v>2111</v>
      </c>
      <c r="G1918" s="84" t="str">
        <f>+VLOOKUP(657,prueba!$D$2:$E$733,2,FALSE)</f>
        <v>TÉCNICA PREDIAL</v>
      </c>
      <c r="H1918" s="50" t="s">
        <v>9254</v>
      </c>
    </row>
    <row r="1919" spans="1:8" ht="30" customHeight="1" x14ac:dyDescent="0.25">
      <c r="A1919" s="312"/>
      <c r="B1919" s="86"/>
      <c r="C1919" s="53" t="s">
        <v>9764</v>
      </c>
      <c r="D1919" s="54"/>
      <c r="E1919" s="55"/>
      <c r="F1919" s="56" t="s">
        <v>2112</v>
      </c>
      <c r="G1919" s="85"/>
      <c r="H1919" s="86"/>
    </row>
    <row r="1920" spans="1:8" ht="30" customHeight="1" x14ac:dyDescent="0.25">
      <c r="A1920" s="312"/>
      <c r="B1920" s="86"/>
      <c r="C1920" s="53" t="s">
        <v>9765</v>
      </c>
      <c r="D1920" s="54"/>
      <c r="E1920" s="55"/>
      <c r="F1920" s="69"/>
      <c r="G1920" s="85"/>
      <c r="H1920" s="86"/>
    </row>
    <row r="1921" spans="1:8" ht="30" customHeight="1" x14ac:dyDescent="0.25">
      <c r="A1921" s="312"/>
      <c r="B1921" s="86"/>
      <c r="C1921" s="53" t="s">
        <v>9766</v>
      </c>
      <c r="D1921" s="54"/>
      <c r="E1921" s="55"/>
      <c r="F1921" s="69"/>
      <c r="G1921" s="85"/>
      <c r="H1921" s="86"/>
    </row>
    <row r="1922" spans="1:8" ht="30" customHeight="1" x14ac:dyDescent="0.25">
      <c r="A1922" s="312"/>
      <c r="B1922" s="86"/>
      <c r="C1922" s="53" t="s">
        <v>9767</v>
      </c>
      <c r="D1922" s="54"/>
      <c r="E1922" s="55"/>
      <c r="F1922" s="69"/>
      <c r="G1922" s="85"/>
      <c r="H1922" s="86"/>
    </row>
    <row r="1923" spans="1:8" ht="30" customHeight="1" thickBot="1" x14ac:dyDescent="0.3">
      <c r="A1923" s="83"/>
      <c r="B1923" s="91"/>
      <c r="C1923" s="88"/>
      <c r="D1923" s="89"/>
      <c r="E1923" s="90"/>
      <c r="F1923" s="62"/>
      <c r="G1923" s="77"/>
      <c r="H1923" s="91"/>
    </row>
    <row r="1924" spans="1:8" ht="30" customHeight="1" x14ac:dyDescent="0.25">
      <c r="A1924" s="76">
        <f>+A1918+1</f>
        <v>658</v>
      </c>
      <c r="B1924" s="50" t="s">
        <v>1900</v>
      </c>
      <c r="C1924" s="63" t="s">
        <v>2113</v>
      </c>
      <c r="D1924" s="64"/>
      <c r="E1924" s="65"/>
      <c r="F1924" s="45" t="s">
        <v>2111</v>
      </c>
      <c r="G1924" s="84" t="str">
        <f>+VLOOKUP(658,prueba!$D$2:$E$733,2,FALSE)</f>
        <v xml:space="preserve">JURÍDICA PREDIAL </v>
      </c>
      <c r="H1924" s="50" t="s">
        <v>2114</v>
      </c>
    </row>
    <row r="1925" spans="1:8" ht="30" customHeight="1" thickBot="1" x14ac:dyDescent="0.3">
      <c r="A1925" s="83"/>
      <c r="B1925" s="91"/>
      <c r="C1925" s="88"/>
      <c r="D1925" s="89"/>
      <c r="E1925" s="90"/>
      <c r="F1925" s="78" t="s">
        <v>2115</v>
      </c>
      <c r="G1925" s="77"/>
      <c r="H1925" s="91"/>
    </row>
    <row r="1926" spans="1:8" ht="30" customHeight="1" x14ac:dyDescent="0.25">
      <c r="A1926" s="76">
        <f>+A1924+1</f>
        <v>659</v>
      </c>
      <c r="B1926" s="50" t="s">
        <v>1900</v>
      </c>
      <c r="C1926" s="63" t="s">
        <v>2116</v>
      </c>
      <c r="D1926" s="64"/>
      <c r="E1926" s="65"/>
      <c r="F1926" s="45" t="s">
        <v>2111</v>
      </c>
      <c r="G1926" s="84" t="str">
        <f>+VLOOKUP(659,prueba!$D$2:$E$733,2,FALSE)</f>
        <v>TÉCNICA</v>
      </c>
      <c r="H1926" s="50" t="s">
        <v>1763</v>
      </c>
    </row>
    <row r="1927" spans="1:8" ht="30" customHeight="1" x14ac:dyDescent="0.25">
      <c r="A1927" s="312"/>
      <c r="B1927" s="86"/>
      <c r="C1927" s="53" t="s">
        <v>2117</v>
      </c>
      <c r="D1927" s="54"/>
      <c r="E1927" s="55"/>
      <c r="F1927" s="56" t="s">
        <v>2115</v>
      </c>
      <c r="G1927" s="85"/>
      <c r="H1927" s="86"/>
    </row>
    <row r="1928" spans="1:8" ht="30" customHeight="1" thickBot="1" x14ac:dyDescent="0.3">
      <c r="A1928" s="83"/>
      <c r="B1928" s="91"/>
      <c r="C1928" s="88"/>
      <c r="D1928" s="89"/>
      <c r="E1928" s="90"/>
      <c r="F1928" s="62"/>
      <c r="G1928" s="77"/>
      <c r="H1928" s="91"/>
    </row>
    <row r="1929" spans="1:8" ht="30" customHeight="1" x14ac:dyDescent="0.25">
      <c r="A1929" s="76">
        <f>+A1926+1</f>
        <v>660</v>
      </c>
      <c r="B1929" s="50" t="s">
        <v>1900</v>
      </c>
      <c r="C1929" s="63" t="s">
        <v>2118</v>
      </c>
      <c r="D1929" s="64"/>
      <c r="E1929" s="65"/>
      <c r="F1929" s="45" t="s">
        <v>2111</v>
      </c>
      <c r="G1929" s="84" t="str">
        <f>+VLOOKUP(660,prueba!$D$2:$E$733,2,FALSE)</f>
        <v>TÉCNICA PREDIAL</v>
      </c>
      <c r="H1929" s="50" t="s">
        <v>8258</v>
      </c>
    </row>
    <row r="1930" spans="1:8" ht="30" customHeight="1" thickBot="1" x14ac:dyDescent="0.3">
      <c r="A1930" s="83"/>
      <c r="B1930" s="91"/>
      <c r="C1930" s="88"/>
      <c r="D1930" s="89"/>
      <c r="E1930" s="90"/>
      <c r="F1930" s="78" t="s">
        <v>2119</v>
      </c>
      <c r="G1930" s="77"/>
      <c r="H1930" s="91"/>
    </row>
    <row r="1931" spans="1:8" ht="30" customHeight="1" x14ac:dyDescent="0.25">
      <c r="A1931" s="76">
        <f>+A1929+1</f>
        <v>661</v>
      </c>
      <c r="B1931" s="50" t="s">
        <v>1900</v>
      </c>
      <c r="C1931" s="63" t="s">
        <v>2120</v>
      </c>
      <c r="D1931" s="64"/>
      <c r="E1931" s="65"/>
      <c r="F1931" s="45" t="s">
        <v>2121</v>
      </c>
      <c r="G1931" s="84" t="str">
        <f>+VLOOKUP(661,prueba!$D$2:$E$733,2,FALSE)</f>
        <v>TÉCNICA SOCIAL</v>
      </c>
      <c r="H1931" s="50" t="s">
        <v>9255</v>
      </c>
    </row>
    <row r="1932" spans="1:8" ht="30" customHeight="1" thickBot="1" x14ac:dyDescent="0.3">
      <c r="A1932" s="83"/>
      <c r="B1932" s="91"/>
      <c r="C1932" s="88"/>
      <c r="D1932" s="89"/>
      <c r="E1932" s="90"/>
      <c r="F1932" s="78" t="s">
        <v>2122</v>
      </c>
      <c r="G1932" s="77"/>
      <c r="H1932" s="91"/>
    </row>
    <row r="1933" spans="1:8" ht="30" customHeight="1" x14ac:dyDescent="0.25">
      <c r="A1933" s="76">
        <f>+A1931+1</f>
        <v>662</v>
      </c>
      <c r="B1933" s="50" t="s">
        <v>1900</v>
      </c>
      <c r="C1933" s="63" t="s">
        <v>2123</v>
      </c>
      <c r="D1933" s="64"/>
      <c r="E1933" s="65"/>
      <c r="F1933" s="84" t="s">
        <v>2124</v>
      </c>
      <c r="G1933" s="84" t="str">
        <f>+VLOOKUP(662,prueba!$D$2:$E$733,2,FALSE)</f>
        <v>JURÍDICA PREDIAL</v>
      </c>
      <c r="H1933" s="50" t="s">
        <v>10274</v>
      </c>
    </row>
    <row r="1934" spans="1:8" ht="30" customHeight="1" x14ac:dyDescent="0.25">
      <c r="A1934" s="312"/>
      <c r="B1934" s="86"/>
      <c r="C1934" s="53"/>
      <c r="D1934" s="54"/>
      <c r="E1934" s="55"/>
      <c r="F1934" s="85"/>
      <c r="G1934" s="85"/>
      <c r="H1934" s="86"/>
    </row>
    <row r="1935" spans="1:8" ht="30" customHeight="1" x14ac:dyDescent="0.25">
      <c r="A1935" s="312"/>
      <c r="B1935" s="86"/>
      <c r="C1935" s="112" t="s">
        <v>2125</v>
      </c>
      <c r="D1935" s="113"/>
      <c r="E1935" s="114"/>
      <c r="F1935" s="85"/>
      <c r="G1935" s="85"/>
      <c r="H1935" s="86"/>
    </row>
    <row r="1936" spans="1:8" ht="30" customHeight="1" x14ac:dyDescent="0.25">
      <c r="A1936" s="312"/>
      <c r="B1936" s="86"/>
      <c r="C1936" s="112"/>
      <c r="D1936" s="113"/>
      <c r="E1936" s="114"/>
      <c r="F1936" s="85"/>
      <c r="G1936" s="85"/>
      <c r="H1936" s="86"/>
    </row>
    <row r="1937" spans="1:8" ht="30" customHeight="1" x14ac:dyDescent="0.25">
      <c r="A1937" s="312"/>
      <c r="B1937" s="86"/>
      <c r="C1937" s="53" t="s">
        <v>2126</v>
      </c>
      <c r="D1937" s="54"/>
      <c r="E1937" s="55"/>
      <c r="F1937" s="85"/>
      <c r="G1937" s="85"/>
      <c r="H1937" s="86"/>
    </row>
    <row r="1938" spans="1:8" ht="30" customHeight="1" x14ac:dyDescent="0.25">
      <c r="A1938" s="312"/>
      <c r="B1938" s="86"/>
      <c r="C1938" s="53"/>
      <c r="D1938" s="54"/>
      <c r="E1938" s="55"/>
      <c r="F1938" s="85"/>
      <c r="G1938" s="85"/>
      <c r="H1938" s="86"/>
    </row>
    <row r="1939" spans="1:8" ht="30" customHeight="1" x14ac:dyDescent="0.25">
      <c r="A1939" s="312"/>
      <c r="B1939" s="86"/>
      <c r="C1939" s="53" t="s">
        <v>2127</v>
      </c>
      <c r="D1939" s="54"/>
      <c r="E1939" s="55"/>
      <c r="F1939" s="85"/>
      <c r="G1939" s="85"/>
      <c r="H1939" s="86"/>
    </row>
    <row r="1940" spans="1:8" ht="30" customHeight="1" thickBot="1" x14ac:dyDescent="0.3">
      <c r="A1940" s="83"/>
      <c r="B1940" s="91"/>
      <c r="C1940" s="88"/>
      <c r="D1940" s="89"/>
      <c r="E1940" s="90"/>
      <c r="F1940" s="77"/>
      <c r="G1940" s="77"/>
      <c r="H1940" s="91"/>
    </row>
    <row r="1941" spans="1:8" ht="30" customHeight="1" x14ac:dyDescent="0.25">
      <c r="A1941" s="76">
        <f>+A1933+1</f>
        <v>663</v>
      </c>
      <c r="B1941" s="50" t="s">
        <v>1900</v>
      </c>
      <c r="C1941" s="63" t="s">
        <v>2128</v>
      </c>
      <c r="D1941" s="64"/>
      <c r="E1941" s="65"/>
      <c r="F1941" s="84" t="s">
        <v>2129</v>
      </c>
      <c r="G1941" s="84" t="str">
        <f>+VLOOKUP(663,prueba!$D$2:$E$733,2,FALSE)</f>
        <v xml:space="preserve">SEGUROS FINANCIERA </v>
      </c>
      <c r="H1941" s="50" t="s">
        <v>8323</v>
      </c>
    </row>
    <row r="1942" spans="1:8" ht="30" customHeight="1" x14ac:dyDescent="0.25">
      <c r="A1942" s="312"/>
      <c r="B1942" s="86"/>
      <c r="C1942" s="53"/>
      <c r="D1942" s="54"/>
      <c r="E1942" s="55"/>
      <c r="F1942" s="85"/>
      <c r="G1942" s="85"/>
      <c r="H1942" s="86"/>
    </row>
    <row r="1943" spans="1:8" ht="30" customHeight="1" x14ac:dyDescent="0.25">
      <c r="A1943" s="312"/>
      <c r="B1943" s="86"/>
      <c r="C1943" s="112" t="s">
        <v>2130</v>
      </c>
      <c r="D1943" s="113"/>
      <c r="E1943" s="114"/>
      <c r="F1943" s="85"/>
      <c r="G1943" s="85"/>
      <c r="H1943" s="86"/>
    </row>
    <row r="1944" spans="1:8" ht="30" customHeight="1" thickBot="1" x14ac:dyDescent="0.3">
      <c r="A1944" s="83"/>
      <c r="B1944" s="91"/>
      <c r="C1944" s="88"/>
      <c r="D1944" s="89"/>
      <c r="E1944" s="90"/>
      <c r="F1944" s="77"/>
      <c r="G1944" s="77"/>
      <c r="H1944" s="91"/>
    </row>
    <row r="1945" spans="1:8" ht="30" customHeight="1" x14ac:dyDescent="0.25">
      <c r="A1945" s="76">
        <f>+A1941+1</f>
        <v>664</v>
      </c>
      <c r="B1945" s="50" t="s">
        <v>1900</v>
      </c>
      <c r="C1945" s="63" t="s">
        <v>2131</v>
      </c>
      <c r="D1945" s="64"/>
      <c r="E1945" s="65"/>
      <c r="F1945" s="162" t="s">
        <v>2132</v>
      </c>
      <c r="G1945" s="84" t="str">
        <f>+VLOOKUP(664,prueba!$D$2:$E$733,2,FALSE)</f>
        <v>JURÍDICA - SANCIONATORIO</v>
      </c>
      <c r="H1945" s="165" t="s">
        <v>2133</v>
      </c>
    </row>
    <row r="1946" spans="1:8" ht="30" customHeight="1" x14ac:dyDescent="0.25">
      <c r="A1946" s="312"/>
      <c r="B1946" s="86"/>
      <c r="C1946" s="53"/>
      <c r="D1946" s="54"/>
      <c r="E1946" s="55"/>
      <c r="F1946" s="163"/>
      <c r="G1946" s="85"/>
      <c r="H1946" s="166"/>
    </row>
    <row r="1947" spans="1:8" ht="30" customHeight="1" thickBot="1" x14ac:dyDescent="0.3">
      <c r="A1947" s="83"/>
      <c r="B1947" s="91"/>
      <c r="C1947" s="88"/>
      <c r="D1947" s="89"/>
      <c r="E1947" s="90"/>
      <c r="F1947" s="164"/>
      <c r="G1947" s="77"/>
      <c r="H1947" s="167"/>
    </row>
    <row r="1948" spans="1:8" ht="30" customHeight="1" x14ac:dyDescent="0.25">
      <c r="A1948" s="76">
        <f>+A1945+1</f>
        <v>665</v>
      </c>
      <c r="B1948" s="50" t="s">
        <v>2134</v>
      </c>
      <c r="C1948" s="63" t="s">
        <v>2135</v>
      </c>
      <c r="D1948" s="64"/>
      <c r="E1948" s="65"/>
      <c r="F1948" s="84" t="s">
        <v>2136</v>
      </c>
      <c r="G1948" s="84" t="str">
        <f>+VLOOKUP(665,prueba!$D$2:$E$733,2,FALSE)</f>
        <v>FINANCIERA SEGUROS</v>
      </c>
      <c r="H1948" s="50" t="s">
        <v>8324</v>
      </c>
    </row>
    <row r="1949" spans="1:8" ht="30" customHeight="1" thickBot="1" x14ac:dyDescent="0.3">
      <c r="A1949" s="83"/>
      <c r="B1949" s="91"/>
      <c r="C1949" s="88"/>
      <c r="D1949" s="89"/>
      <c r="E1949" s="90"/>
      <c r="F1949" s="77"/>
      <c r="G1949" s="77"/>
      <c r="H1949" s="91"/>
    </row>
    <row r="1950" spans="1:8" ht="30" customHeight="1" thickBot="1" x14ac:dyDescent="0.3">
      <c r="A1950" s="313">
        <f>+A1948+1</f>
        <v>666</v>
      </c>
      <c r="B1950" s="52" t="s">
        <v>2134</v>
      </c>
      <c r="C1950" s="108" t="s">
        <v>2137</v>
      </c>
      <c r="D1950" s="109"/>
      <c r="E1950" s="110"/>
      <c r="F1950" s="78" t="s">
        <v>2138</v>
      </c>
      <c r="G1950" s="107" t="str">
        <f>+VLOOKUP(666,prueba!$D$2:$E$733,2,FALSE)</f>
        <v>FINANCIERA SEGUROS</v>
      </c>
      <c r="H1950" s="52" t="s">
        <v>8325</v>
      </c>
    </row>
    <row r="1951" spans="1:8" ht="30" customHeight="1" x14ac:dyDescent="0.25">
      <c r="A1951" s="76">
        <f>+A1950+1</f>
        <v>667</v>
      </c>
      <c r="B1951" s="50" t="s">
        <v>2134</v>
      </c>
      <c r="C1951" s="63" t="s">
        <v>2139</v>
      </c>
      <c r="D1951" s="64"/>
      <c r="E1951" s="65"/>
      <c r="F1951" s="84" t="s">
        <v>2138</v>
      </c>
      <c r="G1951" s="84" t="str">
        <f>+VLOOKUP(667,prueba!$D$2:$E$733,2,FALSE)</f>
        <v>FINANCIERA SEGUROS</v>
      </c>
      <c r="H1951" s="50" t="s">
        <v>8326</v>
      </c>
    </row>
    <row r="1952" spans="1:8" ht="30" customHeight="1" thickBot="1" x14ac:dyDescent="0.3">
      <c r="A1952" s="83"/>
      <c r="B1952" s="91"/>
      <c r="C1952" s="88" t="s">
        <v>2140</v>
      </c>
      <c r="D1952" s="89"/>
      <c r="E1952" s="90"/>
      <c r="F1952" s="77"/>
      <c r="G1952" s="77"/>
      <c r="H1952" s="91"/>
    </row>
    <row r="1953" spans="1:8" ht="30" customHeight="1" thickBot="1" x14ac:dyDescent="0.3">
      <c r="A1953" s="313">
        <f>+A1951+1</f>
        <v>668</v>
      </c>
      <c r="B1953" s="52" t="s">
        <v>2141</v>
      </c>
      <c r="C1953" s="108" t="s">
        <v>2142</v>
      </c>
      <c r="D1953" s="109"/>
      <c r="E1953" s="110"/>
      <c r="F1953" s="78" t="s">
        <v>2143</v>
      </c>
      <c r="G1953" s="107" t="str">
        <f>+VLOOKUP(668,prueba!$D$2:$E$733,2,FALSE)</f>
        <v>FINANCIERA SEGUROS</v>
      </c>
      <c r="H1953" s="52" t="s">
        <v>7348</v>
      </c>
    </row>
    <row r="1954" spans="1:8" ht="30" customHeight="1" thickBot="1" x14ac:dyDescent="0.3">
      <c r="A1954" s="313">
        <f t="shared" ref="A1954:A1959" si="17">+A1953+1</f>
        <v>669</v>
      </c>
      <c r="B1954" s="52" t="s">
        <v>2141</v>
      </c>
      <c r="C1954" s="108" t="s">
        <v>2144</v>
      </c>
      <c r="D1954" s="109"/>
      <c r="E1954" s="110"/>
      <c r="F1954" s="78" t="s">
        <v>2145</v>
      </c>
      <c r="G1954" s="107" t="str">
        <f>+VLOOKUP(669,prueba!$D$2:$E$733,2,FALSE)</f>
        <v>FINANCIERA</v>
      </c>
      <c r="H1954" s="52" t="s">
        <v>8405</v>
      </c>
    </row>
    <row r="1955" spans="1:8" ht="30" customHeight="1" thickBot="1" x14ac:dyDescent="0.3">
      <c r="A1955" s="313">
        <f t="shared" si="17"/>
        <v>670</v>
      </c>
      <c r="B1955" s="52" t="s">
        <v>2141</v>
      </c>
      <c r="C1955" s="108" t="s">
        <v>2146</v>
      </c>
      <c r="D1955" s="109"/>
      <c r="E1955" s="110"/>
      <c r="F1955" s="78" t="s">
        <v>2147</v>
      </c>
      <c r="G1955" s="107" t="str">
        <f>+VLOOKUP(670,prueba!$D$2:$E$733,2,FALSE)</f>
        <v xml:space="preserve">TÉCNICA FINANCIERA RIESGOS </v>
      </c>
      <c r="H1955" s="52" t="s">
        <v>2148</v>
      </c>
    </row>
    <row r="1956" spans="1:8" ht="30" customHeight="1" thickBot="1" x14ac:dyDescent="0.3">
      <c r="A1956" s="313">
        <f t="shared" si="17"/>
        <v>671</v>
      </c>
      <c r="B1956" s="52" t="s">
        <v>2141</v>
      </c>
      <c r="C1956" s="108" t="s">
        <v>2149</v>
      </c>
      <c r="D1956" s="109"/>
      <c r="E1956" s="110"/>
      <c r="F1956" s="78" t="s">
        <v>2147</v>
      </c>
      <c r="G1956" s="107" t="str">
        <f>+VLOOKUP(671,prueba!$D$2:$E$733,2,FALSE)</f>
        <v>TÉCNICA</v>
      </c>
      <c r="H1956" s="52" t="s">
        <v>2150</v>
      </c>
    </row>
    <row r="1957" spans="1:8" ht="30" customHeight="1" thickBot="1" x14ac:dyDescent="0.3">
      <c r="A1957" s="313">
        <f t="shared" si="17"/>
        <v>672</v>
      </c>
      <c r="B1957" s="52" t="s">
        <v>2141</v>
      </c>
      <c r="C1957" s="108" t="s">
        <v>2151</v>
      </c>
      <c r="D1957" s="109"/>
      <c r="E1957" s="110"/>
      <c r="F1957" s="78" t="s">
        <v>2147</v>
      </c>
      <c r="G1957" s="107" t="str">
        <f>+VLOOKUP(672,prueba!$D$2:$E$733,2,FALSE)</f>
        <v>TÉCNICA SOCIAL</v>
      </c>
      <c r="H1957" s="52" t="s">
        <v>2152</v>
      </c>
    </row>
    <row r="1958" spans="1:8" ht="30" customHeight="1" thickBot="1" x14ac:dyDescent="0.3">
      <c r="A1958" s="313">
        <f t="shared" si="17"/>
        <v>673</v>
      </c>
      <c r="B1958" s="52" t="s">
        <v>2141</v>
      </c>
      <c r="C1958" s="108" t="s">
        <v>2153</v>
      </c>
      <c r="D1958" s="109"/>
      <c r="E1958" s="110"/>
      <c r="F1958" s="78" t="s">
        <v>2154</v>
      </c>
      <c r="G1958" s="107" t="str">
        <f>+VLOOKUP(673,prueba!$D$2:$E$733,2,FALSE)</f>
        <v>TÉCNICA</v>
      </c>
      <c r="H1958" s="52" t="s">
        <v>8221</v>
      </c>
    </row>
    <row r="1959" spans="1:8" ht="30" customHeight="1" x14ac:dyDescent="0.25">
      <c r="A1959" s="76">
        <f t="shared" si="17"/>
        <v>674</v>
      </c>
      <c r="B1959" s="165" t="s">
        <v>2155</v>
      </c>
      <c r="C1959" s="63" t="s">
        <v>2156</v>
      </c>
      <c r="D1959" s="64"/>
      <c r="E1959" s="65"/>
      <c r="F1959" s="84" t="s">
        <v>2157</v>
      </c>
      <c r="G1959" s="84" t="str">
        <f>+VLOOKUP(674,prueba!$D$2:$E$733,2,FALSE)</f>
        <v>TÉCNICA</v>
      </c>
      <c r="H1959" s="50" t="s">
        <v>7129</v>
      </c>
    </row>
    <row r="1960" spans="1:8" ht="30" customHeight="1" x14ac:dyDescent="0.25">
      <c r="A1960" s="312"/>
      <c r="B1960" s="166" t="s">
        <v>2158</v>
      </c>
      <c r="C1960" s="53" t="s">
        <v>2159</v>
      </c>
      <c r="D1960" s="54"/>
      <c r="E1960" s="55"/>
      <c r="F1960" s="85"/>
      <c r="G1960" s="85"/>
      <c r="H1960" s="86"/>
    </row>
    <row r="1961" spans="1:8" ht="30" customHeight="1" thickBot="1" x14ac:dyDescent="0.3">
      <c r="A1961" s="83"/>
      <c r="B1961" s="167" t="s">
        <v>2158</v>
      </c>
      <c r="C1961" s="88" t="s">
        <v>2160</v>
      </c>
      <c r="D1961" s="89"/>
      <c r="E1961" s="90"/>
      <c r="F1961" s="77"/>
      <c r="G1961" s="77"/>
      <c r="H1961" s="91"/>
    </row>
    <row r="1962" spans="1:8" ht="30" customHeight="1" x14ac:dyDescent="0.25">
      <c r="A1962" s="76">
        <f>+A1959+1</f>
        <v>675</v>
      </c>
      <c r="B1962" s="165" t="s">
        <v>2161</v>
      </c>
      <c r="C1962" s="63" t="s">
        <v>2162</v>
      </c>
      <c r="D1962" s="64"/>
      <c r="E1962" s="65"/>
      <c r="F1962" s="84" t="s">
        <v>2157</v>
      </c>
      <c r="G1962" s="84" t="str">
        <f>+VLOOKUP(675,prueba!$D$2:$E$733,2,FALSE)</f>
        <v xml:space="preserve">TÉCNICA </v>
      </c>
      <c r="H1962" s="50" t="s">
        <v>2163</v>
      </c>
    </row>
    <row r="1963" spans="1:8" ht="30" customHeight="1" thickBot="1" x14ac:dyDescent="0.3">
      <c r="A1963" s="83"/>
      <c r="B1963" s="167" t="s">
        <v>2158</v>
      </c>
      <c r="C1963" s="88" t="s">
        <v>2164</v>
      </c>
      <c r="D1963" s="89"/>
      <c r="E1963" s="90"/>
      <c r="F1963" s="77"/>
      <c r="G1963" s="77"/>
      <c r="H1963" s="91"/>
    </row>
    <row r="1964" spans="1:8" ht="30" customHeight="1" x14ac:dyDescent="0.25">
      <c r="A1964" s="76">
        <f>+A1962+1</f>
        <v>676</v>
      </c>
      <c r="B1964" s="165" t="s">
        <v>2165</v>
      </c>
      <c r="C1964" s="100" t="s">
        <v>2166</v>
      </c>
      <c r="D1964" s="101"/>
      <c r="E1964" s="102"/>
      <c r="F1964" s="84" t="s">
        <v>2167</v>
      </c>
      <c r="G1964" s="84" t="str">
        <f>+VLOOKUP(676,prueba!$D$2:$E$733,2,FALSE)</f>
        <v xml:space="preserve">FINANCIERA SEGUROS </v>
      </c>
      <c r="H1964" s="50" t="s">
        <v>8327</v>
      </c>
    </row>
    <row r="1965" spans="1:8" ht="30" customHeight="1" x14ac:dyDescent="0.25">
      <c r="A1965" s="312"/>
      <c r="B1965" s="166" t="s">
        <v>2158</v>
      </c>
      <c r="C1965" s="42"/>
      <c r="D1965" s="43"/>
      <c r="E1965" s="44"/>
      <c r="F1965" s="85"/>
      <c r="G1965" s="85"/>
      <c r="H1965" s="86"/>
    </row>
    <row r="1966" spans="1:8" ht="30" customHeight="1" x14ac:dyDescent="0.25">
      <c r="A1966" s="312"/>
      <c r="B1966" s="166" t="s">
        <v>2158</v>
      </c>
      <c r="C1966" s="42" t="s">
        <v>2168</v>
      </c>
      <c r="D1966" s="43"/>
      <c r="E1966" s="44"/>
      <c r="F1966" s="85"/>
      <c r="G1966" s="85"/>
      <c r="H1966" s="86"/>
    </row>
    <row r="1967" spans="1:8" ht="30" customHeight="1" x14ac:dyDescent="0.25">
      <c r="A1967" s="312"/>
      <c r="B1967" s="166" t="s">
        <v>2158</v>
      </c>
      <c r="C1967" s="42"/>
      <c r="D1967" s="43"/>
      <c r="E1967" s="44"/>
      <c r="F1967" s="85"/>
      <c r="G1967" s="85"/>
      <c r="H1967" s="86"/>
    </row>
    <row r="1968" spans="1:8" ht="30" customHeight="1" x14ac:dyDescent="0.25">
      <c r="A1968" s="312"/>
      <c r="B1968" s="166" t="s">
        <v>2158</v>
      </c>
      <c r="C1968" s="42" t="s">
        <v>2169</v>
      </c>
      <c r="D1968" s="43"/>
      <c r="E1968" s="44"/>
      <c r="F1968" s="85"/>
      <c r="G1968" s="85"/>
      <c r="H1968" s="86"/>
    </row>
    <row r="1969" spans="1:8" ht="30" customHeight="1" x14ac:dyDescent="0.25">
      <c r="A1969" s="312"/>
      <c r="B1969" s="166" t="s">
        <v>2158</v>
      </c>
      <c r="C1969" s="42" t="s">
        <v>2170</v>
      </c>
      <c r="D1969" s="43"/>
      <c r="E1969" s="44"/>
      <c r="F1969" s="85"/>
      <c r="G1969" s="85"/>
      <c r="H1969" s="86"/>
    </row>
    <row r="1970" spans="1:8" ht="30" customHeight="1" x14ac:dyDescent="0.25">
      <c r="A1970" s="312"/>
      <c r="B1970" s="166" t="s">
        <v>2158</v>
      </c>
      <c r="C1970" s="42" t="s">
        <v>2171</v>
      </c>
      <c r="D1970" s="43"/>
      <c r="E1970" s="44"/>
      <c r="F1970" s="85"/>
      <c r="G1970" s="85"/>
      <c r="H1970" s="86"/>
    </row>
    <row r="1971" spans="1:8" ht="30" customHeight="1" x14ac:dyDescent="0.25">
      <c r="A1971" s="312"/>
      <c r="B1971" s="166" t="s">
        <v>2158</v>
      </c>
      <c r="C1971" s="42" t="s">
        <v>2172</v>
      </c>
      <c r="D1971" s="43"/>
      <c r="E1971" s="44"/>
      <c r="F1971" s="85"/>
      <c r="G1971" s="85"/>
      <c r="H1971" s="86"/>
    </row>
    <row r="1972" spans="1:8" ht="30" customHeight="1" x14ac:dyDescent="0.25">
      <c r="A1972" s="312"/>
      <c r="B1972" s="166" t="s">
        <v>2158</v>
      </c>
      <c r="C1972" s="42" t="s">
        <v>2173</v>
      </c>
      <c r="D1972" s="43"/>
      <c r="E1972" s="44"/>
      <c r="F1972" s="85"/>
      <c r="G1972" s="85"/>
      <c r="H1972" s="86"/>
    </row>
    <row r="1973" spans="1:8" ht="30" customHeight="1" x14ac:dyDescent="0.25">
      <c r="A1973" s="312"/>
      <c r="B1973" s="166" t="s">
        <v>2158</v>
      </c>
      <c r="C1973" s="42"/>
      <c r="D1973" s="43"/>
      <c r="E1973" s="44"/>
      <c r="F1973" s="85"/>
      <c r="G1973" s="85"/>
      <c r="H1973" s="86"/>
    </row>
    <row r="1974" spans="1:8" ht="30" customHeight="1" x14ac:dyDescent="0.25">
      <c r="A1974" s="312"/>
      <c r="B1974" s="166" t="s">
        <v>2158</v>
      </c>
      <c r="C1974" s="42"/>
      <c r="D1974" s="43"/>
      <c r="E1974" s="44"/>
      <c r="F1974" s="85"/>
      <c r="G1974" s="85"/>
      <c r="H1974" s="86"/>
    </row>
    <row r="1975" spans="1:8" ht="30" customHeight="1" x14ac:dyDescent="0.25">
      <c r="A1975" s="312"/>
      <c r="B1975" s="166" t="s">
        <v>2158</v>
      </c>
      <c r="C1975" s="42" t="s">
        <v>2174</v>
      </c>
      <c r="D1975" s="43"/>
      <c r="E1975" s="44"/>
      <c r="F1975" s="85"/>
      <c r="G1975" s="85"/>
      <c r="H1975" s="86"/>
    </row>
    <row r="1976" spans="1:8" ht="30" customHeight="1" x14ac:dyDescent="0.25">
      <c r="A1976" s="312"/>
      <c r="B1976" s="166" t="s">
        <v>2158</v>
      </c>
      <c r="C1976" s="42" t="s">
        <v>2175</v>
      </c>
      <c r="D1976" s="43"/>
      <c r="E1976" s="44"/>
      <c r="F1976" s="85"/>
      <c r="G1976" s="85"/>
      <c r="H1976" s="86"/>
    </row>
    <row r="1977" spans="1:8" ht="30" customHeight="1" x14ac:dyDescent="0.25">
      <c r="A1977" s="312"/>
      <c r="B1977" s="166" t="s">
        <v>2158</v>
      </c>
      <c r="C1977" s="42" t="s">
        <v>2176</v>
      </c>
      <c r="D1977" s="43"/>
      <c r="E1977" s="44"/>
      <c r="F1977" s="85"/>
      <c r="G1977" s="85"/>
      <c r="H1977" s="86"/>
    </row>
    <row r="1978" spans="1:8" ht="30" customHeight="1" x14ac:dyDescent="0.25">
      <c r="A1978" s="312"/>
      <c r="B1978" s="166" t="s">
        <v>2158</v>
      </c>
      <c r="C1978" s="42" t="s">
        <v>2177</v>
      </c>
      <c r="D1978" s="43"/>
      <c r="E1978" s="44"/>
      <c r="F1978" s="85"/>
      <c r="G1978" s="85"/>
      <c r="H1978" s="86"/>
    </row>
    <row r="1979" spans="1:8" ht="30" customHeight="1" x14ac:dyDescent="0.25">
      <c r="A1979" s="312"/>
      <c r="B1979" s="166" t="s">
        <v>2158</v>
      </c>
      <c r="C1979" s="42"/>
      <c r="D1979" s="43"/>
      <c r="E1979" s="44"/>
      <c r="F1979" s="85"/>
      <c r="G1979" s="85"/>
      <c r="H1979" s="86"/>
    </row>
    <row r="1980" spans="1:8" ht="30" customHeight="1" thickBot="1" x14ac:dyDescent="0.3">
      <c r="A1980" s="83"/>
      <c r="B1980" s="167" t="s">
        <v>2158</v>
      </c>
      <c r="C1980" s="103" t="s">
        <v>2178</v>
      </c>
      <c r="D1980" s="104"/>
      <c r="E1980" s="105"/>
      <c r="F1980" s="77"/>
      <c r="G1980" s="77"/>
      <c r="H1980" s="91"/>
    </row>
    <row r="1981" spans="1:8" ht="30" customHeight="1" x14ac:dyDescent="0.25">
      <c r="A1981" s="76">
        <f>+A1964+1</f>
        <v>677</v>
      </c>
      <c r="B1981" s="165" t="s">
        <v>2165</v>
      </c>
      <c r="C1981" s="100"/>
      <c r="D1981" s="101"/>
      <c r="E1981" s="102"/>
      <c r="F1981" s="84" t="s">
        <v>2167</v>
      </c>
      <c r="G1981" s="84" t="str">
        <f>+VLOOKUP(677,prueba!$D$2:$E$733,2,FALSE)</f>
        <v>FINANCIERA SEGUROS</v>
      </c>
      <c r="H1981" s="50" t="s">
        <v>8328</v>
      </c>
    </row>
    <row r="1982" spans="1:8" ht="30" customHeight="1" x14ac:dyDescent="0.25">
      <c r="A1982" s="312"/>
      <c r="B1982" s="166" t="s">
        <v>2158</v>
      </c>
      <c r="C1982" s="42" t="s">
        <v>2179</v>
      </c>
      <c r="D1982" s="43"/>
      <c r="E1982" s="44"/>
      <c r="F1982" s="85"/>
      <c r="G1982" s="85"/>
      <c r="H1982" s="86"/>
    </row>
    <row r="1983" spans="1:8" ht="30" customHeight="1" x14ac:dyDescent="0.25">
      <c r="A1983" s="312"/>
      <c r="B1983" s="166" t="s">
        <v>2158</v>
      </c>
      <c r="C1983" s="42" t="s">
        <v>2180</v>
      </c>
      <c r="D1983" s="43"/>
      <c r="E1983" s="44"/>
      <c r="F1983" s="85"/>
      <c r="G1983" s="85"/>
      <c r="H1983" s="86"/>
    </row>
    <row r="1984" spans="1:8" ht="30" customHeight="1" x14ac:dyDescent="0.25">
      <c r="A1984" s="312"/>
      <c r="B1984" s="166" t="s">
        <v>2158</v>
      </c>
      <c r="C1984" s="42" t="s">
        <v>2181</v>
      </c>
      <c r="D1984" s="43"/>
      <c r="E1984" s="44"/>
      <c r="F1984" s="85"/>
      <c r="G1984" s="85"/>
      <c r="H1984" s="86"/>
    </row>
    <row r="1985" spans="1:8" ht="30" customHeight="1" x14ac:dyDescent="0.25">
      <c r="A1985" s="312"/>
      <c r="B1985" s="166" t="s">
        <v>2158</v>
      </c>
      <c r="C1985" s="42" t="s">
        <v>2182</v>
      </c>
      <c r="D1985" s="43"/>
      <c r="E1985" s="44"/>
      <c r="F1985" s="85"/>
      <c r="G1985" s="85"/>
      <c r="H1985" s="86"/>
    </row>
    <row r="1986" spans="1:8" ht="30" customHeight="1" x14ac:dyDescent="0.25">
      <c r="A1986" s="312"/>
      <c r="B1986" s="166" t="s">
        <v>2158</v>
      </c>
      <c r="C1986" s="42" t="s">
        <v>2183</v>
      </c>
      <c r="D1986" s="43"/>
      <c r="E1986" s="44"/>
      <c r="F1986" s="85"/>
      <c r="G1986" s="85"/>
      <c r="H1986" s="86"/>
    </row>
    <row r="1987" spans="1:8" ht="30" customHeight="1" x14ac:dyDescent="0.25">
      <c r="A1987" s="312"/>
      <c r="B1987" s="166" t="s">
        <v>2158</v>
      </c>
      <c r="C1987" s="42" t="s">
        <v>2184</v>
      </c>
      <c r="D1987" s="43"/>
      <c r="E1987" s="44"/>
      <c r="F1987" s="85"/>
      <c r="G1987" s="85"/>
      <c r="H1987" s="86"/>
    </row>
    <row r="1988" spans="1:8" ht="30" customHeight="1" x14ac:dyDescent="0.25">
      <c r="A1988" s="312"/>
      <c r="B1988" s="166" t="s">
        <v>2158</v>
      </c>
      <c r="C1988" s="42" t="s">
        <v>2185</v>
      </c>
      <c r="D1988" s="43"/>
      <c r="E1988" s="44"/>
      <c r="F1988" s="85"/>
      <c r="G1988" s="85"/>
      <c r="H1988" s="86"/>
    </row>
    <row r="1989" spans="1:8" ht="30" customHeight="1" x14ac:dyDescent="0.25">
      <c r="A1989" s="312"/>
      <c r="B1989" s="166" t="s">
        <v>2158</v>
      </c>
      <c r="C1989" s="42" t="s">
        <v>2186</v>
      </c>
      <c r="D1989" s="43"/>
      <c r="E1989" s="44"/>
      <c r="F1989" s="85"/>
      <c r="G1989" s="85"/>
      <c r="H1989" s="86"/>
    </row>
    <row r="1990" spans="1:8" ht="30" customHeight="1" thickBot="1" x14ac:dyDescent="0.3">
      <c r="A1990" s="83"/>
      <c r="B1990" s="167" t="s">
        <v>2158</v>
      </c>
      <c r="C1990" s="88" t="s">
        <v>2187</v>
      </c>
      <c r="D1990" s="89"/>
      <c r="E1990" s="90"/>
      <c r="F1990" s="77"/>
      <c r="G1990" s="77"/>
      <c r="H1990" s="91"/>
    </row>
    <row r="1991" spans="1:8" ht="30" customHeight="1" x14ac:dyDescent="0.25">
      <c r="A1991" s="76">
        <f>+A1981+1</f>
        <v>678</v>
      </c>
      <c r="B1991" s="165" t="s">
        <v>2165</v>
      </c>
      <c r="C1991" s="100" t="s">
        <v>2188</v>
      </c>
      <c r="D1991" s="101"/>
      <c r="E1991" s="102"/>
      <c r="F1991" s="84" t="s">
        <v>2167</v>
      </c>
      <c r="G1991" s="84" t="str">
        <f>+VLOOKUP(678,prueba!$D$2:$E$733,2,FALSE)</f>
        <v>FINANCIERA SEGUROS</v>
      </c>
      <c r="H1991" s="50" t="s">
        <v>8329</v>
      </c>
    </row>
    <row r="1992" spans="1:8" ht="30" customHeight="1" x14ac:dyDescent="0.25">
      <c r="A1992" s="312"/>
      <c r="B1992" s="166" t="s">
        <v>2158</v>
      </c>
      <c r="C1992" s="42" t="s">
        <v>2189</v>
      </c>
      <c r="D1992" s="43"/>
      <c r="E1992" s="44"/>
      <c r="F1992" s="85"/>
      <c r="G1992" s="85"/>
      <c r="H1992" s="86"/>
    </row>
    <row r="1993" spans="1:8" ht="30" customHeight="1" x14ac:dyDescent="0.25">
      <c r="A1993" s="312"/>
      <c r="B1993" s="166" t="s">
        <v>2158</v>
      </c>
      <c r="C1993" s="42" t="s">
        <v>2190</v>
      </c>
      <c r="D1993" s="43"/>
      <c r="E1993" s="44"/>
      <c r="F1993" s="85"/>
      <c r="G1993" s="85"/>
      <c r="H1993" s="86"/>
    </row>
    <row r="1994" spans="1:8" ht="30" customHeight="1" x14ac:dyDescent="0.25">
      <c r="A1994" s="312"/>
      <c r="B1994" s="166" t="s">
        <v>2158</v>
      </c>
      <c r="C1994" s="42" t="s">
        <v>2191</v>
      </c>
      <c r="D1994" s="43"/>
      <c r="E1994" s="44"/>
      <c r="F1994" s="85"/>
      <c r="G1994" s="85"/>
      <c r="H1994" s="86"/>
    </row>
    <row r="1995" spans="1:8" ht="30" customHeight="1" x14ac:dyDescent="0.25">
      <c r="A1995" s="312"/>
      <c r="B1995" s="166" t="s">
        <v>2158</v>
      </c>
      <c r="C1995" s="42" t="s">
        <v>2192</v>
      </c>
      <c r="D1995" s="43"/>
      <c r="E1995" s="44"/>
      <c r="F1995" s="85"/>
      <c r="G1995" s="85"/>
      <c r="H1995" s="86"/>
    </row>
    <row r="1996" spans="1:8" ht="30" customHeight="1" thickBot="1" x14ac:dyDescent="0.3">
      <c r="A1996" s="83"/>
      <c r="B1996" s="167" t="s">
        <v>2158</v>
      </c>
      <c r="C1996" s="88"/>
      <c r="D1996" s="89"/>
      <c r="E1996" s="90"/>
      <c r="F1996" s="77"/>
      <c r="G1996" s="77"/>
      <c r="H1996" s="91"/>
    </row>
    <row r="1997" spans="1:8" ht="30" customHeight="1" x14ac:dyDescent="0.25">
      <c r="A1997" s="76">
        <f>+A1991+1</f>
        <v>679</v>
      </c>
      <c r="B1997" s="165" t="s">
        <v>2165</v>
      </c>
      <c r="C1997" s="100"/>
      <c r="D1997" s="101"/>
      <c r="E1997" s="102"/>
      <c r="F1997" s="84" t="s">
        <v>2167</v>
      </c>
      <c r="G1997" s="84" t="str">
        <f>+VLOOKUP(679,prueba!$D$2:$E$733,2,FALSE)</f>
        <v>FINANCIERA SEGUROS</v>
      </c>
      <c r="H1997" s="50" t="s">
        <v>8330</v>
      </c>
    </row>
    <row r="1998" spans="1:8" ht="30" customHeight="1" x14ac:dyDescent="0.25">
      <c r="A1998" s="312"/>
      <c r="B1998" s="166" t="s">
        <v>2158</v>
      </c>
      <c r="C1998" s="42" t="s">
        <v>2193</v>
      </c>
      <c r="D1998" s="43"/>
      <c r="E1998" s="44"/>
      <c r="F1998" s="85"/>
      <c r="G1998" s="85"/>
      <c r="H1998" s="86"/>
    </row>
    <row r="1999" spans="1:8" ht="30" customHeight="1" thickBot="1" x14ac:dyDescent="0.3">
      <c r="A1999" s="83"/>
      <c r="B1999" s="167" t="s">
        <v>2158</v>
      </c>
      <c r="C1999" s="88" t="s">
        <v>2194</v>
      </c>
      <c r="D1999" s="89"/>
      <c r="E1999" s="90"/>
      <c r="F1999" s="77"/>
      <c r="G1999" s="77"/>
      <c r="H1999" s="91"/>
    </row>
    <row r="2000" spans="1:8" ht="30" customHeight="1" x14ac:dyDescent="0.25">
      <c r="A2000" s="76">
        <f>+A1997+1</f>
        <v>680</v>
      </c>
      <c r="B2000" s="165" t="s">
        <v>2195</v>
      </c>
      <c r="C2000" s="63" t="s">
        <v>2196</v>
      </c>
      <c r="D2000" s="64"/>
      <c r="E2000" s="65"/>
      <c r="F2000" s="84"/>
      <c r="G2000" s="84" t="str">
        <f>+VLOOKUP(680,prueba!$D$2:$E$733,2,FALSE)</f>
        <v>TÉCNICA</v>
      </c>
      <c r="H2000" s="50" t="s">
        <v>2197</v>
      </c>
    </row>
    <row r="2001" spans="1:8" ht="30" customHeight="1" x14ac:dyDescent="0.25">
      <c r="A2001" s="312"/>
      <c r="B2001" s="166" t="s">
        <v>2158</v>
      </c>
      <c r="C2001" s="53"/>
      <c r="D2001" s="54"/>
      <c r="E2001" s="55"/>
      <c r="F2001" s="85"/>
      <c r="G2001" s="85"/>
      <c r="H2001" s="86"/>
    </row>
    <row r="2002" spans="1:8" ht="30" customHeight="1" x14ac:dyDescent="0.25">
      <c r="A2002" s="312"/>
      <c r="B2002" s="166" t="s">
        <v>2158</v>
      </c>
      <c r="C2002" s="53" t="s">
        <v>2199</v>
      </c>
      <c r="D2002" s="54"/>
      <c r="E2002" s="55"/>
      <c r="F2002" s="85"/>
      <c r="G2002" s="85"/>
      <c r="H2002" s="86"/>
    </row>
    <row r="2003" spans="1:8" ht="30" customHeight="1" x14ac:dyDescent="0.25">
      <c r="A2003" s="312"/>
      <c r="B2003" s="166" t="s">
        <v>2158</v>
      </c>
      <c r="C2003" s="53" t="s">
        <v>2200</v>
      </c>
      <c r="D2003" s="54"/>
      <c r="E2003" s="55"/>
      <c r="F2003" s="85"/>
      <c r="G2003" s="85"/>
      <c r="H2003" s="86"/>
    </row>
    <row r="2004" spans="1:8" ht="30" customHeight="1" thickBot="1" x14ac:dyDescent="0.3">
      <c r="A2004" s="83"/>
      <c r="B2004" s="167" t="s">
        <v>2158</v>
      </c>
      <c r="C2004" s="88" t="s">
        <v>2201</v>
      </c>
      <c r="D2004" s="89"/>
      <c r="E2004" s="90"/>
      <c r="F2004" s="77"/>
      <c r="G2004" s="77"/>
      <c r="H2004" s="91"/>
    </row>
    <row r="2005" spans="1:8" ht="30" customHeight="1" x14ac:dyDescent="0.25">
      <c r="A2005" s="76">
        <f>+A2000+1</f>
        <v>681</v>
      </c>
      <c r="B2005" s="165" t="s">
        <v>2195</v>
      </c>
      <c r="C2005" s="63" t="s">
        <v>2202</v>
      </c>
      <c r="D2005" s="64"/>
      <c r="E2005" s="65"/>
      <c r="F2005" s="84"/>
      <c r="G2005" s="84" t="str">
        <f>+VLOOKUP(681,prueba!$D$2:$E$733,2,FALSE)</f>
        <v>TÉCNICA</v>
      </c>
      <c r="H2005" s="50" t="s">
        <v>2197</v>
      </c>
    </row>
    <row r="2006" spans="1:8" ht="30" customHeight="1" thickBot="1" x14ac:dyDescent="0.3">
      <c r="A2006" s="83"/>
      <c r="B2006" s="167" t="s">
        <v>2158</v>
      </c>
      <c r="C2006" s="88"/>
      <c r="D2006" s="89"/>
      <c r="E2006" s="90"/>
      <c r="F2006" s="77"/>
      <c r="G2006" s="77"/>
      <c r="H2006" s="91"/>
    </row>
    <row r="2007" spans="1:8" ht="30" customHeight="1" x14ac:dyDescent="0.25">
      <c r="A2007" s="76">
        <f>+A2005+1</f>
        <v>682</v>
      </c>
      <c r="B2007" s="165" t="s">
        <v>2195</v>
      </c>
      <c r="C2007" s="63" t="s">
        <v>2203</v>
      </c>
      <c r="D2007" s="64"/>
      <c r="E2007" s="65"/>
      <c r="F2007" s="84"/>
      <c r="G2007" s="84" t="str">
        <f>+VLOOKUP(682,prueba!$D$2:$E$733,2,FALSE)</f>
        <v>TÉCNICA</v>
      </c>
      <c r="H2007" s="50" t="s">
        <v>2204</v>
      </c>
    </row>
    <row r="2008" spans="1:8" ht="30" customHeight="1" thickBot="1" x14ac:dyDescent="0.3">
      <c r="A2008" s="83"/>
      <c r="B2008" s="167" t="s">
        <v>2158</v>
      </c>
      <c r="C2008" s="88"/>
      <c r="D2008" s="89"/>
      <c r="E2008" s="90"/>
      <c r="F2008" s="77"/>
      <c r="G2008" s="77"/>
      <c r="H2008" s="91"/>
    </row>
    <row r="2009" spans="1:8" ht="30" customHeight="1" x14ac:dyDescent="0.25">
      <c r="A2009" s="76">
        <f>+A2007+1</f>
        <v>683</v>
      </c>
      <c r="B2009" s="165" t="s">
        <v>2205</v>
      </c>
      <c r="C2009" s="63" t="s">
        <v>2206</v>
      </c>
      <c r="D2009" s="64"/>
      <c r="E2009" s="65"/>
      <c r="F2009" s="84" t="s">
        <v>2207</v>
      </c>
      <c r="G2009" s="84" t="str">
        <f>+VLOOKUP(683,prueba!$D$2:$E$733,2,FALSE)</f>
        <v>TÉCNICA</v>
      </c>
      <c r="H2009" s="50" t="s">
        <v>8222</v>
      </c>
    </row>
    <row r="2010" spans="1:8" ht="30" customHeight="1" x14ac:dyDescent="0.25">
      <c r="A2010" s="312"/>
      <c r="B2010" s="166" t="s">
        <v>2158</v>
      </c>
      <c r="C2010" s="53"/>
      <c r="D2010" s="54"/>
      <c r="E2010" s="55"/>
      <c r="F2010" s="85"/>
      <c r="G2010" s="85"/>
      <c r="H2010" s="86"/>
    </row>
    <row r="2011" spans="1:8" ht="30" customHeight="1" x14ac:dyDescent="0.25">
      <c r="A2011" s="312"/>
      <c r="B2011" s="166" t="s">
        <v>2158</v>
      </c>
      <c r="C2011" s="53" t="s">
        <v>1668</v>
      </c>
      <c r="D2011" s="54"/>
      <c r="E2011" s="55"/>
      <c r="F2011" s="85"/>
      <c r="G2011" s="85"/>
      <c r="H2011" s="86"/>
    </row>
    <row r="2012" spans="1:8" ht="30" customHeight="1" x14ac:dyDescent="0.25">
      <c r="A2012" s="312"/>
      <c r="B2012" s="166" t="s">
        <v>2158</v>
      </c>
      <c r="C2012" s="53"/>
      <c r="D2012" s="54"/>
      <c r="E2012" s="55"/>
      <c r="F2012" s="85"/>
      <c r="G2012" s="85"/>
      <c r="H2012" s="86"/>
    </row>
    <row r="2013" spans="1:8" ht="30" customHeight="1" thickBot="1" x14ac:dyDescent="0.3">
      <c r="A2013" s="83"/>
      <c r="B2013" s="167" t="s">
        <v>2158</v>
      </c>
      <c r="C2013" s="88" t="s">
        <v>2208</v>
      </c>
      <c r="D2013" s="89"/>
      <c r="E2013" s="90"/>
      <c r="F2013" s="77"/>
      <c r="G2013" s="77"/>
      <c r="H2013" s="91"/>
    </row>
    <row r="2014" spans="1:8" ht="30" customHeight="1" x14ac:dyDescent="0.25">
      <c r="A2014" s="76">
        <f>+A2009+1</f>
        <v>684</v>
      </c>
      <c r="B2014" s="165" t="s">
        <v>2209</v>
      </c>
      <c r="C2014" s="63" t="s">
        <v>2210</v>
      </c>
      <c r="D2014" s="64"/>
      <c r="E2014" s="65"/>
      <c r="F2014" s="84"/>
      <c r="G2014" s="84" t="str">
        <f>+VLOOKUP(684,prueba!$D$2:$E$733,2,FALSE)</f>
        <v>JURÍDICA CONTRATACIÓN</v>
      </c>
      <c r="H2014" s="50" t="s">
        <v>21</v>
      </c>
    </row>
    <row r="2015" spans="1:8" ht="30" customHeight="1" x14ac:dyDescent="0.25">
      <c r="A2015" s="312"/>
      <c r="B2015" s="166" t="s">
        <v>2158</v>
      </c>
      <c r="C2015" s="53"/>
      <c r="D2015" s="54"/>
      <c r="E2015" s="55"/>
      <c r="F2015" s="85"/>
      <c r="G2015" s="85"/>
      <c r="H2015" s="86"/>
    </row>
    <row r="2016" spans="1:8" ht="30" customHeight="1" x14ac:dyDescent="0.25">
      <c r="A2016" s="312"/>
      <c r="B2016" s="166" t="s">
        <v>2158</v>
      </c>
      <c r="C2016" s="53" t="s">
        <v>1037</v>
      </c>
      <c r="D2016" s="54"/>
      <c r="E2016" s="55"/>
      <c r="F2016" s="85"/>
      <c r="G2016" s="85"/>
      <c r="H2016" s="86"/>
    </row>
    <row r="2017" spans="1:8" ht="30" customHeight="1" x14ac:dyDescent="0.25">
      <c r="A2017" s="312"/>
      <c r="B2017" s="166" t="s">
        <v>2158</v>
      </c>
      <c r="C2017" s="53"/>
      <c r="D2017" s="54"/>
      <c r="E2017" s="55"/>
      <c r="F2017" s="85"/>
      <c r="G2017" s="85"/>
      <c r="H2017" s="86"/>
    </row>
    <row r="2018" spans="1:8" ht="30" customHeight="1" x14ac:dyDescent="0.25">
      <c r="A2018" s="312"/>
      <c r="B2018" s="166" t="s">
        <v>2158</v>
      </c>
      <c r="C2018" s="53" t="s">
        <v>2211</v>
      </c>
      <c r="D2018" s="54"/>
      <c r="E2018" s="55"/>
      <c r="F2018" s="85"/>
      <c r="G2018" s="85"/>
      <c r="H2018" s="86"/>
    </row>
    <row r="2019" spans="1:8" ht="30" customHeight="1" x14ac:dyDescent="0.25">
      <c r="A2019" s="312"/>
      <c r="B2019" s="166" t="s">
        <v>2158</v>
      </c>
      <c r="C2019" s="53"/>
      <c r="D2019" s="54"/>
      <c r="E2019" s="55"/>
      <c r="F2019" s="85"/>
      <c r="G2019" s="85"/>
      <c r="H2019" s="86"/>
    </row>
    <row r="2020" spans="1:8" ht="30" customHeight="1" thickBot="1" x14ac:dyDescent="0.3">
      <c r="A2020" s="83"/>
      <c r="B2020" s="167" t="s">
        <v>2158</v>
      </c>
      <c r="C2020" s="88" t="s">
        <v>2212</v>
      </c>
      <c r="D2020" s="89"/>
      <c r="E2020" s="90"/>
      <c r="F2020" s="77"/>
      <c r="G2020" s="77"/>
      <c r="H2020" s="91"/>
    </row>
    <row r="2021" spans="1:8" ht="30" customHeight="1" x14ac:dyDescent="0.25">
      <c r="A2021" s="76">
        <f>+A2014+1</f>
        <v>685</v>
      </c>
      <c r="B2021" s="165" t="s">
        <v>2205</v>
      </c>
      <c r="C2021" s="63" t="s">
        <v>2213</v>
      </c>
      <c r="D2021" s="64"/>
      <c r="E2021" s="65"/>
      <c r="F2021" s="84" t="s">
        <v>1557</v>
      </c>
      <c r="G2021" s="84" t="str">
        <f>+VLOOKUP(685,prueba!$D$2:$E$733,2,FALSE)</f>
        <v xml:space="preserve">JURIDICA ESTRUCTURACIÓN FINANCIERA </v>
      </c>
      <c r="H2021" s="50" t="s">
        <v>2214</v>
      </c>
    </row>
    <row r="2022" spans="1:8" ht="30" customHeight="1" x14ac:dyDescent="0.25">
      <c r="A2022" s="312"/>
      <c r="B2022" s="166" t="s">
        <v>2158</v>
      </c>
      <c r="C2022" s="53" t="s">
        <v>2215</v>
      </c>
      <c r="D2022" s="54"/>
      <c r="E2022" s="55"/>
      <c r="F2022" s="85"/>
      <c r="G2022" s="85"/>
      <c r="H2022" s="86"/>
    </row>
    <row r="2023" spans="1:8" ht="30" customHeight="1" x14ac:dyDescent="0.25">
      <c r="A2023" s="312"/>
      <c r="B2023" s="166" t="s">
        <v>2158</v>
      </c>
      <c r="C2023" s="53" t="s">
        <v>2216</v>
      </c>
      <c r="D2023" s="54"/>
      <c r="E2023" s="55"/>
      <c r="F2023" s="85"/>
      <c r="G2023" s="85"/>
      <c r="H2023" s="86"/>
    </row>
    <row r="2024" spans="1:8" ht="30" customHeight="1" thickBot="1" x14ac:dyDescent="0.3">
      <c r="A2024" s="83"/>
      <c r="B2024" s="167" t="s">
        <v>2158</v>
      </c>
      <c r="C2024" s="88" t="s">
        <v>2217</v>
      </c>
      <c r="D2024" s="89"/>
      <c r="E2024" s="90"/>
      <c r="F2024" s="77"/>
      <c r="G2024" s="77"/>
      <c r="H2024" s="91"/>
    </row>
    <row r="2025" spans="1:8" ht="30" customHeight="1" x14ac:dyDescent="0.25">
      <c r="A2025" s="76">
        <f>+A2021+1</f>
        <v>686</v>
      </c>
      <c r="B2025" s="165" t="s">
        <v>2205</v>
      </c>
      <c r="C2025" s="63" t="s">
        <v>2218</v>
      </c>
      <c r="D2025" s="64"/>
      <c r="E2025" s="65"/>
      <c r="F2025" s="84" t="s">
        <v>2219</v>
      </c>
      <c r="G2025" s="84" t="str">
        <f>+VLOOKUP(686,prueba!$D$2:$E$733,2,FALSE)</f>
        <v>FINANCIERA</v>
      </c>
      <c r="H2025" s="50" t="s">
        <v>8406</v>
      </c>
    </row>
    <row r="2026" spans="1:8" ht="30" customHeight="1" x14ac:dyDescent="0.25">
      <c r="A2026" s="312"/>
      <c r="B2026" s="166" t="s">
        <v>2158</v>
      </c>
      <c r="C2026" s="53" t="s">
        <v>2220</v>
      </c>
      <c r="D2026" s="54"/>
      <c r="E2026" s="55"/>
      <c r="F2026" s="85"/>
      <c r="G2026" s="85"/>
      <c r="H2026" s="86"/>
    </row>
    <row r="2027" spans="1:8" ht="30" customHeight="1" thickBot="1" x14ac:dyDescent="0.3">
      <c r="A2027" s="83"/>
      <c r="B2027" s="167" t="s">
        <v>2158</v>
      </c>
      <c r="C2027" s="88" t="s">
        <v>2221</v>
      </c>
      <c r="D2027" s="89"/>
      <c r="E2027" s="90"/>
      <c r="F2027" s="77"/>
      <c r="G2027" s="77"/>
      <c r="H2027" s="91"/>
    </row>
    <row r="2028" spans="1:8" ht="30" customHeight="1" x14ac:dyDescent="0.25">
      <c r="A2028" s="76">
        <f>+A2025+1</f>
        <v>687</v>
      </c>
      <c r="B2028" s="165" t="s">
        <v>2222</v>
      </c>
      <c r="C2028" s="63" t="s">
        <v>2223</v>
      </c>
      <c r="D2028" s="64"/>
      <c r="E2028" s="65"/>
      <c r="F2028" s="84" t="s">
        <v>2224</v>
      </c>
      <c r="G2028" s="84" t="str">
        <f>+VLOOKUP(687,prueba!$D$2:$E$733,2,FALSE)</f>
        <v xml:space="preserve">JURÍDICA CONTRATACIÓN Y ESTRUCTURACIÓN FIANCIERA  </v>
      </c>
      <c r="H2028" s="50" t="s">
        <v>8427</v>
      </c>
    </row>
    <row r="2029" spans="1:8" ht="30" customHeight="1" x14ac:dyDescent="0.25">
      <c r="A2029" s="312"/>
      <c r="B2029" s="166" t="s">
        <v>2158</v>
      </c>
      <c r="C2029" s="53"/>
      <c r="D2029" s="54"/>
      <c r="E2029" s="55"/>
      <c r="F2029" s="85"/>
      <c r="G2029" s="85"/>
      <c r="H2029" s="86"/>
    </row>
    <row r="2030" spans="1:8" ht="30" customHeight="1" thickBot="1" x14ac:dyDescent="0.3">
      <c r="A2030" s="83"/>
      <c r="B2030" s="167" t="s">
        <v>2158</v>
      </c>
      <c r="C2030" s="88" t="s">
        <v>2225</v>
      </c>
      <c r="D2030" s="89"/>
      <c r="E2030" s="90"/>
      <c r="F2030" s="77"/>
      <c r="G2030" s="77"/>
      <c r="H2030" s="91"/>
    </row>
    <row r="2031" spans="1:8" ht="30" customHeight="1" x14ac:dyDescent="0.25">
      <c r="A2031" s="76">
        <f>+A2028+1</f>
        <v>688</v>
      </c>
      <c r="B2031" s="165" t="s">
        <v>2222</v>
      </c>
      <c r="C2031" s="63" t="s">
        <v>2226</v>
      </c>
      <c r="D2031" s="64"/>
      <c r="E2031" s="65"/>
      <c r="F2031" s="84" t="s">
        <v>2227</v>
      </c>
      <c r="G2031" s="84" t="str">
        <f>+VLOOKUP(688,prueba!$D$2:$E$733,2,FALSE)</f>
        <v>FINANCIERA</v>
      </c>
      <c r="H2031" s="50" t="s">
        <v>2228</v>
      </c>
    </row>
    <row r="2032" spans="1:8" ht="30" customHeight="1" thickBot="1" x14ac:dyDescent="0.3">
      <c r="A2032" s="83"/>
      <c r="B2032" s="167" t="s">
        <v>2158</v>
      </c>
      <c r="C2032" s="88" t="s">
        <v>2229</v>
      </c>
      <c r="D2032" s="89"/>
      <c r="E2032" s="90"/>
      <c r="F2032" s="77"/>
      <c r="G2032" s="77"/>
      <c r="H2032" s="91"/>
    </row>
    <row r="2033" spans="1:8" ht="30" customHeight="1" x14ac:dyDescent="0.25">
      <c r="A2033" s="76">
        <f>+A2031+1</f>
        <v>689</v>
      </c>
      <c r="B2033" s="165" t="s">
        <v>2222</v>
      </c>
      <c r="C2033" s="63" t="s">
        <v>2230</v>
      </c>
      <c r="D2033" s="64"/>
      <c r="E2033" s="65"/>
      <c r="F2033" s="84" t="s">
        <v>2231</v>
      </c>
      <c r="G2033" s="84" t="str">
        <f>+VLOOKUP(689,prueba!$D$2:$E$733,2,FALSE)</f>
        <v>JURÍDICO PREDIAL</v>
      </c>
      <c r="H2033" s="50" t="s">
        <v>9556</v>
      </c>
    </row>
    <row r="2034" spans="1:8" ht="30" customHeight="1" x14ac:dyDescent="0.25">
      <c r="A2034" s="312"/>
      <c r="B2034" s="166" t="s">
        <v>2158</v>
      </c>
      <c r="C2034" s="53"/>
      <c r="D2034" s="54"/>
      <c r="E2034" s="55"/>
      <c r="F2034" s="85"/>
      <c r="G2034" s="85"/>
      <c r="H2034" s="86"/>
    </row>
    <row r="2035" spans="1:8" ht="30" customHeight="1" thickBot="1" x14ac:dyDescent="0.3">
      <c r="A2035" s="83"/>
      <c r="B2035" s="167" t="s">
        <v>2158</v>
      </c>
      <c r="C2035" s="88" t="s">
        <v>2232</v>
      </c>
      <c r="D2035" s="89"/>
      <c r="E2035" s="90"/>
      <c r="F2035" s="77"/>
      <c r="G2035" s="77"/>
      <c r="H2035" s="91"/>
    </row>
    <row r="2036" spans="1:8" ht="30" customHeight="1" x14ac:dyDescent="0.25">
      <c r="A2036" s="76">
        <f>+A2033+1</f>
        <v>690</v>
      </c>
      <c r="B2036" s="165" t="s">
        <v>2222</v>
      </c>
      <c r="C2036" s="63" t="s">
        <v>2233</v>
      </c>
      <c r="D2036" s="64"/>
      <c r="E2036" s="65"/>
      <c r="F2036" s="84" t="s">
        <v>2234</v>
      </c>
      <c r="G2036" s="84" t="str">
        <f>+VLOOKUP(690,prueba!$D$2:$E$733,2,FALSE)</f>
        <v xml:space="preserve">FINANICERA RIESGOS- SOCIAL </v>
      </c>
      <c r="H2036" s="50" t="s">
        <v>8389</v>
      </c>
    </row>
    <row r="2037" spans="1:8" ht="30" customHeight="1" x14ac:dyDescent="0.25">
      <c r="A2037" s="312"/>
      <c r="B2037" s="166" t="s">
        <v>2158</v>
      </c>
      <c r="C2037" s="53"/>
      <c r="D2037" s="54"/>
      <c r="E2037" s="55"/>
      <c r="F2037" s="85"/>
      <c r="G2037" s="85"/>
      <c r="H2037" s="86"/>
    </row>
    <row r="2038" spans="1:8" ht="30" customHeight="1" x14ac:dyDescent="0.25">
      <c r="A2038" s="312"/>
      <c r="B2038" s="166" t="s">
        <v>2158</v>
      </c>
      <c r="C2038" s="53" t="s">
        <v>2235</v>
      </c>
      <c r="D2038" s="54"/>
      <c r="E2038" s="55"/>
      <c r="F2038" s="85"/>
      <c r="G2038" s="85"/>
      <c r="H2038" s="86"/>
    </row>
    <row r="2039" spans="1:8" ht="30" customHeight="1" x14ac:dyDescent="0.25">
      <c r="A2039" s="312"/>
      <c r="B2039" s="166" t="s">
        <v>2158</v>
      </c>
      <c r="C2039" s="53"/>
      <c r="D2039" s="54"/>
      <c r="E2039" s="55"/>
      <c r="F2039" s="85"/>
      <c r="G2039" s="85"/>
      <c r="H2039" s="86"/>
    </row>
    <row r="2040" spans="1:8" ht="30" customHeight="1" thickBot="1" x14ac:dyDescent="0.3">
      <c r="A2040" s="83"/>
      <c r="B2040" s="167" t="s">
        <v>2158</v>
      </c>
      <c r="C2040" s="88" t="s">
        <v>2236</v>
      </c>
      <c r="D2040" s="89"/>
      <c r="E2040" s="90"/>
      <c r="F2040" s="77"/>
      <c r="G2040" s="77"/>
      <c r="H2040" s="91"/>
    </row>
    <row r="2041" spans="1:8" ht="30" customHeight="1" thickBot="1" x14ac:dyDescent="0.3">
      <c r="A2041" s="313">
        <f>+A2036+1</f>
        <v>691</v>
      </c>
      <c r="B2041" s="168" t="s">
        <v>2222</v>
      </c>
      <c r="C2041" s="108" t="s">
        <v>2237</v>
      </c>
      <c r="D2041" s="109"/>
      <c r="E2041" s="110"/>
      <c r="F2041" s="78" t="s">
        <v>2238</v>
      </c>
      <c r="G2041" s="107" t="str">
        <f>+VLOOKUP(691,prueba!$D$2:$E$733,2,FALSE)</f>
        <v>FINANCIERA RIESGOS</v>
      </c>
      <c r="H2041" s="52" t="s">
        <v>8407</v>
      </c>
    </row>
    <row r="2042" spans="1:8" ht="30" customHeight="1" x14ac:dyDescent="0.25">
      <c r="A2042" s="76">
        <f>+A2041+1</f>
        <v>692</v>
      </c>
      <c r="B2042" s="165" t="s">
        <v>2222</v>
      </c>
      <c r="C2042" s="63" t="s">
        <v>2239</v>
      </c>
      <c r="D2042" s="64"/>
      <c r="E2042" s="65"/>
      <c r="F2042" s="84" t="s">
        <v>2240</v>
      </c>
      <c r="G2042" s="84" t="str">
        <f>+VLOOKUP(692,prueba!$D$2:$E$733,2,FALSE)</f>
        <v xml:space="preserve">DEFENSA JUDICIAL </v>
      </c>
      <c r="H2042" s="50" t="s">
        <v>7982</v>
      </c>
    </row>
    <row r="2043" spans="1:8" ht="30" customHeight="1" x14ac:dyDescent="0.25">
      <c r="A2043" s="312"/>
      <c r="B2043" s="166" t="s">
        <v>2158</v>
      </c>
      <c r="C2043" s="53"/>
      <c r="D2043" s="54"/>
      <c r="E2043" s="55"/>
      <c r="F2043" s="85"/>
      <c r="G2043" s="85"/>
      <c r="H2043" s="86"/>
    </row>
    <row r="2044" spans="1:8" ht="30" customHeight="1" thickBot="1" x14ac:dyDescent="0.3">
      <c r="A2044" s="83"/>
      <c r="B2044" s="167" t="s">
        <v>2158</v>
      </c>
      <c r="C2044" s="88" t="s">
        <v>2241</v>
      </c>
      <c r="D2044" s="89"/>
      <c r="E2044" s="90"/>
      <c r="F2044" s="77"/>
      <c r="G2044" s="77"/>
      <c r="H2044" s="91"/>
    </row>
    <row r="2045" spans="1:8" ht="30" customHeight="1" x14ac:dyDescent="0.25">
      <c r="A2045" s="76">
        <f>+A2042+1</f>
        <v>693</v>
      </c>
      <c r="B2045" s="165" t="s">
        <v>2222</v>
      </c>
      <c r="C2045" s="63" t="s">
        <v>2242</v>
      </c>
      <c r="D2045" s="64"/>
      <c r="E2045" s="65"/>
      <c r="F2045" s="84" t="s">
        <v>2243</v>
      </c>
      <c r="G2045" s="84" t="str">
        <f>+VLOOKUP(693,prueba!$D$2:$E$733,2,FALSE)</f>
        <v>FINANCIERA</v>
      </c>
      <c r="H2045" s="50" t="s">
        <v>9094</v>
      </c>
    </row>
    <row r="2046" spans="1:8" ht="30" customHeight="1" x14ac:dyDescent="0.25">
      <c r="A2046" s="312"/>
      <c r="B2046" s="166" t="s">
        <v>2158</v>
      </c>
      <c r="C2046" s="53"/>
      <c r="D2046" s="54"/>
      <c r="E2046" s="55"/>
      <c r="F2046" s="85"/>
      <c r="G2046" s="85"/>
      <c r="H2046" s="86"/>
    </row>
    <row r="2047" spans="1:8" ht="30" customHeight="1" thickBot="1" x14ac:dyDescent="0.3">
      <c r="A2047" s="83"/>
      <c r="B2047" s="167" t="s">
        <v>2158</v>
      </c>
      <c r="C2047" s="88" t="s">
        <v>2244</v>
      </c>
      <c r="D2047" s="89"/>
      <c r="E2047" s="90"/>
      <c r="F2047" s="77"/>
      <c r="G2047" s="77"/>
      <c r="H2047" s="91"/>
    </row>
    <row r="2048" spans="1:8" ht="30" customHeight="1" x14ac:dyDescent="0.25">
      <c r="A2048" s="76">
        <f>+A2045+1</f>
        <v>694</v>
      </c>
      <c r="B2048" s="165" t="s">
        <v>2222</v>
      </c>
      <c r="C2048" s="63" t="s">
        <v>2245</v>
      </c>
      <c r="D2048" s="64"/>
      <c r="E2048" s="65"/>
      <c r="F2048" s="84" t="s">
        <v>2246</v>
      </c>
      <c r="G2048" s="84" t="str">
        <f>+VLOOKUP(694,prueba!$D$2:$E$733,2,FALSE)</f>
        <v>TÉCNICA</v>
      </c>
      <c r="H2048" s="50" t="s">
        <v>2247</v>
      </c>
    </row>
    <row r="2049" spans="1:8" ht="30" customHeight="1" x14ac:dyDescent="0.25">
      <c r="A2049" s="312"/>
      <c r="B2049" s="166" t="s">
        <v>2158</v>
      </c>
      <c r="C2049" s="53" t="s">
        <v>575</v>
      </c>
      <c r="D2049" s="54"/>
      <c r="E2049" s="55"/>
      <c r="F2049" s="85"/>
      <c r="G2049" s="85"/>
      <c r="H2049" s="86"/>
    </row>
    <row r="2050" spans="1:8" ht="30" customHeight="1" thickBot="1" x14ac:dyDescent="0.3">
      <c r="A2050" s="83"/>
      <c r="B2050" s="167" t="s">
        <v>2158</v>
      </c>
      <c r="C2050" s="88" t="s">
        <v>2248</v>
      </c>
      <c r="D2050" s="89"/>
      <c r="E2050" s="90"/>
      <c r="F2050" s="77"/>
      <c r="G2050" s="77"/>
      <c r="H2050" s="91"/>
    </row>
    <row r="2051" spans="1:8" ht="30" customHeight="1" x14ac:dyDescent="0.25">
      <c r="A2051" s="76">
        <f>+A2048+1</f>
        <v>695</v>
      </c>
      <c r="B2051" s="165" t="s">
        <v>2222</v>
      </c>
      <c r="C2051" s="63" t="s">
        <v>2249</v>
      </c>
      <c r="D2051" s="64"/>
      <c r="E2051" s="65"/>
      <c r="F2051" s="84" t="s">
        <v>2250</v>
      </c>
      <c r="G2051" s="84" t="str">
        <f>+VLOOKUP(695,prueba!$D$2:$E$733,2,FALSE)</f>
        <v>FINANCIERA</v>
      </c>
      <c r="H2051" s="50" t="s">
        <v>2251</v>
      </c>
    </row>
    <row r="2052" spans="1:8" ht="30" customHeight="1" x14ac:dyDescent="0.25">
      <c r="A2052" s="312"/>
      <c r="B2052" s="166" t="s">
        <v>2158</v>
      </c>
      <c r="C2052" s="53"/>
      <c r="D2052" s="54"/>
      <c r="E2052" s="55"/>
      <c r="F2052" s="85"/>
      <c r="G2052" s="85"/>
      <c r="H2052" s="86"/>
    </row>
    <row r="2053" spans="1:8" ht="30" customHeight="1" thickBot="1" x14ac:dyDescent="0.3">
      <c r="A2053" s="83"/>
      <c r="B2053" s="167" t="s">
        <v>2158</v>
      </c>
      <c r="C2053" s="88" t="s">
        <v>2252</v>
      </c>
      <c r="D2053" s="89"/>
      <c r="E2053" s="90"/>
      <c r="F2053" s="77"/>
      <c r="G2053" s="77"/>
      <c r="H2053" s="91"/>
    </row>
    <row r="2054" spans="1:8" ht="30" customHeight="1" thickBot="1" x14ac:dyDescent="0.3">
      <c r="A2054" s="313">
        <f>+A2051+1</f>
        <v>696</v>
      </c>
      <c r="B2054" s="168" t="s">
        <v>2222</v>
      </c>
      <c r="C2054" s="108" t="s">
        <v>2253</v>
      </c>
      <c r="D2054" s="109"/>
      <c r="E2054" s="110"/>
      <c r="F2054" s="78" t="s">
        <v>2254</v>
      </c>
      <c r="G2054" s="107" t="str">
        <f>+VLOOKUP(696,prueba!$D$2:$E$733,2,FALSE)</f>
        <v xml:space="preserve">TECNICA </v>
      </c>
      <c r="H2054" s="52" t="s">
        <v>2255</v>
      </c>
    </row>
    <row r="2055" spans="1:8" ht="30" customHeight="1" thickBot="1" x14ac:dyDescent="0.3">
      <c r="A2055" s="313">
        <f t="shared" ref="A2055:A2067" si="18">+A2054+1</f>
        <v>697</v>
      </c>
      <c r="B2055" s="168" t="s">
        <v>2222</v>
      </c>
      <c r="C2055" s="108" t="s">
        <v>2256</v>
      </c>
      <c r="D2055" s="109"/>
      <c r="E2055" s="110"/>
      <c r="F2055" s="78" t="s">
        <v>2257</v>
      </c>
      <c r="G2055" s="107" t="str">
        <f>+VLOOKUP(697,prueba!$D$2:$E$733,2,FALSE)</f>
        <v xml:space="preserve">AMBIENTAL </v>
      </c>
      <c r="H2055" s="52" t="s">
        <v>9078</v>
      </c>
    </row>
    <row r="2056" spans="1:8" ht="30" customHeight="1" thickBot="1" x14ac:dyDescent="0.3">
      <c r="A2056" s="313">
        <f t="shared" si="18"/>
        <v>698</v>
      </c>
      <c r="B2056" s="168" t="s">
        <v>2222</v>
      </c>
      <c r="C2056" s="108" t="s">
        <v>2258</v>
      </c>
      <c r="D2056" s="109"/>
      <c r="E2056" s="110"/>
      <c r="F2056" s="78" t="s">
        <v>2259</v>
      </c>
      <c r="G2056" s="107" t="str">
        <f>+VLOOKUP(698,prueba!$D$2:$E$733,2,FALSE)</f>
        <v>JURÍDICA</v>
      </c>
      <c r="H2056" s="52" t="s">
        <v>2260</v>
      </c>
    </row>
    <row r="2057" spans="1:8" ht="30" customHeight="1" thickBot="1" x14ac:dyDescent="0.3">
      <c r="A2057" s="313">
        <f t="shared" si="18"/>
        <v>699</v>
      </c>
      <c r="B2057" s="168" t="s">
        <v>2222</v>
      </c>
      <c r="C2057" s="108" t="s">
        <v>2261</v>
      </c>
      <c r="D2057" s="109"/>
      <c r="E2057" s="110"/>
      <c r="F2057" s="78" t="s">
        <v>2262</v>
      </c>
      <c r="G2057" s="107" t="str">
        <f>+VLOOKUP(699,prueba!$D$2:$E$733,2,FALSE)</f>
        <v xml:space="preserve">JURÍDICO ESTRUCTURACION – FINANCIERO </v>
      </c>
      <c r="H2057" s="52" t="s">
        <v>8231</v>
      </c>
    </row>
    <row r="2058" spans="1:8" ht="30" customHeight="1" thickBot="1" x14ac:dyDescent="0.3">
      <c r="A2058" s="313">
        <f t="shared" si="18"/>
        <v>700</v>
      </c>
      <c r="B2058" s="168" t="s">
        <v>2222</v>
      </c>
      <c r="C2058" s="108" t="s">
        <v>2263</v>
      </c>
      <c r="D2058" s="109"/>
      <c r="E2058" s="110"/>
      <c r="F2058" s="78" t="s">
        <v>2264</v>
      </c>
      <c r="G2058" s="107" t="str">
        <f>+VLOOKUP(700,prueba!$D$2:$E$733,2,FALSE)</f>
        <v xml:space="preserve">FINANCIERA RIESGOS – SOCIAL </v>
      </c>
      <c r="H2058" s="52" t="s">
        <v>2265</v>
      </c>
    </row>
    <row r="2059" spans="1:8" ht="30" customHeight="1" thickBot="1" x14ac:dyDescent="0.3">
      <c r="A2059" s="313">
        <f t="shared" si="18"/>
        <v>701</v>
      </c>
      <c r="B2059" s="168" t="s">
        <v>2222</v>
      </c>
      <c r="C2059" s="108" t="s">
        <v>2266</v>
      </c>
      <c r="D2059" s="109"/>
      <c r="E2059" s="110"/>
      <c r="F2059" s="78" t="s">
        <v>2267</v>
      </c>
      <c r="G2059" s="107" t="str">
        <f>+VLOOKUP(701,prueba!$D$2:$E$733,2,FALSE)</f>
        <v xml:space="preserve">JURÍDICA ESTRUCTURACIÓN </v>
      </c>
      <c r="H2059" s="52" t="s">
        <v>8428</v>
      </c>
    </row>
    <row r="2060" spans="1:8" ht="30" customHeight="1" thickBot="1" x14ac:dyDescent="0.3">
      <c r="A2060" s="313">
        <f t="shared" si="18"/>
        <v>702</v>
      </c>
      <c r="B2060" s="168" t="s">
        <v>2222</v>
      </c>
      <c r="C2060" s="108" t="s">
        <v>2268</v>
      </c>
      <c r="D2060" s="109"/>
      <c r="E2060" s="110"/>
      <c r="F2060" s="78" t="s">
        <v>2269</v>
      </c>
      <c r="G2060" s="107" t="str">
        <f>+VLOOKUP(702,prueba!$D$2:$E$733,2,FALSE)</f>
        <v xml:space="preserve">TECNICA Y RIESGOS </v>
      </c>
      <c r="H2060" s="52" t="s">
        <v>2270</v>
      </c>
    </row>
    <row r="2061" spans="1:8" ht="30" customHeight="1" thickBot="1" x14ac:dyDescent="0.3">
      <c r="A2061" s="313">
        <f t="shared" si="18"/>
        <v>703</v>
      </c>
      <c r="B2061" s="168" t="s">
        <v>2222</v>
      </c>
      <c r="C2061" s="108" t="s">
        <v>2271</v>
      </c>
      <c r="D2061" s="109"/>
      <c r="E2061" s="110"/>
      <c r="F2061" s="78" t="s">
        <v>2272</v>
      </c>
      <c r="G2061" s="107" t="str">
        <f>+VLOOKUP(703,prueba!$D$2:$E$733,2,FALSE)</f>
        <v>FINANCIERA</v>
      </c>
      <c r="H2061" s="52" t="s">
        <v>8408</v>
      </c>
    </row>
    <row r="2062" spans="1:8" ht="30" customHeight="1" thickBot="1" x14ac:dyDescent="0.3">
      <c r="A2062" s="313">
        <f t="shared" si="18"/>
        <v>704</v>
      </c>
      <c r="B2062" s="168" t="s">
        <v>2222</v>
      </c>
      <c r="C2062" s="108" t="s">
        <v>2273</v>
      </c>
      <c r="D2062" s="109"/>
      <c r="E2062" s="110"/>
      <c r="F2062" s="78" t="s">
        <v>2274</v>
      </c>
      <c r="G2062" s="107" t="str">
        <f>+VLOOKUP(704,prueba!$D$2:$E$733,2,FALSE)</f>
        <v>JURÍDICA ESTRUCTURACIÓN</v>
      </c>
      <c r="H2062" s="52" t="s">
        <v>8429</v>
      </c>
    </row>
    <row r="2063" spans="1:8" ht="30" customHeight="1" thickBot="1" x14ac:dyDescent="0.3">
      <c r="A2063" s="313">
        <f t="shared" si="18"/>
        <v>705</v>
      </c>
      <c r="B2063" s="168" t="s">
        <v>2222</v>
      </c>
      <c r="C2063" s="108" t="s">
        <v>2275</v>
      </c>
      <c r="D2063" s="109"/>
      <c r="E2063" s="110"/>
      <c r="F2063" s="78" t="s">
        <v>2276</v>
      </c>
      <c r="G2063" s="107" t="str">
        <f>+VLOOKUP(705,prueba!$D$2:$E$733,2,FALSE)</f>
        <v>FINANCIERA</v>
      </c>
      <c r="H2063" s="52" t="s">
        <v>8387</v>
      </c>
    </row>
    <row r="2064" spans="1:8" ht="30" customHeight="1" thickBot="1" x14ac:dyDescent="0.3">
      <c r="A2064" s="313">
        <f t="shared" si="18"/>
        <v>706</v>
      </c>
      <c r="B2064" s="168" t="s">
        <v>2222</v>
      </c>
      <c r="C2064" s="108" t="s">
        <v>2277</v>
      </c>
      <c r="D2064" s="109"/>
      <c r="E2064" s="110"/>
      <c r="F2064" s="78" t="s">
        <v>2278</v>
      </c>
      <c r="G2064" s="107" t="str">
        <f>+VLOOKUP(706,prueba!$D$2:$E$733,2,FALSE)</f>
        <v>FINANCIERA RIESGOS</v>
      </c>
      <c r="H2064" s="52" t="s">
        <v>8409</v>
      </c>
    </row>
    <row r="2065" spans="1:8" ht="30" customHeight="1" thickBot="1" x14ac:dyDescent="0.3">
      <c r="A2065" s="313">
        <f t="shared" si="18"/>
        <v>707</v>
      </c>
      <c r="B2065" s="168" t="s">
        <v>2222</v>
      </c>
      <c r="C2065" s="108" t="s">
        <v>2279</v>
      </c>
      <c r="D2065" s="109"/>
      <c r="E2065" s="110"/>
      <c r="F2065" s="78" t="s">
        <v>2280</v>
      </c>
      <c r="G2065" s="107" t="str">
        <f>+VLOOKUP(707,prueba!$D$2:$E$733,2,FALSE)</f>
        <v xml:space="preserve">FINANCIERA RIESGOS – TECNICA JURIDICA </v>
      </c>
      <c r="H2065" s="52" t="s">
        <v>2281</v>
      </c>
    </row>
    <row r="2066" spans="1:8" ht="30" customHeight="1" thickBot="1" x14ac:dyDescent="0.3">
      <c r="A2066" s="313">
        <f t="shared" si="18"/>
        <v>708</v>
      </c>
      <c r="B2066" s="168" t="s">
        <v>2222</v>
      </c>
      <c r="C2066" s="108" t="s">
        <v>2282</v>
      </c>
      <c r="D2066" s="109"/>
      <c r="E2066" s="110"/>
      <c r="F2066" s="78" t="s">
        <v>2283</v>
      </c>
      <c r="G2066" s="107" t="str">
        <f>+VLOOKUP(708,prueba!$D$2:$E$733,2,FALSE)</f>
        <v>FINANCIERA</v>
      </c>
      <c r="H2066" s="52" t="s">
        <v>8410</v>
      </c>
    </row>
    <row r="2067" spans="1:8" ht="30" customHeight="1" x14ac:dyDescent="0.25">
      <c r="A2067" s="76">
        <f t="shared" si="18"/>
        <v>709</v>
      </c>
      <c r="B2067" s="165" t="s">
        <v>2222</v>
      </c>
      <c r="C2067" s="63" t="s">
        <v>2284</v>
      </c>
      <c r="D2067" s="64"/>
      <c r="E2067" s="65"/>
      <c r="F2067" s="56" t="s">
        <v>2285</v>
      </c>
      <c r="G2067" s="84" t="str">
        <f>+VLOOKUP(709,prueba!$D$2:$E$733,2,FALSE)</f>
        <v>TÉCNICA</v>
      </c>
      <c r="H2067" s="50" t="s">
        <v>8291</v>
      </c>
    </row>
    <row r="2068" spans="1:8" ht="30" customHeight="1" thickBot="1" x14ac:dyDescent="0.3">
      <c r="A2068" s="83"/>
      <c r="B2068" s="167" t="s">
        <v>2158</v>
      </c>
      <c r="C2068" s="88"/>
      <c r="D2068" s="89"/>
      <c r="E2068" s="90"/>
      <c r="F2068" s="78" t="s">
        <v>2286</v>
      </c>
      <c r="G2068" s="77"/>
      <c r="H2068" s="91"/>
    </row>
    <row r="2069" spans="1:8" ht="30" customHeight="1" x14ac:dyDescent="0.25">
      <c r="A2069" s="76">
        <f>+A2067+1</f>
        <v>710</v>
      </c>
      <c r="B2069" s="165" t="s">
        <v>2222</v>
      </c>
      <c r="C2069" s="63" t="s">
        <v>2287</v>
      </c>
      <c r="D2069" s="64"/>
      <c r="E2069" s="65"/>
      <c r="F2069" s="84" t="s">
        <v>2288</v>
      </c>
      <c r="G2069" s="84" t="str">
        <f>+VLOOKUP(710,prueba!$D$2:$E$733,2,FALSE)</f>
        <v>TÉCNICA</v>
      </c>
      <c r="H2069" s="50" t="s">
        <v>8223</v>
      </c>
    </row>
    <row r="2070" spans="1:8" ht="30" customHeight="1" x14ac:dyDescent="0.25">
      <c r="A2070" s="312"/>
      <c r="B2070" s="166" t="s">
        <v>2158</v>
      </c>
      <c r="C2070" s="53"/>
      <c r="D2070" s="54"/>
      <c r="E2070" s="55"/>
      <c r="F2070" s="85"/>
      <c r="G2070" s="85"/>
      <c r="H2070" s="86"/>
    </row>
    <row r="2071" spans="1:8" ht="30" customHeight="1" x14ac:dyDescent="0.25">
      <c r="A2071" s="312"/>
      <c r="B2071" s="166" t="s">
        <v>2158</v>
      </c>
      <c r="C2071" s="53" t="s">
        <v>2289</v>
      </c>
      <c r="D2071" s="54"/>
      <c r="E2071" s="55"/>
      <c r="F2071" s="85"/>
      <c r="G2071" s="85"/>
      <c r="H2071" s="86"/>
    </row>
    <row r="2072" spans="1:8" ht="30" customHeight="1" x14ac:dyDescent="0.25">
      <c r="A2072" s="312"/>
      <c r="B2072" s="166" t="s">
        <v>2158</v>
      </c>
      <c r="C2072" s="53"/>
      <c r="D2072" s="54"/>
      <c r="E2072" s="55"/>
      <c r="F2072" s="85"/>
      <c r="G2072" s="85"/>
      <c r="H2072" s="86"/>
    </row>
    <row r="2073" spans="1:8" ht="30" customHeight="1" x14ac:dyDescent="0.25">
      <c r="A2073" s="312"/>
      <c r="B2073" s="166" t="s">
        <v>2158</v>
      </c>
      <c r="C2073" s="53" t="s">
        <v>2290</v>
      </c>
      <c r="D2073" s="54"/>
      <c r="E2073" s="55"/>
      <c r="F2073" s="85"/>
      <c r="G2073" s="85"/>
      <c r="H2073" s="86"/>
    </row>
    <row r="2074" spans="1:8" ht="30" customHeight="1" x14ac:dyDescent="0.25">
      <c r="A2074" s="312"/>
      <c r="B2074" s="166" t="s">
        <v>2158</v>
      </c>
      <c r="C2074" s="53"/>
      <c r="D2074" s="54"/>
      <c r="E2074" s="55"/>
      <c r="F2074" s="85"/>
      <c r="G2074" s="85"/>
      <c r="H2074" s="86"/>
    </row>
    <row r="2075" spans="1:8" ht="30" customHeight="1" x14ac:dyDescent="0.25">
      <c r="A2075" s="312"/>
      <c r="B2075" s="166" t="s">
        <v>2158</v>
      </c>
      <c r="C2075" s="53" t="s">
        <v>2291</v>
      </c>
      <c r="D2075" s="54"/>
      <c r="E2075" s="55"/>
      <c r="F2075" s="85"/>
      <c r="G2075" s="85"/>
      <c r="H2075" s="86"/>
    </row>
    <row r="2076" spans="1:8" ht="30" customHeight="1" x14ac:dyDescent="0.25">
      <c r="A2076" s="312"/>
      <c r="B2076" s="166" t="s">
        <v>2158</v>
      </c>
      <c r="C2076" s="53"/>
      <c r="D2076" s="54"/>
      <c r="E2076" s="55"/>
      <c r="F2076" s="85"/>
      <c r="G2076" s="85"/>
      <c r="H2076" s="86"/>
    </row>
    <row r="2077" spans="1:8" ht="30" customHeight="1" thickBot="1" x14ac:dyDescent="0.3">
      <c r="A2077" s="83"/>
      <c r="B2077" s="167" t="s">
        <v>2158</v>
      </c>
      <c r="C2077" s="88" t="s">
        <v>2292</v>
      </c>
      <c r="D2077" s="89"/>
      <c r="E2077" s="90"/>
      <c r="F2077" s="77"/>
      <c r="G2077" s="77"/>
      <c r="H2077" s="91"/>
    </row>
    <row r="2078" spans="1:8" ht="30" customHeight="1" thickBot="1" x14ac:dyDescent="0.3">
      <c r="A2078" s="313">
        <f>+A2069+1</f>
        <v>711</v>
      </c>
      <c r="B2078" s="168" t="s">
        <v>2222</v>
      </c>
      <c r="C2078" s="108" t="s">
        <v>2293</v>
      </c>
      <c r="D2078" s="109"/>
      <c r="E2078" s="110"/>
      <c r="F2078" s="78" t="s">
        <v>2294</v>
      </c>
      <c r="G2078" s="107" t="str">
        <f>+VLOOKUP(711,prueba!$D$2:$E$733,2,FALSE)</f>
        <v>TÉCNICA</v>
      </c>
      <c r="H2078" s="52" t="s">
        <v>2295</v>
      </c>
    </row>
    <row r="2079" spans="1:8" ht="30" customHeight="1" thickBot="1" x14ac:dyDescent="0.3">
      <c r="A2079" s="313">
        <f>+A2078+1</f>
        <v>712</v>
      </c>
      <c r="B2079" s="168" t="s">
        <v>2222</v>
      </c>
      <c r="C2079" s="108" t="s">
        <v>2296</v>
      </c>
      <c r="D2079" s="109"/>
      <c r="E2079" s="110"/>
      <c r="F2079" s="78" t="s">
        <v>2297</v>
      </c>
      <c r="G2079" s="107" t="str">
        <f>+VLOOKUP(712,prueba!$D$2:$E$733,2,FALSE)</f>
        <v>TÉCNICA</v>
      </c>
      <c r="H2079" s="52" t="s">
        <v>2298</v>
      </c>
    </row>
    <row r="2080" spans="1:8" ht="30" customHeight="1" thickBot="1" x14ac:dyDescent="0.3">
      <c r="A2080" s="313">
        <f>+A2079+1</f>
        <v>713</v>
      </c>
      <c r="B2080" s="168" t="s">
        <v>2222</v>
      </c>
      <c r="C2080" s="108" t="s">
        <v>2299</v>
      </c>
      <c r="D2080" s="109"/>
      <c r="E2080" s="110"/>
      <c r="F2080" s="78" t="s">
        <v>2300</v>
      </c>
      <c r="G2080" s="107" t="str">
        <f>+VLOOKUP(713,prueba!$D$2:$E$733,2,FALSE)</f>
        <v>TÉCNICA</v>
      </c>
      <c r="H2080" s="52" t="s">
        <v>2301</v>
      </c>
    </row>
    <row r="2081" spans="1:8" ht="30" customHeight="1" x14ac:dyDescent="0.25">
      <c r="A2081" s="76">
        <f>+A2080+1</f>
        <v>714</v>
      </c>
      <c r="B2081" s="165" t="s">
        <v>2222</v>
      </c>
      <c r="C2081" s="63" t="s">
        <v>2302</v>
      </c>
      <c r="D2081" s="64"/>
      <c r="E2081" s="65"/>
      <c r="F2081" s="56" t="s">
        <v>847</v>
      </c>
      <c r="G2081" s="84" t="str">
        <f>+VLOOKUP(714,prueba!$D$2:$E$733,2,FALSE)</f>
        <v>TÉCNICA</v>
      </c>
      <c r="H2081" s="336" t="s">
        <v>2303</v>
      </c>
    </row>
    <row r="2082" spans="1:8" ht="30" customHeight="1" thickBot="1" x14ac:dyDescent="0.3">
      <c r="A2082" s="83"/>
      <c r="B2082" s="167" t="s">
        <v>2158</v>
      </c>
      <c r="C2082" s="88"/>
      <c r="D2082" s="89"/>
      <c r="E2082" s="90"/>
      <c r="F2082" s="78" t="s">
        <v>2304</v>
      </c>
      <c r="G2082" s="77"/>
      <c r="H2082" s="337"/>
    </row>
    <row r="2083" spans="1:8" ht="30" customHeight="1" thickBot="1" x14ac:dyDescent="0.3">
      <c r="A2083" s="313">
        <f>+A2081+1</f>
        <v>715</v>
      </c>
      <c r="B2083" s="168" t="s">
        <v>2222</v>
      </c>
      <c r="C2083" s="108" t="s">
        <v>2305</v>
      </c>
      <c r="D2083" s="109"/>
      <c r="E2083" s="110"/>
      <c r="F2083" s="78" t="s">
        <v>742</v>
      </c>
      <c r="G2083" s="107" t="str">
        <f>+VLOOKUP(715,prueba!$D$2:$E$733,2,FALSE)</f>
        <v>TÉCNICA</v>
      </c>
      <c r="H2083" s="52" t="s">
        <v>2306</v>
      </c>
    </row>
    <row r="2084" spans="1:8" ht="30" customHeight="1" x14ac:dyDescent="0.25">
      <c r="A2084" s="76">
        <f>+A2083+1</f>
        <v>716</v>
      </c>
      <c r="B2084" s="165" t="s">
        <v>2222</v>
      </c>
      <c r="C2084" s="63" t="s">
        <v>2307</v>
      </c>
      <c r="D2084" s="64"/>
      <c r="E2084" s="65"/>
      <c r="F2084" s="56" t="s">
        <v>742</v>
      </c>
      <c r="G2084" s="84" t="str">
        <f>+VLOOKUP(716,prueba!$D$2:$E$733,2,FALSE)</f>
        <v>TÉCNICA</v>
      </c>
      <c r="H2084" s="50" t="s">
        <v>2308</v>
      </c>
    </row>
    <row r="2085" spans="1:8" ht="30" customHeight="1" thickBot="1" x14ac:dyDescent="0.3">
      <c r="A2085" s="83"/>
      <c r="B2085" s="167" t="s">
        <v>2158</v>
      </c>
      <c r="C2085" s="88"/>
      <c r="D2085" s="89"/>
      <c r="E2085" s="90"/>
      <c r="F2085" s="78" t="s">
        <v>2309</v>
      </c>
      <c r="G2085" s="77"/>
      <c r="H2085" s="91"/>
    </row>
    <row r="2086" spans="1:8" ht="30" customHeight="1" thickBot="1" x14ac:dyDescent="0.3">
      <c r="A2086" s="313">
        <f>+A2084+1</f>
        <v>717</v>
      </c>
      <c r="B2086" s="168" t="s">
        <v>2222</v>
      </c>
      <c r="C2086" s="108" t="s">
        <v>2310</v>
      </c>
      <c r="D2086" s="109"/>
      <c r="E2086" s="110"/>
      <c r="F2086" s="78" t="s">
        <v>2311</v>
      </c>
      <c r="G2086" s="107" t="str">
        <f>+VLOOKUP(717,prueba!$D$2:$E$733,2,FALSE)</f>
        <v>TÉCNICA</v>
      </c>
      <c r="H2086" s="52" t="s">
        <v>8224</v>
      </c>
    </row>
    <row r="2087" spans="1:8" ht="30" customHeight="1" thickBot="1" x14ac:dyDescent="0.3">
      <c r="A2087" s="313">
        <f>+A2086+1</f>
        <v>718</v>
      </c>
      <c r="B2087" s="168" t="s">
        <v>2222</v>
      </c>
      <c r="C2087" s="108" t="s">
        <v>2312</v>
      </c>
      <c r="D2087" s="109"/>
      <c r="E2087" s="110"/>
      <c r="F2087" s="78" t="s">
        <v>2311</v>
      </c>
      <c r="G2087" s="107" t="str">
        <f>+VLOOKUP(718,prueba!$D$2:$E$733,2,FALSE)</f>
        <v>TÉCNICA</v>
      </c>
      <c r="H2087" s="52" t="s">
        <v>8225</v>
      </c>
    </row>
    <row r="2088" spans="1:8" ht="30" customHeight="1" x14ac:dyDescent="0.25">
      <c r="A2088" s="76">
        <f>+A2087+1</f>
        <v>719</v>
      </c>
      <c r="B2088" s="165" t="s">
        <v>2222</v>
      </c>
      <c r="C2088" s="63" t="s">
        <v>9768</v>
      </c>
      <c r="D2088" s="64"/>
      <c r="E2088" s="65"/>
      <c r="F2088" s="84" t="s">
        <v>2313</v>
      </c>
      <c r="G2088" s="84" t="str">
        <f>+VLOOKUP(719,prueba!$D$2:$E$733,2,FALSE)</f>
        <v>TÉCNICA</v>
      </c>
      <c r="H2088" s="50" t="s">
        <v>8226</v>
      </c>
    </row>
    <row r="2089" spans="1:8" ht="30" customHeight="1" x14ac:dyDescent="0.25">
      <c r="A2089" s="312"/>
      <c r="B2089" s="166" t="s">
        <v>2158</v>
      </c>
      <c r="C2089" s="53"/>
      <c r="D2089" s="54"/>
      <c r="E2089" s="55"/>
      <c r="F2089" s="85"/>
      <c r="G2089" s="85"/>
      <c r="H2089" s="86"/>
    </row>
    <row r="2090" spans="1:8" ht="30" customHeight="1" x14ac:dyDescent="0.25">
      <c r="A2090" s="312"/>
      <c r="B2090" s="166" t="s">
        <v>2158</v>
      </c>
      <c r="C2090" s="53" t="s">
        <v>2314</v>
      </c>
      <c r="D2090" s="54"/>
      <c r="E2090" s="55"/>
      <c r="F2090" s="85"/>
      <c r="G2090" s="85"/>
      <c r="H2090" s="86"/>
    </row>
    <row r="2091" spans="1:8" ht="30" customHeight="1" x14ac:dyDescent="0.25">
      <c r="A2091" s="312"/>
      <c r="B2091" s="166" t="s">
        <v>2158</v>
      </c>
      <c r="C2091" s="53"/>
      <c r="D2091" s="54"/>
      <c r="E2091" s="55"/>
      <c r="F2091" s="85"/>
      <c r="G2091" s="85"/>
      <c r="H2091" s="86"/>
    </row>
    <row r="2092" spans="1:8" ht="30" customHeight="1" thickBot="1" x14ac:dyDescent="0.3">
      <c r="A2092" s="83"/>
      <c r="B2092" s="167" t="s">
        <v>2158</v>
      </c>
      <c r="C2092" s="88" t="s">
        <v>2315</v>
      </c>
      <c r="D2092" s="89"/>
      <c r="E2092" s="90"/>
      <c r="F2092" s="77"/>
      <c r="G2092" s="77"/>
      <c r="H2092" s="91"/>
    </row>
    <row r="2093" spans="1:8" ht="30" customHeight="1" thickBot="1" x14ac:dyDescent="0.3">
      <c r="A2093" s="313">
        <f>+A2088+1</f>
        <v>720</v>
      </c>
      <c r="B2093" s="168" t="s">
        <v>2222</v>
      </c>
      <c r="C2093" s="108" t="s">
        <v>2316</v>
      </c>
      <c r="D2093" s="109"/>
      <c r="E2093" s="110"/>
      <c r="F2093" s="78" t="s">
        <v>2313</v>
      </c>
      <c r="G2093" s="107" t="str">
        <f>+VLOOKUP(720,prueba!$D$2:$E$733,2,FALSE)</f>
        <v>TÉCNICA</v>
      </c>
      <c r="H2093" s="52" t="s">
        <v>8292</v>
      </c>
    </row>
    <row r="2094" spans="1:8" ht="30" customHeight="1" thickBot="1" x14ac:dyDescent="0.3">
      <c r="A2094" s="313">
        <f>+A2093+1</f>
        <v>721</v>
      </c>
      <c r="B2094" s="168" t="s">
        <v>2222</v>
      </c>
      <c r="C2094" s="108" t="s">
        <v>2317</v>
      </c>
      <c r="D2094" s="109"/>
      <c r="E2094" s="110"/>
      <c r="F2094" s="78" t="s">
        <v>2311</v>
      </c>
      <c r="G2094" s="107" t="str">
        <f>+VLOOKUP(721,prueba!$D$2:$E$733,2,FALSE)</f>
        <v>TÉCNICA</v>
      </c>
      <c r="H2094" s="52" t="s">
        <v>8227</v>
      </c>
    </row>
    <row r="2095" spans="1:8" ht="30" customHeight="1" thickBot="1" x14ac:dyDescent="0.3">
      <c r="A2095" s="313">
        <f>+A2094+1</f>
        <v>722</v>
      </c>
      <c r="B2095" s="168" t="s">
        <v>2222</v>
      </c>
      <c r="C2095" s="108" t="s">
        <v>2318</v>
      </c>
      <c r="D2095" s="109"/>
      <c r="E2095" s="110"/>
      <c r="F2095" s="78" t="s">
        <v>2319</v>
      </c>
      <c r="G2095" s="107" t="str">
        <f>+VLOOKUP(722,prueba!$D$2:$E$733,2,FALSE)</f>
        <v xml:space="preserve">TÉCNICA </v>
      </c>
      <c r="H2095" s="52" t="s">
        <v>9240</v>
      </c>
    </row>
    <row r="2096" spans="1:8" ht="30" customHeight="1" x14ac:dyDescent="0.25">
      <c r="A2096" s="76">
        <f>+A2095+1</f>
        <v>723</v>
      </c>
      <c r="B2096" s="165" t="s">
        <v>2222</v>
      </c>
      <c r="C2096" s="63" t="s">
        <v>2320</v>
      </c>
      <c r="D2096" s="64"/>
      <c r="E2096" s="65"/>
      <c r="F2096" s="84" t="s">
        <v>2321</v>
      </c>
      <c r="G2096" s="84" t="str">
        <f>+VLOOKUP(723,prueba!$D$2:$E$733,2,FALSE)</f>
        <v xml:space="preserve">TÉCNICA - </v>
      </c>
      <c r="H2096" s="50" t="s">
        <v>7130</v>
      </c>
    </row>
    <row r="2097" spans="1:8" ht="30" customHeight="1" x14ac:dyDescent="0.25">
      <c r="A2097" s="312"/>
      <c r="B2097" s="166" t="s">
        <v>2158</v>
      </c>
      <c r="C2097" s="53"/>
      <c r="D2097" s="54"/>
      <c r="E2097" s="55"/>
      <c r="F2097" s="85"/>
      <c r="G2097" s="85"/>
      <c r="H2097" s="86"/>
    </row>
    <row r="2098" spans="1:8" ht="30" customHeight="1" thickBot="1" x14ac:dyDescent="0.3">
      <c r="A2098" s="83"/>
      <c r="B2098" s="167" t="s">
        <v>2158</v>
      </c>
      <c r="C2098" s="88" t="s">
        <v>2322</v>
      </c>
      <c r="D2098" s="89"/>
      <c r="E2098" s="90"/>
      <c r="F2098" s="77"/>
      <c r="G2098" s="77"/>
      <c r="H2098" s="91"/>
    </row>
    <row r="2099" spans="1:8" ht="30" customHeight="1" x14ac:dyDescent="0.25">
      <c r="A2099" s="76">
        <f>+A2096+1</f>
        <v>724</v>
      </c>
      <c r="B2099" s="165" t="s">
        <v>2222</v>
      </c>
      <c r="C2099" s="63" t="s">
        <v>2323</v>
      </c>
      <c r="D2099" s="64"/>
      <c r="E2099" s="65"/>
      <c r="F2099" s="84" t="s">
        <v>2324</v>
      </c>
      <c r="G2099" s="84" t="str">
        <f>+VLOOKUP(724,prueba!$D$2:$E$733,2,FALSE)</f>
        <v>FINANCIERO</v>
      </c>
      <c r="H2099" s="50" t="s">
        <v>8411</v>
      </c>
    </row>
    <row r="2100" spans="1:8" ht="30" customHeight="1" thickBot="1" x14ac:dyDescent="0.3">
      <c r="A2100" s="83"/>
      <c r="B2100" s="167" t="s">
        <v>2158</v>
      </c>
      <c r="C2100" s="88" t="s">
        <v>2325</v>
      </c>
      <c r="D2100" s="89"/>
      <c r="E2100" s="90"/>
      <c r="F2100" s="77"/>
      <c r="G2100" s="77"/>
      <c r="H2100" s="91"/>
    </row>
    <row r="2101" spans="1:8" ht="30" customHeight="1" thickBot="1" x14ac:dyDescent="0.3">
      <c r="A2101" s="313">
        <f>+A2099+1</f>
        <v>725</v>
      </c>
      <c r="B2101" s="168" t="s">
        <v>2222</v>
      </c>
      <c r="C2101" s="108" t="s">
        <v>2326</v>
      </c>
      <c r="D2101" s="109"/>
      <c r="E2101" s="110"/>
      <c r="F2101" s="78" t="s">
        <v>2327</v>
      </c>
      <c r="G2101" s="107" t="str">
        <f>+VLOOKUP(725,prueba!$D$2:$E$733,2,FALSE)</f>
        <v>TÉCNICA</v>
      </c>
      <c r="H2101" s="52" t="s">
        <v>9240</v>
      </c>
    </row>
    <row r="2102" spans="1:8" ht="30" customHeight="1" x14ac:dyDescent="0.25">
      <c r="A2102" s="76">
        <f>+A2101+1</f>
        <v>726</v>
      </c>
      <c r="B2102" s="165" t="s">
        <v>2222</v>
      </c>
      <c r="C2102" s="63" t="s">
        <v>2328</v>
      </c>
      <c r="D2102" s="64"/>
      <c r="E2102" s="65"/>
      <c r="F2102" s="84" t="s">
        <v>2329</v>
      </c>
      <c r="G2102" s="84" t="str">
        <f>+VLOOKUP(726,prueba!$D$2:$E$733,2,FALSE)</f>
        <v>TÉCNICA</v>
      </c>
      <c r="H2102" s="50" t="s">
        <v>7131</v>
      </c>
    </row>
    <row r="2103" spans="1:8" ht="30" customHeight="1" x14ac:dyDescent="0.25">
      <c r="A2103" s="312"/>
      <c r="B2103" s="166" t="s">
        <v>2158</v>
      </c>
      <c r="C2103" s="53"/>
      <c r="D2103" s="54"/>
      <c r="E2103" s="55"/>
      <c r="F2103" s="85"/>
      <c r="G2103" s="85"/>
      <c r="H2103" s="86"/>
    </row>
    <row r="2104" spans="1:8" ht="30" customHeight="1" thickBot="1" x14ac:dyDescent="0.3">
      <c r="A2104" s="83"/>
      <c r="B2104" s="167" t="s">
        <v>2158</v>
      </c>
      <c r="C2104" s="88" t="s">
        <v>2330</v>
      </c>
      <c r="D2104" s="89"/>
      <c r="E2104" s="90"/>
      <c r="F2104" s="77"/>
      <c r="G2104" s="77"/>
      <c r="H2104" s="91"/>
    </row>
    <row r="2105" spans="1:8" ht="30" customHeight="1" x14ac:dyDescent="0.25">
      <c r="A2105" s="76">
        <f>+A2102+1</f>
        <v>727</v>
      </c>
      <c r="B2105" s="165" t="s">
        <v>2222</v>
      </c>
      <c r="C2105" s="63" t="s">
        <v>2331</v>
      </c>
      <c r="D2105" s="64"/>
      <c r="E2105" s="65"/>
      <c r="F2105" s="84" t="s">
        <v>2332</v>
      </c>
      <c r="G2105" s="84" t="str">
        <f>+VLOOKUP(727,prueba!$D$2:$E$733,2,FALSE)</f>
        <v>JURÍDICA ESTRCUTURACIÓN</v>
      </c>
      <c r="H2105" s="50" t="s">
        <v>8678</v>
      </c>
    </row>
    <row r="2106" spans="1:8" ht="30" customHeight="1" x14ac:dyDescent="0.25">
      <c r="A2106" s="312"/>
      <c r="B2106" s="166" t="s">
        <v>2158</v>
      </c>
      <c r="C2106" s="53"/>
      <c r="D2106" s="54"/>
      <c r="E2106" s="55"/>
      <c r="F2106" s="85"/>
      <c r="G2106" s="85"/>
      <c r="H2106" s="86"/>
    </row>
    <row r="2107" spans="1:8" ht="30" customHeight="1" thickBot="1" x14ac:dyDescent="0.3">
      <c r="A2107" s="83"/>
      <c r="B2107" s="167" t="s">
        <v>2158</v>
      </c>
      <c r="C2107" s="88" t="s">
        <v>2333</v>
      </c>
      <c r="D2107" s="89"/>
      <c r="E2107" s="90"/>
      <c r="F2107" s="77"/>
      <c r="G2107" s="77"/>
      <c r="H2107" s="91"/>
    </row>
    <row r="2108" spans="1:8" ht="30" customHeight="1" x14ac:dyDescent="0.25">
      <c r="A2108" s="76">
        <f>+A2105+1</f>
        <v>728</v>
      </c>
      <c r="B2108" s="165" t="s">
        <v>2222</v>
      </c>
      <c r="C2108" s="63" t="s">
        <v>2334</v>
      </c>
      <c r="D2108" s="64"/>
      <c r="E2108" s="65"/>
      <c r="F2108" s="84" t="s">
        <v>2335</v>
      </c>
      <c r="G2108" s="84" t="str">
        <f>+VLOOKUP(728,prueba!$D$2:$E$733,2,FALSE)</f>
        <v>JURÍDICA</v>
      </c>
      <c r="H2108" s="50" t="s">
        <v>2336</v>
      </c>
    </row>
    <row r="2109" spans="1:8" ht="30" customHeight="1" x14ac:dyDescent="0.25">
      <c r="A2109" s="312"/>
      <c r="B2109" s="166" t="s">
        <v>2158</v>
      </c>
      <c r="C2109" s="53"/>
      <c r="D2109" s="54"/>
      <c r="E2109" s="55"/>
      <c r="F2109" s="85"/>
      <c r="G2109" s="85"/>
      <c r="H2109" s="86"/>
    </row>
    <row r="2110" spans="1:8" ht="30" customHeight="1" thickBot="1" x14ac:dyDescent="0.3">
      <c r="A2110" s="83"/>
      <c r="B2110" s="167" t="s">
        <v>2158</v>
      </c>
      <c r="C2110" s="88" t="s">
        <v>9769</v>
      </c>
      <c r="D2110" s="89"/>
      <c r="E2110" s="90"/>
      <c r="F2110" s="77"/>
      <c r="G2110" s="77"/>
      <c r="H2110" s="91"/>
    </row>
    <row r="2111" spans="1:8" ht="30" customHeight="1" x14ac:dyDescent="0.25">
      <c r="A2111" s="76">
        <f>+A2108+1</f>
        <v>729</v>
      </c>
      <c r="B2111" s="165" t="s">
        <v>2222</v>
      </c>
      <c r="C2111" s="63" t="s">
        <v>2337</v>
      </c>
      <c r="D2111" s="64"/>
      <c r="E2111" s="65"/>
      <c r="F2111" s="84" t="s">
        <v>2338</v>
      </c>
      <c r="G2111" s="84" t="str">
        <f>+VLOOKUP(729,prueba!$D$2:$E$733,2,FALSE)</f>
        <v xml:space="preserve">DEFENSA JUDICIAL </v>
      </c>
      <c r="H2111" s="50" t="s">
        <v>8679</v>
      </c>
    </row>
    <row r="2112" spans="1:8" ht="30" customHeight="1" x14ac:dyDescent="0.25">
      <c r="A2112" s="312"/>
      <c r="B2112" s="166" t="s">
        <v>2158</v>
      </c>
      <c r="C2112" s="53"/>
      <c r="D2112" s="54"/>
      <c r="E2112" s="55"/>
      <c r="F2112" s="85"/>
      <c r="G2112" s="85"/>
      <c r="H2112" s="86"/>
    </row>
    <row r="2113" spans="1:8" ht="30" customHeight="1" thickBot="1" x14ac:dyDescent="0.3">
      <c r="A2113" s="83"/>
      <c r="B2113" s="167" t="s">
        <v>2158</v>
      </c>
      <c r="C2113" s="88" t="s">
        <v>2339</v>
      </c>
      <c r="D2113" s="89"/>
      <c r="E2113" s="90"/>
      <c r="F2113" s="77"/>
      <c r="G2113" s="77"/>
      <c r="H2113" s="91"/>
    </row>
    <row r="2114" spans="1:8" ht="30" customHeight="1" x14ac:dyDescent="0.25">
      <c r="A2114" s="76">
        <f>+A2111+1</f>
        <v>730</v>
      </c>
      <c r="B2114" s="165" t="s">
        <v>2222</v>
      </c>
      <c r="C2114" s="63" t="s">
        <v>2340</v>
      </c>
      <c r="D2114" s="64"/>
      <c r="E2114" s="65"/>
      <c r="F2114" s="84" t="s">
        <v>2341</v>
      </c>
      <c r="G2114" s="84" t="str">
        <f>+VLOOKUP(730,prueba!$D$2:$E$733,2,FALSE)</f>
        <v xml:space="preserve">FIANICERA – </v>
      </c>
      <c r="H2114" s="50" t="s">
        <v>8547</v>
      </c>
    </row>
    <row r="2115" spans="1:8" ht="30" customHeight="1" x14ac:dyDescent="0.25">
      <c r="A2115" s="312"/>
      <c r="B2115" s="166" t="s">
        <v>2158</v>
      </c>
      <c r="C2115" s="53"/>
      <c r="D2115" s="54"/>
      <c r="E2115" s="55"/>
      <c r="F2115" s="85"/>
      <c r="G2115" s="85"/>
      <c r="H2115" s="86"/>
    </row>
    <row r="2116" spans="1:8" ht="30" customHeight="1" x14ac:dyDescent="0.25">
      <c r="A2116" s="312"/>
      <c r="B2116" s="166" t="s">
        <v>2158</v>
      </c>
      <c r="C2116" s="53" t="s">
        <v>2342</v>
      </c>
      <c r="D2116" s="54"/>
      <c r="E2116" s="55"/>
      <c r="F2116" s="85"/>
      <c r="G2116" s="85"/>
      <c r="H2116" s="86"/>
    </row>
    <row r="2117" spans="1:8" ht="30" customHeight="1" x14ac:dyDescent="0.25">
      <c r="A2117" s="312"/>
      <c r="B2117" s="166" t="s">
        <v>2158</v>
      </c>
      <c r="C2117" s="53"/>
      <c r="D2117" s="54"/>
      <c r="E2117" s="55"/>
      <c r="F2117" s="85"/>
      <c r="G2117" s="85"/>
      <c r="H2117" s="86"/>
    </row>
    <row r="2118" spans="1:8" ht="30" customHeight="1" thickBot="1" x14ac:dyDescent="0.3">
      <c r="A2118" s="83"/>
      <c r="B2118" s="167" t="s">
        <v>2158</v>
      </c>
      <c r="C2118" s="88" t="s">
        <v>2343</v>
      </c>
      <c r="D2118" s="89"/>
      <c r="E2118" s="90"/>
      <c r="F2118" s="77"/>
      <c r="G2118" s="77"/>
      <c r="H2118" s="91"/>
    </row>
    <row r="2119" spans="1:8" ht="30" customHeight="1" thickBot="1" x14ac:dyDescent="0.3">
      <c r="A2119" s="313">
        <f>+A2114+1</f>
        <v>731</v>
      </c>
      <c r="B2119" s="168" t="s">
        <v>2222</v>
      </c>
      <c r="C2119" s="108" t="s">
        <v>2344</v>
      </c>
      <c r="D2119" s="109"/>
      <c r="E2119" s="110"/>
      <c r="F2119" s="78" t="s">
        <v>2341</v>
      </c>
      <c r="G2119" s="107" t="str">
        <f>+VLOOKUP(731,prueba!$D$2:$E$733,2,FALSE)</f>
        <v>FINANCIERA</v>
      </c>
      <c r="H2119" s="52" t="s">
        <v>8548</v>
      </c>
    </row>
    <row r="2120" spans="1:8" ht="30" customHeight="1" x14ac:dyDescent="0.25">
      <c r="A2120" s="76">
        <f>+A2119+1</f>
        <v>732</v>
      </c>
      <c r="B2120" s="165" t="s">
        <v>2345</v>
      </c>
      <c r="C2120" s="63" t="s">
        <v>2346</v>
      </c>
      <c r="D2120" s="64"/>
      <c r="E2120" s="65"/>
      <c r="F2120" s="84" t="s">
        <v>2347</v>
      </c>
      <c r="G2120" s="84" t="str">
        <f>+VLOOKUP(732,prueba!$D$2:$E$733,2,FALSE)</f>
        <v>FINANCIERA – RIESGOS</v>
      </c>
      <c r="H2120" s="50" t="s">
        <v>8549</v>
      </c>
    </row>
    <row r="2121" spans="1:8" ht="30" customHeight="1" x14ac:dyDescent="0.25">
      <c r="A2121" s="312"/>
      <c r="B2121" s="166" t="s">
        <v>2158</v>
      </c>
      <c r="C2121" s="53" t="s">
        <v>2348</v>
      </c>
      <c r="D2121" s="54"/>
      <c r="E2121" s="55"/>
      <c r="F2121" s="85"/>
      <c r="G2121" s="85"/>
      <c r="H2121" s="86"/>
    </row>
    <row r="2122" spans="1:8" ht="30" customHeight="1" x14ac:dyDescent="0.25">
      <c r="A2122" s="312"/>
      <c r="B2122" s="166" t="s">
        <v>2158</v>
      </c>
      <c r="C2122" s="53" t="s">
        <v>2349</v>
      </c>
      <c r="D2122" s="54"/>
      <c r="E2122" s="55"/>
      <c r="F2122" s="85"/>
      <c r="G2122" s="85"/>
      <c r="H2122" s="86"/>
    </row>
    <row r="2123" spans="1:8" ht="30" customHeight="1" x14ac:dyDescent="0.25">
      <c r="A2123" s="312"/>
      <c r="B2123" s="166" t="s">
        <v>2158</v>
      </c>
      <c r="C2123" s="53" t="s">
        <v>2350</v>
      </c>
      <c r="D2123" s="54"/>
      <c r="E2123" s="55"/>
      <c r="F2123" s="85"/>
      <c r="G2123" s="85"/>
      <c r="H2123" s="86"/>
    </row>
    <row r="2124" spans="1:8" ht="30" customHeight="1" x14ac:dyDescent="0.25">
      <c r="A2124" s="312"/>
      <c r="B2124" s="166" t="s">
        <v>2158</v>
      </c>
      <c r="C2124" s="53" t="s">
        <v>2351</v>
      </c>
      <c r="D2124" s="54"/>
      <c r="E2124" s="55"/>
      <c r="F2124" s="85"/>
      <c r="G2124" s="85"/>
      <c r="H2124" s="86"/>
    </row>
    <row r="2125" spans="1:8" ht="30" customHeight="1" x14ac:dyDescent="0.25">
      <c r="A2125" s="312"/>
      <c r="B2125" s="166" t="s">
        <v>2158</v>
      </c>
      <c r="C2125" s="53" t="s">
        <v>2352</v>
      </c>
      <c r="D2125" s="54"/>
      <c r="E2125" s="55"/>
      <c r="F2125" s="85"/>
      <c r="G2125" s="85"/>
      <c r="H2125" s="86"/>
    </row>
    <row r="2126" spans="1:8" ht="30" customHeight="1" x14ac:dyDescent="0.25">
      <c r="A2126" s="312"/>
      <c r="B2126" s="166" t="s">
        <v>2158</v>
      </c>
      <c r="C2126" s="53" t="s">
        <v>2353</v>
      </c>
      <c r="D2126" s="54"/>
      <c r="E2126" s="55"/>
      <c r="F2126" s="85"/>
      <c r="G2126" s="85"/>
      <c r="H2126" s="86"/>
    </row>
    <row r="2127" spans="1:8" ht="30" customHeight="1" thickBot="1" x14ac:dyDescent="0.3">
      <c r="A2127" s="83"/>
      <c r="B2127" s="167" t="s">
        <v>2158</v>
      </c>
      <c r="C2127" s="88" t="s">
        <v>2354</v>
      </c>
      <c r="D2127" s="89"/>
      <c r="E2127" s="90"/>
      <c r="F2127" s="77"/>
      <c r="G2127" s="77"/>
      <c r="H2127" s="91"/>
    </row>
    <row r="2128" spans="1:8" ht="30" customHeight="1" x14ac:dyDescent="0.25">
      <c r="A2128" s="76">
        <v>733</v>
      </c>
      <c r="B2128" s="169" t="s">
        <v>2355</v>
      </c>
      <c r="C2128" s="170"/>
      <c r="D2128" s="171"/>
      <c r="E2128" s="153"/>
      <c r="F2128" s="50" t="s">
        <v>1030</v>
      </c>
      <c r="G2128" s="84" t="s">
        <v>322</v>
      </c>
      <c r="H2128" s="50" t="s">
        <v>349</v>
      </c>
    </row>
    <row r="2129" spans="1:8" ht="30" customHeight="1" x14ac:dyDescent="0.25">
      <c r="A2129" s="312"/>
      <c r="B2129" s="172" t="s">
        <v>575</v>
      </c>
      <c r="C2129" s="173" t="s">
        <v>9770</v>
      </c>
      <c r="D2129" s="174"/>
      <c r="E2129" s="175"/>
      <c r="F2129" s="86"/>
      <c r="G2129" s="85"/>
      <c r="H2129" s="86"/>
    </row>
    <row r="2130" spans="1:8" ht="30" customHeight="1" x14ac:dyDescent="0.25">
      <c r="A2130" s="312"/>
      <c r="B2130" s="45"/>
      <c r="C2130" s="176"/>
      <c r="D2130" s="177"/>
      <c r="E2130" s="178"/>
      <c r="F2130" s="86"/>
      <c r="G2130" s="85"/>
      <c r="H2130" s="86"/>
    </row>
    <row r="2131" spans="1:8" ht="30" customHeight="1" x14ac:dyDescent="0.25">
      <c r="A2131" s="312"/>
      <c r="B2131" s="45"/>
      <c r="C2131" s="124" t="s">
        <v>2356</v>
      </c>
      <c r="D2131" s="143"/>
      <c r="E2131" s="126"/>
      <c r="F2131" s="86"/>
      <c r="G2131" s="85"/>
      <c r="H2131" s="86"/>
    </row>
    <row r="2132" spans="1:8" ht="30" customHeight="1" x14ac:dyDescent="0.25">
      <c r="A2132" s="312"/>
      <c r="B2132" s="45"/>
      <c r="C2132" s="124"/>
      <c r="D2132" s="143"/>
      <c r="E2132" s="126"/>
      <c r="F2132" s="86"/>
      <c r="G2132" s="85"/>
      <c r="H2132" s="86"/>
    </row>
    <row r="2133" spans="1:8" ht="30" customHeight="1" x14ac:dyDescent="0.25">
      <c r="A2133" s="312"/>
      <c r="B2133" s="45"/>
      <c r="C2133" s="124" t="s">
        <v>2357</v>
      </c>
      <c r="D2133" s="143"/>
      <c r="E2133" s="126"/>
      <c r="F2133" s="86"/>
      <c r="G2133" s="85"/>
      <c r="H2133" s="86"/>
    </row>
    <row r="2134" spans="1:8" ht="30" customHeight="1" x14ac:dyDescent="0.25">
      <c r="A2134" s="312"/>
      <c r="B2134" s="45"/>
      <c r="C2134" s="124"/>
      <c r="D2134" s="143"/>
      <c r="E2134" s="126"/>
      <c r="F2134" s="86"/>
      <c r="G2134" s="85"/>
      <c r="H2134" s="86"/>
    </row>
    <row r="2135" spans="1:8" ht="30" customHeight="1" x14ac:dyDescent="0.25">
      <c r="A2135" s="312"/>
      <c r="B2135" s="45"/>
      <c r="C2135" s="124" t="s">
        <v>2358</v>
      </c>
      <c r="D2135" s="143"/>
      <c r="E2135" s="126"/>
      <c r="F2135" s="86"/>
      <c r="G2135" s="85"/>
      <c r="H2135" s="86"/>
    </row>
    <row r="2136" spans="1:8" ht="30" customHeight="1" x14ac:dyDescent="0.25">
      <c r="A2136" s="312"/>
      <c r="B2136" s="45"/>
      <c r="C2136" s="124"/>
      <c r="D2136" s="143"/>
      <c r="E2136" s="126"/>
      <c r="F2136" s="86"/>
      <c r="G2136" s="85"/>
      <c r="H2136" s="86"/>
    </row>
    <row r="2137" spans="1:8" ht="30" customHeight="1" x14ac:dyDescent="0.25">
      <c r="A2137" s="312"/>
      <c r="B2137" s="45"/>
      <c r="C2137" s="124" t="s">
        <v>2359</v>
      </c>
      <c r="D2137" s="143"/>
      <c r="E2137" s="126"/>
      <c r="F2137" s="86"/>
      <c r="G2137" s="85"/>
      <c r="H2137" s="86"/>
    </row>
    <row r="2138" spans="1:8" ht="30" customHeight="1" x14ac:dyDescent="0.25">
      <c r="A2138" s="312"/>
      <c r="B2138" s="45"/>
      <c r="C2138" s="124"/>
      <c r="D2138" s="143"/>
      <c r="E2138" s="126"/>
      <c r="F2138" s="86"/>
      <c r="G2138" s="85"/>
      <c r="H2138" s="86"/>
    </row>
    <row r="2139" spans="1:8" ht="30" customHeight="1" thickBot="1" x14ac:dyDescent="0.3">
      <c r="A2139" s="83"/>
      <c r="B2139" s="46"/>
      <c r="C2139" s="124" t="s">
        <v>2360</v>
      </c>
      <c r="D2139" s="143"/>
      <c r="E2139" s="126"/>
      <c r="F2139" s="91"/>
      <c r="G2139" s="77"/>
      <c r="H2139" s="91"/>
    </row>
  </sheetData>
  <autoFilter ref="A15:H2139" xr:uid="{00000000-0009-0000-0000-000000000000}">
    <filterColumn colId="2" showButton="0"/>
    <filterColumn colId="3" showButton="0"/>
  </autoFilter>
  <mergeCells count="3563">
    <mergeCell ref="A1:F1"/>
    <mergeCell ref="A2:B4"/>
    <mergeCell ref="C2:E2"/>
    <mergeCell ref="D3:E3"/>
    <mergeCell ref="D4:E4"/>
    <mergeCell ref="A5:F5"/>
    <mergeCell ref="A8:F8"/>
    <mergeCell ref="B10:F10"/>
    <mergeCell ref="B12:H13"/>
    <mergeCell ref="A11:H11"/>
    <mergeCell ref="H15:H16"/>
    <mergeCell ref="A17:A20"/>
    <mergeCell ref="C17:E17"/>
    <mergeCell ref="F17:F20"/>
    <mergeCell ref="A15:A16"/>
    <mergeCell ref="C15:E16"/>
    <mergeCell ref="F15:F16"/>
    <mergeCell ref="G15:G16"/>
    <mergeCell ref="A30:A38"/>
    <mergeCell ref="C30:E30"/>
    <mergeCell ref="C22:E22"/>
    <mergeCell ref="C23:E23"/>
    <mergeCell ref="C24:E24"/>
    <mergeCell ref="C25:E25"/>
    <mergeCell ref="C26:E26"/>
    <mergeCell ref="C27:E27"/>
    <mergeCell ref="H21:H29"/>
    <mergeCell ref="C18:E18"/>
    <mergeCell ref="C19:E19"/>
    <mergeCell ref="C20:E20"/>
    <mergeCell ref="A21:A29"/>
    <mergeCell ref="C21:E21"/>
    <mergeCell ref="F21:F29"/>
    <mergeCell ref="G21:G29"/>
    <mergeCell ref="G17:G20"/>
    <mergeCell ref="H17:H20"/>
    <mergeCell ref="C31:E31"/>
    <mergeCell ref="C32:E32"/>
    <mergeCell ref="C33:E33"/>
    <mergeCell ref="C34:E34"/>
    <mergeCell ref="C35:E35"/>
    <mergeCell ref="C36:E36"/>
    <mergeCell ref="C37:E37"/>
    <mergeCell ref="C38:E38"/>
    <mergeCell ref="G30:G38"/>
    <mergeCell ref="H30:H38"/>
    <mergeCell ref="C28:E28"/>
    <mergeCell ref="C29:E29"/>
    <mergeCell ref="H42:H46"/>
    <mergeCell ref="A42:A46"/>
    <mergeCell ref="C42:E42"/>
    <mergeCell ref="F42:F46"/>
    <mergeCell ref="G42:G46"/>
    <mergeCell ref="C43:E43"/>
    <mergeCell ref="C44:E44"/>
    <mergeCell ref="C45:E45"/>
    <mergeCell ref="C46:E46"/>
    <mergeCell ref="H39:H41"/>
    <mergeCell ref="A39:A41"/>
    <mergeCell ref="F39:F41"/>
    <mergeCell ref="G39:G41"/>
    <mergeCell ref="C39:E41"/>
    <mergeCell ref="H50:H54"/>
    <mergeCell ref="C51:E51"/>
    <mergeCell ref="C52:E52"/>
    <mergeCell ref="C53:E53"/>
    <mergeCell ref="C54:E54"/>
    <mergeCell ref="A50:A54"/>
    <mergeCell ref="C50:E50"/>
    <mergeCell ref="G50:G54"/>
    <mergeCell ref="H47:H49"/>
    <mergeCell ref="A47:A49"/>
    <mergeCell ref="C47:E47"/>
    <mergeCell ref="F47:F49"/>
    <mergeCell ref="G47:G49"/>
    <mergeCell ref="C48:E48"/>
    <mergeCell ref="C49:E49"/>
    <mergeCell ref="H57:H59"/>
    <mergeCell ref="A57:A59"/>
    <mergeCell ref="C57:E59"/>
    <mergeCell ref="F57:F59"/>
    <mergeCell ref="G57:G59"/>
    <mergeCell ref="H55:H56"/>
    <mergeCell ref="A55:A56"/>
    <mergeCell ref="C55:E55"/>
    <mergeCell ref="F55:F56"/>
    <mergeCell ref="G55:G56"/>
    <mergeCell ref="C56:E56"/>
    <mergeCell ref="H63:H65"/>
    <mergeCell ref="A63:A65"/>
    <mergeCell ref="C63:E65"/>
    <mergeCell ref="F63:F65"/>
    <mergeCell ref="G63:G65"/>
    <mergeCell ref="H60:H62"/>
    <mergeCell ref="A60:A62"/>
    <mergeCell ref="C60:E62"/>
    <mergeCell ref="F60:F62"/>
    <mergeCell ref="G60:G62"/>
    <mergeCell ref="H69:H71"/>
    <mergeCell ref="A69:A71"/>
    <mergeCell ref="C69:E71"/>
    <mergeCell ref="F69:F71"/>
    <mergeCell ref="G69:G71"/>
    <mergeCell ref="H66:H68"/>
    <mergeCell ref="A66:A68"/>
    <mergeCell ref="C66:E68"/>
    <mergeCell ref="F66:F68"/>
    <mergeCell ref="G66:G68"/>
    <mergeCell ref="C76:E76"/>
    <mergeCell ref="A77:A78"/>
    <mergeCell ref="B77:B78"/>
    <mergeCell ref="C77:E78"/>
    <mergeCell ref="H72:H74"/>
    <mergeCell ref="C75:E75"/>
    <mergeCell ref="A72:A74"/>
    <mergeCell ref="C72:E74"/>
    <mergeCell ref="G72:G74"/>
    <mergeCell ref="C82:E82"/>
    <mergeCell ref="C83:E83"/>
    <mergeCell ref="C84:E84"/>
    <mergeCell ref="C85:E85"/>
    <mergeCell ref="C86:E86"/>
    <mergeCell ref="C87:E87"/>
    <mergeCell ref="H81:H82"/>
    <mergeCell ref="C79:E79"/>
    <mergeCell ref="C80:E80"/>
    <mergeCell ref="A81:A82"/>
    <mergeCell ref="B81:B82"/>
    <mergeCell ref="C81:E81"/>
    <mergeCell ref="F81:F82"/>
    <mergeCell ref="G81:G82"/>
    <mergeCell ref="G77:G78"/>
    <mergeCell ref="H77:H78"/>
    <mergeCell ref="A93:A94"/>
    <mergeCell ref="B93:B94"/>
    <mergeCell ref="C93:E94"/>
    <mergeCell ref="F90:F91"/>
    <mergeCell ref="G90:G91"/>
    <mergeCell ref="H90:H91"/>
    <mergeCell ref="C88:E88"/>
    <mergeCell ref="C89:E89"/>
    <mergeCell ref="A90:A91"/>
    <mergeCell ref="B90:B91"/>
    <mergeCell ref="C90:E90"/>
    <mergeCell ref="C95:E95"/>
    <mergeCell ref="C96:E96"/>
    <mergeCell ref="C97:E97"/>
    <mergeCell ref="C98:E98"/>
    <mergeCell ref="C99:E99"/>
    <mergeCell ref="G93:G94"/>
    <mergeCell ref="H93:H94"/>
    <mergeCell ref="C91:E91"/>
    <mergeCell ref="C92:E92"/>
    <mergeCell ref="C112:E112"/>
    <mergeCell ref="C113:E113"/>
    <mergeCell ref="C114:E114"/>
    <mergeCell ref="C115:E115"/>
    <mergeCell ref="C116:E116"/>
    <mergeCell ref="C117:E117"/>
    <mergeCell ref="C106:E106"/>
    <mergeCell ref="C107:E107"/>
    <mergeCell ref="C108:E108"/>
    <mergeCell ref="C109:E109"/>
    <mergeCell ref="C110:E110"/>
    <mergeCell ref="C111:E111"/>
    <mergeCell ref="C100:E100"/>
    <mergeCell ref="C101:E101"/>
    <mergeCell ref="C102:E102"/>
    <mergeCell ref="C103:E103"/>
    <mergeCell ref="C104:E104"/>
    <mergeCell ref="C105:E105"/>
    <mergeCell ref="C124:E124"/>
    <mergeCell ref="C125:E125"/>
    <mergeCell ref="C126:E126"/>
    <mergeCell ref="C127:E127"/>
    <mergeCell ref="G122:G123"/>
    <mergeCell ref="H122:H123"/>
    <mergeCell ref="C118:E118"/>
    <mergeCell ref="C119:E119"/>
    <mergeCell ref="C120:E120"/>
    <mergeCell ref="C121:E121"/>
    <mergeCell ref="A122:A123"/>
    <mergeCell ref="B122:B123"/>
    <mergeCell ref="C122:E123"/>
    <mergeCell ref="C133:E133"/>
    <mergeCell ref="A134:A136"/>
    <mergeCell ref="B134:B136"/>
    <mergeCell ref="C134:E136"/>
    <mergeCell ref="G134:G136"/>
    <mergeCell ref="F132:F133"/>
    <mergeCell ref="G132:G133"/>
    <mergeCell ref="H132:H133"/>
    <mergeCell ref="C128:E128"/>
    <mergeCell ref="C129:E129"/>
    <mergeCell ref="C130:E130"/>
    <mergeCell ref="C131:E131"/>
    <mergeCell ref="A132:A133"/>
    <mergeCell ref="B132:B133"/>
    <mergeCell ref="C132:E132"/>
    <mergeCell ref="H137:H141"/>
    <mergeCell ref="A137:A141"/>
    <mergeCell ref="B137:B141"/>
    <mergeCell ref="C137:E137"/>
    <mergeCell ref="G137:G141"/>
    <mergeCell ref="C138:E138"/>
    <mergeCell ref="C139:E139"/>
    <mergeCell ref="C140:E140"/>
    <mergeCell ref="C141:E141"/>
    <mergeCell ref="H134:H136"/>
    <mergeCell ref="H145:H147"/>
    <mergeCell ref="A145:A147"/>
    <mergeCell ref="B145:B147"/>
    <mergeCell ref="C145:E147"/>
    <mergeCell ref="G145:G147"/>
    <mergeCell ref="H142:H144"/>
    <mergeCell ref="A142:A144"/>
    <mergeCell ref="B142:B144"/>
    <mergeCell ref="C142:E142"/>
    <mergeCell ref="G142:G144"/>
    <mergeCell ref="C143:E143"/>
    <mergeCell ref="C144:E144"/>
    <mergeCell ref="H151:H156"/>
    <mergeCell ref="A151:A156"/>
    <mergeCell ref="B151:B156"/>
    <mergeCell ref="C151:E156"/>
    <mergeCell ref="G151:G156"/>
    <mergeCell ref="H148:H150"/>
    <mergeCell ref="A148:A150"/>
    <mergeCell ref="B148:B150"/>
    <mergeCell ref="C148:E150"/>
    <mergeCell ref="G148:G150"/>
    <mergeCell ref="H160:H162"/>
    <mergeCell ref="A160:A162"/>
    <mergeCell ref="B160:B162"/>
    <mergeCell ref="C160:E162"/>
    <mergeCell ref="G160:G162"/>
    <mergeCell ref="H157:H159"/>
    <mergeCell ref="A157:A159"/>
    <mergeCell ref="B157:B159"/>
    <mergeCell ref="C157:E159"/>
    <mergeCell ref="G157:G159"/>
    <mergeCell ref="H167:H171"/>
    <mergeCell ref="A167:A171"/>
    <mergeCell ref="B167:B171"/>
    <mergeCell ref="C167:E171"/>
    <mergeCell ref="G167:G171"/>
    <mergeCell ref="H163:H166"/>
    <mergeCell ref="A163:A166"/>
    <mergeCell ref="B163:B166"/>
    <mergeCell ref="C163:E166"/>
    <mergeCell ref="G163:G166"/>
    <mergeCell ref="H175:H178"/>
    <mergeCell ref="A175:A178"/>
    <mergeCell ref="B175:B178"/>
    <mergeCell ref="G175:G178"/>
    <mergeCell ref="H172:H174"/>
    <mergeCell ref="A172:A174"/>
    <mergeCell ref="B172:B174"/>
    <mergeCell ref="C172:E174"/>
    <mergeCell ref="G172:G174"/>
    <mergeCell ref="C175:E178"/>
    <mergeCell ref="H184:H188"/>
    <mergeCell ref="A184:A188"/>
    <mergeCell ref="B184:B188"/>
    <mergeCell ref="C184:E188"/>
    <mergeCell ref="G184:G188"/>
    <mergeCell ref="H179:H183"/>
    <mergeCell ref="A179:A183"/>
    <mergeCell ref="B179:B183"/>
    <mergeCell ref="C179:E179"/>
    <mergeCell ref="G179:G183"/>
    <mergeCell ref="C180:E180"/>
    <mergeCell ref="C181:E181"/>
    <mergeCell ref="C182:E182"/>
    <mergeCell ref="C183:E183"/>
    <mergeCell ref="H192:H196"/>
    <mergeCell ref="A192:A196"/>
    <mergeCell ref="B192:B196"/>
    <mergeCell ref="C192:E196"/>
    <mergeCell ref="G192:G196"/>
    <mergeCell ref="H189:H191"/>
    <mergeCell ref="A189:A191"/>
    <mergeCell ref="B189:B191"/>
    <mergeCell ref="C189:E191"/>
    <mergeCell ref="G189:G191"/>
    <mergeCell ref="H200:H203"/>
    <mergeCell ref="A200:A203"/>
    <mergeCell ref="B200:B203"/>
    <mergeCell ref="C200:E203"/>
    <mergeCell ref="G200:G203"/>
    <mergeCell ref="H197:H199"/>
    <mergeCell ref="A197:A199"/>
    <mergeCell ref="B197:B199"/>
    <mergeCell ref="C197:E199"/>
    <mergeCell ref="G197:G199"/>
    <mergeCell ref="H208:H212"/>
    <mergeCell ref="A208:A212"/>
    <mergeCell ref="B208:B212"/>
    <mergeCell ref="C208:E212"/>
    <mergeCell ref="G208:G212"/>
    <mergeCell ref="H204:H207"/>
    <mergeCell ref="A204:A207"/>
    <mergeCell ref="B204:B207"/>
    <mergeCell ref="C204:E204"/>
    <mergeCell ref="G204:G207"/>
    <mergeCell ref="C205:E205"/>
    <mergeCell ref="C206:E206"/>
    <mergeCell ref="C207:E207"/>
    <mergeCell ref="H215:H219"/>
    <mergeCell ref="A215:A219"/>
    <mergeCell ref="B215:B219"/>
    <mergeCell ref="C215:E219"/>
    <mergeCell ref="G215:G219"/>
    <mergeCell ref="H213:H214"/>
    <mergeCell ref="A213:A214"/>
    <mergeCell ref="B213:B214"/>
    <mergeCell ref="C213:E214"/>
    <mergeCell ref="G213:G214"/>
    <mergeCell ref="C226:E226"/>
    <mergeCell ref="C227:E227"/>
    <mergeCell ref="C228:E228"/>
    <mergeCell ref="A229:A232"/>
    <mergeCell ref="B229:B232"/>
    <mergeCell ref="C229:E229"/>
    <mergeCell ref="C221:E221"/>
    <mergeCell ref="C222:E222"/>
    <mergeCell ref="C223:E223"/>
    <mergeCell ref="C224:E224"/>
    <mergeCell ref="C225:E225"/>
    <mergeCell ref="G220:G222"/>
    <mergeCell ref="H220:H222"/>
    <mergeCell ref="A220:A222"/>
    <mergeCell ref="B220:B222"/>
    <mergeCell ref="C220:E220"/>
    <mergeCell ref="F220:F222"/>
    <mergeCell ref="A237:A246"/>
    <mergeCell ref="B237:B246"/>
    <mergeCell ref="C237:E237"/>
    <mergeCell ref="C245:E245"/>
    <mergeCell ref="C246:E246"/>
    <mergeCell ref="C230:E230"/>
    <mergeCell ref="C231:E231"/>
    <mergeCell ref="C232:E232"/>
    <mergeCell ref="F229:F232"/>
    <mergeCell ref="G229:G232"/>
    <mergeCell ref="H229:H232"/>
    <mergeCell ref="C238:E238"/>
    <mergeCell ref="C239:E239"/>
    <mergeCell ref="C240:E240"/>
    <mergeCell ref="C241:E241"/>
    <mergeCell ref="C242:E242"/>
    <mergeCell ref="C243:E243"/>
    <mergeCell ref="C244:E244"/>
    <mergeCell ref="F237:F246"/>
    <mergeCell ref="G237:G246"/>
    <mergeCell ref="H237:H246"/>
    <mergeCell ref="C233:E233"/>
    <mergeCell ref="C234:E234"/>
    <mergeCell ref="C235:E235"/>
    <mergeCell ref="C236:E236"/>
    <mergeCell ref="C249:E249"/>
    <mergeCell ref="C250:E250"/>
    <mergeCell ref="C251:E251"/>
    <mergeCell ref="C252:E252"/>
    <mergeCell ref="G248:G250"/>
    <mergeCell ref="H248:H250"/>
    <mergeCell ref="C247:E247"/>
    <mergeCell ref="A248:A250"/>
    <mergeCell ref="B248:B250"/>
    <mergeCell ref="C248:E248"/>
    <mergeCell ref="F248:F250"/>
    <mergeCell ref="A263:A267"/>
    <mergeCell ref="B263:B267"/>
    <mergeCell ref="C263:E263"/>
    <mergeCell ref="C254:E254"/>
    <mergeCell ref="C255:E255"/>
    <mergeCell ref="C256:E256"/>
    <mergeCell ref="C257:E257"/>
    <mergeCell ref="C258:E258"/>
    <mergeCell ref="G253:G255"/>
    <mergeCell ref="H253:H255"/>
    <mergeCell ref="A253:A255"/>
    <mergeCell ref="B253:B255"/>
    <mergeCell ref="C253:E253"/>
    <mergeCell ref="F253:F255"/>
    <mergeCell ref="C264:E264"/>
    <mergeCell ref="C265:E265"/>
    <mergeCell ref="C266:E266"/>
    <mergeCell ref="C267:E267"/>
    <mergeCell ref="F263:F267"/>
    <mergeCell ref="G263:G267"/>
    <mergeCell ref="H263:H267"/>
    <mergeCell ref="C259:E259"/>
    <mergeCell ref="C260:E260"/>
    <mergeCell ref="C261:E261"/>
    <mergeCell ref="C262:E262"/>
    <mergeCell ref="A273:A277"/>
    <mergeCell ref="B273:B277"/>
    <mergeCell ref="C273:E273"/>
    <mergeCell ref="F273:F277"/>
    <mergeCell ref="G268:G272"/>
    <mergeCell ref="H268:H272"/>
    <mergeCell ref="A268:A272"/>
    <mergeCell ref="B268:B272"/>
    <mergeCell ref="C268:E268"/>
    <mergeCell ref="F268:F272"/>
    <mergeCell ref="C274:E274"/>
    <mergeCell ref="C275:E275"/>
    <mergeCell ref="C276:E276"/>
    <mergeCell ref="C277:E277"/>
    <mergeCell ref="G273:G277"/>
    <mergeCell ref="H273:H277"/>
    <mergeCell ref="C269:E269"/>
    <mergeCell ref="C270:E270"/>
    <mergeCell ref="C271:E271"/>
    <mergeCell ref="C272:E272"/>
    <mergeCell ref="C279:E279"/>
    <mergeCell ref="C280:E280"/>
    <mergeCell ref="C281:E281"/>
    <mergeCell ref="C282:E282"/>
    <mergeCell ref="C283:E283"/>
    <mergeCell ref="C284:E284"/>
    <mergeCell ref="G278:G284"/>
    <mergeCell ref="H278:H284"/>
    <mergeCell ref="A278:A284"/>
    <mergeCell ref="B278:B284"/>
    <mergeCell ref="C278:E278"/>
    <mergeCell ref="F278:F284"/>
    <mergeCell ref="F292:F294"/>
    <mergeCell ref="C286:E286"/>
    <mergeCell ref="C287:E287"/>
    <mergeCell ref="C288:E288"/>
    <mergeCell ref="C289:E289"/>
    <mergeCell ref="C290:E290"/>
    <mergeCell ref="C291:E291"/>
    <mergeCell ref="G285:G291"/>
    <mergeCell ref="H285:H291"/>
    <mergeCell ref="A285:A291"/>
    <mergeCell ref="B285:B291"/>
    <mergeCell ref="C285:E285"/>
    <mergeCell ref="F285:F291"/>
    <mergeCell ref="C296:E296"/>
    <mergeCell ref="C297:E297"/>
    <mergeCell ref="C298:E298"/>
    <mergeCell ref="C299:E299"/>
    <mergeCell ref="C300:E300"/>
    <mergeCell ref="C301:E301"/>
    <mergeCell ref="H295:H315"/>
    <mergeCell ref="C294:E294"/>
    <mergeCell ref="A295:A315"/>
    <mergeCell ref="B295:B315"/>
    <mergeCell ref="C295:E295"/>
    <mergeCell ref="F295:F315"/>
    <mergeCell ref="G295:G315"/>
    <mergeCell ref="G292:G294"/>
    <mergeCell ref="H292:H294"/>
    <mergeCell ref="A292:A294"/>
    <mergeCell ref="B292:B294"/>
    <mergeCell ref="C292:E292"/>
    <mergeCell ref="A316:A326"/>
    <mergeCell ref="B316:B326"/>
    <mergeCell ref="C316:E316"/>
    <mergeCell ref="C324:E324"/>
    <mergeCell ref="C325:E325"/>
    <mergeCell ref="C326:E326"/>
    <mergeCell ref="C308:E308"/>
    <mergeCell ref="C309:E309"/>
    <mergeCell ref="C310:E310"/>
    <mergeCell ref="C311:E311"/>
    <mergeCell ref="C312:E312"/>
    <mergeCell ref="C313:E313"/>
    <mergeCell ref="C302:E302"/>
    <mergeCell ref="C303:E303"/>
    <mergeCell ref="C304:E304"/>
    <mergeCell ref="C305:E305"/>
    <mergeCell ref="C306:E306"/>
    <mergeCell ref="C307:E307"/>
    <mergeCell ref="C317:E317"/>
    <mergeCell ref="C318:E318"/>
    <mergeCell ref="C319:E319"/>
    <mergeCell ref="C320:E320"/>
    <mergeCell ref="C321:E321"/>
    <mergeCell ref="C322:E322"/>
    <mergeCell ref="C323:E323"/>
    <mergeCell ref="F316:F326"/>
    <mergeCell ref="G316:G326"/>
    <mergeCell ref="H316:H326"/>
    <mergeCell ref="C314:E314"/>
    <mergeCell ref="C315:E315"/>
    <mergeCell ref="A332:A336"/>
    <mergeCell ref="B332:B336"/>
    <mergeCell ref="C332:E332"/>
    <mergeCell ref="F332:F336"/>
    <mergeCell ref="G327:G331"/>
    <mergeCell ref="H327:H331"/>
    <mergeCell ref="A327:A331"/>
    <mergeCell ref="B327:B331"/>
    <mergeCell ref="C327:E327"/>
    <mergeCell ref="F327:F331"/>
    <mergeCell ref="C333:E333"/>
    <mergeCell ref="C334:E334"/>
    <mergeCell ref="C335:E335"/>
    <mergeCell ref="C336:E336"/>
    <mergeCell ref="G332:G336"/>
    <mergeCell ref="H332:H336"/>
    <mergeCell ref="C328:E328"/>
    <mergeCell ref="C329:E329"/>
    <mergeCell ref="C330:E330"/>
    <mergeCell ref="C331:E331"/>
    <mergeCell ref="C338:E338"/>
    <mergeCell ref="C339:E339"/>
    <mergeCell ref="C340:E340"/>
    <mergeCell ref="C341:E341"/>
    <mergeCell ref="C342:E342"/>
    <mergeCell ref="C343:E343"/>
    <mergeCell ref="C344:E344"/>
    <mergeCell ref="C345:E345"/>
    <mergeCell ref="G337:G345"/>
    <mergeCell ref="H337:H345"/>
    <mergeCell ref="A337:A345"/>
    <mergeCell ref="B337:B345"/>
    <mergeCell ref="C337:E337"/>
    <mergeCell ref="F337:F345"/>
    <mergeCell ref="A355:A367"/>
    <mergeCell ref="B355:B367"/>
    <mergeCell ref="C355:E355"/>
    <mergeCell ref="F355:F367"/>
    <mergeCell ref="C365:E365"/>
    <mergeCell ref="C366:E366"/>
    <mergeCell ref="C367:E367"/>
    <mergeCell ref="C347:E347"/>
    <mergeCell ref="C348:E348"/>
    <mergeCell ref="C349:E349"/>
    <mergeCell ref="C350:E350"/>
    <mergeCell ref="C351:E351"/>
    <mergeCell ref="C352:E352"/>
    <mergeCell ref="C353:E353"/>
    <mergeCell ref="C354:E354"/>
    <mergeCell ref="G346:G354"/>
    <mergeCell ref="H346:H354"/>
    <mergeCell ref="A346:A354"/>
    <mergeCell ref="B346:B354"/>
    <mergeCell ref="C346:E346"/>
    <mergeCell ref="F346:F354"/>
    <mergeCell ref="C378:E378"/>
    <mergeCell ref="C379:E379"/>
    <mergeCell ref="C380:E380"/>
    <mergeCell ref="C381:E381"/>
    <mergeCell ref="C356:E356"/>
    <mergeCell ref="C357:E357"/>
    <mergeCell ref="C358:E358"/>
    <mergeCell ref="C359:E359"/>
    <mergeCell ref="C360:E360"/>
    <mergeCell ref="C361:E361"/>
    <mergeCell ref="C362:E362"/>
    <mergeCell ref="C363:E363"/>
    <mergeCell ref="C364:E364"/>
    <mergeCell ref="G355:G367"/>
    <mergeCell ref="H355:H367"/>
    <mergeCell ref="C382:E382"/>
    <mergeCell ref="A383:A396"/>
    <mergeCell ref="B383:B396"/>
    <mergeCell ref="C383:E383"/>
    <mergeCell ref="F383:F396"/>
    <mergeCell ref="C392:E392"/>
    <mergeCell ref="C393:E393"/>
    <mergeCell ref="C394:E394"/>
    <mergeCell ref="C395:E395"/>
    <mergeCell ref="C369:E369"/>
    <mergeCell ref="C370:E370"/>
    <mergeCell ref="C371:E371"/>
    <mergeCell ref="C372:E372"/>
    <mergeCell ref="C373:E373"/>
    <mergeCell ref="C374:E374"/>
    <mergeCell ref="C375:E375"/>
    <mergeCell ref="C376:E376"/>
    <mergeCell ref="C377:E377"/>
    <mergeCell ref="G368:G382"/>
    <mergeCell ref="H368:H382"/>
    <mergeCell ref="A368:A382"/>
    <mergeCell ref="B368:B382"/>
    <mergeCell ref="C368:E368"/>
    <mergeCell ref="F368:F382"/>
    <mergeCell ref="C396:E396"/>
    <mergeCell ref="A397:A412"/>
    <mergeCell ref="B397:B412"/>
    <mergeCell ref="C397:E397"/>
    <mergeCell ref="F397:F412"/>
    <mergeCell ref="C406:E406"/>
    <mergeCell ref="C407:E407"/>
    <mergeCell ref="C408:E408"/>
    <mergeCell ref="C409:E409"/>
    <mergeCell ref="C384:E384"/>
    <mergeCell ref="C385:E385"/>
    <mergeCell ref="C386:E386"/>
    <mergeCell ref="C387:E387"/>
    <mergeCell ref="C388:E388"/>
    <mergeCell ref="C389:E389"/>
    <mergeCell ref="C390:E390"/>
    <mergeCell ref="C391:E391"/>
    <mergeCell ref="G383:G396"/>
    <mergeCell ref="H383:H396"/>
    <mergeCell ref="A413:A419"/>
    <mergeCell ref="B413:B419"/>
    <mergeCell ref="C413:E413"/>
    <mergeCell ref="C398:E398"/>
    <mergeCell ref="C399:E399"/>
    <mergeCell ref="C400:E400"/>
    <mergeCell ref="C401:E401"/>
    <mergeCell ref="C402:E402"/>
    <mergeCell ref="C403:E403"/>
    <mergeCell ref="C404:E404"/>
    <mergeCell ref="C405:E405"/>
    <mergeCell ref="G397:G412"/>
    <mergeCell ref="H397:H412"/>
    <mergeCell ref="C414:E414"/>
    <mergeCell ref="C415:E415"/>
    <mergeCell ref="C416:E416"/>
    <mergeCell ref="C417:E417"/>
    <mergeCell ref="C418:E418"/>
    <mergeCell ref="C419:E419"/>
    <mergeCell ref="F413:F419"/>
    <mergeCell ref="G413:G419"/>
    <mergeCell ref="H413:H419"/>
    <mergeCell ref="C410:E410"/>
    <mergeCell ref="C411:E411"/>
    <mergeCell ref="C412:E412"/>
    <mergeCell ref="F427:F428"/>
    <mergeCell ref="C421:E421"/>
    <mergeCell ref="C422:E422"/>
    <mergeCell ref="C423:E423"/>
    <mergeCell ref="C424:E424"/>
    <mergeCell ref="C425:E425"/>
    <mergeCell ref="C426:E426"/>
    <mergeCell ref="G420:G426"/>
    <mergeCell ref="H420:H426"/>
    <mergeCell ref="A420:A426"/>
    <mergeCell ref="B420:B426"/>
    <mergeCell ref="C420:E420"/>
    <mergeCell ref="F420:F426"/>
    <mergeCell ref="C431:E431"/>
    <mergeCell ref="C432:E432"/>
    <mergeCell ref="C433:E433"/>
    <mergeCell ref="C434:E434"/>
    <mergeCell ref="C435:E435"/>
    <mergeCell ref="C436:E436"/>
    <mergeCell ref="H430:H431"/>
    <mergeCell ref="C428:E428"/>
    <mergeCell ref="C429:E429"/>
    <mergeCell ref="A430:A431"/>
    <mergeCell ref="B430:B431"/>
    <mergeCell ref="C430:E430"/>
    <mergeCell ref="F430:F431"/>
    <mergeCell ref="G430:G431"/>
    <mergeCell ref="G427:G428"/>
    <mergeCell ref="H427:H428"/>
    <mergeCell ref="A427:A428"/>
    <mergeCell ref="B427:B428"/>
    <mergeCell ref="C427:E427"/>
    <mergeCell ref="C442:E442"/>
    <mergeCell ref="C443:E443"/>
    <mergeCell ref="C444:E444"/>
    <mergeCell ref="F441:F443"/>
    <mergeCell ref="G441:G443"/>
    <mergeCell ref="H441:H443"/>
    <mergeCell ref="C437:E437"/>
    <mergeCell ref="C438:E438"/>
    <mergeCell ref="C439:E439"/>
    <mergeCell ref="C440:E440"/>
    <mergeCell ref="A441:A443"/>
    <mergeCell ref="B441:B443"/>
    <mergeCell ref="C441:E441"/>
    <mergeCell ref="C451:E451"/>
    <mergeCell ref="C452:E452"/>
    <mergeCell ref="A453:A455"/>
    <mergeCell ref="B453:B455"/>
    <mergeCell ref="C453:E453"/>
    <mergeCell ref="F453:F455"/>
    <mergeCell ref="F450:F452"/>
    <mergeCell ref="G450:G452"/>
    <mergeCell ref="H450:H452"/>
    <mergeCell ref="C445:E445"/>
    <mergeCell ref="C446:E446"/>
    <mergeCell ref="C447:E447"/>
    <mergeCell ref="C448:E448"/>
    <mergeCell ref="C449:E449"/>
    <mergeCell ref="A450:A452"/>
    <mergeCell ref="B450:B452"/>
    <mergeCell ref="C450:E450"/>
    <mergeCell ref="A461:A463"/>
    <mergeCell ref="B461:B463"/>
    <mergeCell ref="C461:E461"/>
    <mergeCell ref="F461:F463"/>
    <mergeCell ref="G456:G460"/>
    <mergeCell ref="H456:H460"/>
    <mergeCell ref="C454:E454"/>
    <mergeCell ref="C455:E455"/>
    <mergeCell ref="A456:A460"/>
    <mergeCell ref="B456:B460"/>
    <mergeCell ref="F456:F460"/>
    <mergeCell ref="G453:G455"/>
    <mergeCell ref="H453:H455"/>
    <mergeCell ref="C462:E462"/>
    <mergeCell ref="C463:E463"/>
    <mergeCell ref="C456:E460"/>
    <mergeCell ref="C464:E464"/>
    <mergeCell ref="C465:E465"/>
    <mergeCell ref="G461:G463"/>
    <mergeCell ref="H461:H463"/>
    <mergeCell ref="C467:E467"/>
    <mergeCell ref="C468:E468"/>
    <mergeCell ref="C469:E469"/>
    <mergeCell ref="C470:E470"/>
    <mergeCell ref="C471:E471"/>
    <mergeCell ref="C472:E472"/>
    <mergeCell ref="C473:E473"/>
    <mergeCell ref="C474:E474"/>
    <mergeCell ref="C475:E475"/>
    <mergeCell ref="G466:G475"/>
    <mergeCell ref="H466:H475"/>
    <mergeCell ref="A466:A475"/>
    <mergeCell ref="B466:B475"/>
    <mergeCell ref="C466:E466"/>
    <mergeCell ref="F466:F475"/>
    <mergeCell ref="C477:E477"/>
    <mergeCell ref="C478:E478"/>
    <mergeCell ref="C479:E479"/>
    <mergeCell ref="C480:E480"/>
    <mergeCell ref="C481:E481"/>
    <mergeCell ref="C482:E482"/>
    <mergeCell ref="G476:G482"/>
    <mergeCell ref="H476:H482"/>
    <mergeCell ref="A476:A482"/>
    <mergeCell ref="B476:B482"/>
    <mergeCell ref="C476:E476"/>
    <mergeCell ref="F476:F482"/>
    <mergeCell ref="A494:A496"/>
    <mergeCell ref="B494:B496"/>
    <mergeCell ref="C494:E494"/>
    <mergeCell ref="C485:E485"/>
    <mergeCell ref="C486:E486"/>
    <mergeCell ref="C487:E487"/>
    <mergeCell ref="C488:E488"/>
    <mergeCell ref="G484:G486"/>
    <mergeCell ref="H484:H486"/>
    <mergeCell ref="C483:E483"/>
    <mergeCell ref="A484:A486"/>
    <mergeCell ref="B484:B486"/>
    <mergeCell ref="C484:E484"/>
    <mergeCell ref="F484:F486"/>
    <mergeCell ref="C495:E495"/>
    <mergeCell ref="C496:E496"/>
    <mergeCell ref="C497:E497"/>
    <mergeCell ref="F494:F496"/>
    <mergeCell ref="G494:G496"/>
    <mergeCell ref="H494:H496"/>
    <mergeCell ref="C489:E489"/>
    <mergeCell ref="C490:E490"/>
    <mergeCell ref="C491:E491"/>
    <mergeCell ref="C492:E492"/>
    <mergeCell ref="C493:E493"/>
    <mergeCell ref="C499:E499"/>
    <mergeCell ref="C500:E500"/>
    <mergeCell ref="C501:E501"/>
    <mergeCell ref="C502:E502"/>
    <mergeCell ref="C503:E503"/>
    <mergeCell ref="C504:E504"/>
    <mergeCell ref="G498:G504"/>
    <mergeCell ref="H498:H504"/>
    <mergeCell ref="A498:A504"/>
    <mergeCell ref="B498:B504"/>
    <mergeCell ref="C498:E498"/>
    <mergeCell ref="F498:F504"/>
    <mergeCell ref="C506:E506"/>
    <mergeCell ref="C507:E507"/>
    <mergeCell ref="C508:E508"/>
    <mergeCell ref="C509:E509"/>
    <mergeCell ref="C510:E510"/>
    <mergeCell ref="C511:E511"/>
    <mergeCell ref="C512:E512"/>
    <mergeCell ref="C513:E513"/>
    <mergeCell ref="G505:G513"/>
    <mergeCell ref="H505:H513"/>
    <mergeCell ref="A505:A513"/>
    <mergeCell ref="B505:B513"/>
    <mergeCell ref="C505:E505"/>
    <mergeCell ref="F505:F513"/>
    <mergeCell ref="C515:E515"/>
    <mergeCell ref="C516:E516"/>
    <mergeCell ref="C517:E517"/>
    <mergeCell ref="C518:E518"/>
    <mergeCell ref="C519:E519"/>
    <mergeCell ref="C520:E520"/>
    <mergeCell ref="C521:E521"/>
    <mergeCell ref="C522:E522"/>
    <mergeCell ref="G514:G522"/>
    <mergeCell ref="H514:H522"/>
    <mergeCell ref="A514:A522"/>
    <mergeCell ref="B514:B522"/>
    <mergeCell ref="C514:E514"/>
    <mergeCell ref="F514:F522"/>
    <mergeCell ref="C524:E524"/>
    <mergeCell ref="C525:E525"/>
    <mergeCell ref="C526:E526"/>
    <mergeCell ref="C527:E527"/>
    <mergeCell ref="A528:A532"/>
    <mergeCell ref="B528:B532"/>
    <mergeCell ref="C528:E528"/>
    <mergeCell ref="F528:F532"/>
    <mergeCell ref="G523:G527"/>
    <mergeCell ref="H523:H527"/>
    <mergeCell ref="A523:A527"/>
    <mergeCell ref="B523:B527"/>
    <mergeCell ref="C523:E523"/>
    <mergeCell ref="F523:F527"/>
    <mergeCell ref="C539:E539"/>
    <mergeCell ref="A540:A541"/>
    <mergeCell ref="B540:B541"/>
    <mergeCell ref="C540:E540"/>
    <mergeCell ref="F540:F541"/>
    <mergeCell ref="C533:E533"/>
    <mergeCell ref="C534:E534"/>
    <mergeCell ref="C535:E535"/>
    <mergeCell ref="C536:E536"/>
    <mergeCell ref="C537:E537"/>
    <mergeCell ref="C538:E538"/>
    <mergeCell ref="C529:E529"/>
    <mergeCell ref="C530:E530"/>
    <mergeCell ref="C531:E531"/>
    <mergeCell ref="C532:E532"/>
    <mergeCell ref="G528:G532"/>
    <mergeCell ref="H528:H532"/>
    <mergeCell ref="C541:E541"/>
    <mergeCell ref="A542:A544"/>
    <mergeCell ref="B542:B544"/>
    <mergeCell ref="C542:E542"/>
    <mergeCell ref="F542:F544"/>
    <mergeCell ref="G542:G544"/>
    <mergeCell ref="G540:G541"/>
    <mergeCell ref="H540:H541"/>
    <mergeCell ref="A548:A556"/>
    <mergeCell ref="B548:B556"/>
    <mergeCell ref="C548:E548"/>
    <mergeCell ref="F548:F556"/>
    <mergeCell ref="F546:F547"/>
    <mergeCell ref="G546:G547"/>
    <mergeCell ref="H546:H547"/>
    <mergeCell ref="C543:E543"/>
    <mergeCell ref="C544:E544"/>
    <mergeCell ref="C545:E545"/>
    <mergeCell ref="A546:A547"/>
    <mergeCell ref="B546:B547"/>
    <mergeCell ref="C546:E546"/>
    <mergeCell ref="H542:H544"/>
    <mergeCell ref="C549:E549"/>
    <mergeCell ref="C550:E550"/>
    <mergeCell ref="C551:E551"/>
    <mergeCell ref="C552:E552"/>
    <mergeCell ref="C553:E553"/>
    <mergeCell ref="C554:E554"/>
    <mergeCell ref="C555:E555"/>
    <mergeCell ref="C556:E556"/>
    <mergeCell ref="G548:G556"/>
    <mergeCell ref="H548:H556"/>
    <mergeCell ref="C547:E547"/>
    <mergeCell ref="C558:E558"/>
    <mergeCell ref="C559:E559"/>
    <mergeCell ref="C560:E560"/>
    <mergeCell ref="C561:E561"/>
    <mergeCell ref="C562:E562"/>
    <mergeCell ref="C563:E563"/>
    <mergeCell ref="C564:E564"/>
    <mergeCell ref="C565:E565"/>
    <mergeCell ref="G557:G565"/>
    <mergeCell ref="H557:H565"/>
    <mergeCell ref="A557:A565"/>
    <mergeCell ref="B557:B565"/>
    <mergeCell ref="C557:E557"/>
    <mergeCell ref="F557:F565"/>
    <mergeCell ref="C567:E567"/>
    <mergeCell ref="C568:E568"/>
    <mergeCell ref="C569:E569"/>
    <mergeCell ref="C570:E570"/>
    <mergeCell ref="C571:E571"/>
    <mergeCell ref="G566:G570"/>
    <mergeCell ref="H566:H570"/>
    <mergeCell ref="A566:A570"/>
    <mergeCell ref="B566:B570"/>
    <mergeCell ref="C566:E566"/>
    <mergeCell ref="F566:F570"/>
    <mergeCell ref="C574:E574"/>
    <mergeCell ref="C575:E575"/>
    <mergeCell ref="A576:A578"/>
    <mergeCell ref="B576:B578"/>
    <mergeCell ref="C576:E576"/>
    <mergeCell ref="F576:F578"/>
    <mergeCell ref="G573:G575"/>
    <mergeCell ref="H573:H575"/>
    <mergeCell ref="C572:E572"/>
    <mergeCell ref="A573:A575"/>
    <mergeCell ref="B573:B575"/>
    <mergeCell ref="C573:E573"/>
    <mergeCell ref="F573:F575"/>
    <mergeCell ref="C577:E577"/>
    <mergeCell ref="C578:E578"/>
    <mergeCell ref="A579:A581"/>
    <mergeCell ref="B579:B581"/>
    <mergeCell ref="C579:E579"/>
    <mergeCell ref="F579:F581"/>
    <mergeCell ref="G579:G581"/>
    <mergeCell ref="G576:G578"/>
    <mergeCell ref="H576:H578"/>
    <mergeCell ref="C584:E584"/>
    <mergeCell ref="C585:E585"/>
    <mergeCell ref="C586:E586"/>
    <mergeCell ref="C580:E580"/>
    <mergeCell ref="C581:E581"/>
    <mergeCell ref="C582:E582"/>
    <mergeCell ref="G583:G589"/>
    <mergeCell ref="H583:H589"/>
    <mergeCell ref="C591:E591"/>
    <mergeCell ref="C592:E592"/>
    <mergeCell ref="C593:E593"/>
    <mergeCell ref="C594:E594"/>
    <mergeCell ref="A583:A589"/>
    <mergeCell ref="B583:B589"/>
    <mergeCell ref="C583:E583"/>
    <mergeCell ref="H579:H581"/>
    <mergeCell ref="G590:G594"/>
    <mergeCell ref="H590:H594"/>
    <mergeCell ref="A590:A594"/>
    <mergeCell ref="B590:B594"/>
    <mergeCell ref="C590:E590"/>
    <mergeCell ref="F590:F594"/>
    <mergeCell ref="C587:E587"/>
    <mergeCell ref="C588:E588"/>
    <mergeCell ref="C589:E589"/>
    <mergeCell ref="F583:F589"/>
    <mergeCell ref="C606:E606"/>
    <mergeCell ref="C607:E607"/>
    <mergeCell ref="C608:E608"/>
    <mergeCell ref="C609:E609"/>
    <mergeCell ref="A610:A611"/>
    <mergeCell ref="B610:B611"/>
    <mergeCell ref="C610:E611"/>
    <mergeCell ref="C600:E600"/>
    <mergeCell ref="C601:E601"/>
    <mergeCell ref="C602:E602"/>
    <mergeCell ref="C603:E603"/>
    <mergeCell ref="C604:E604"/>
    <mergeCell ref="C605:E605"/>
    <mergeCell ref="C596:E596"/>
    <mergeCell ref="C597:E597"/>
    <mergeCell ref="C598:E598"/>
    <mergeCell ref="C599:E599"/>
    <mergeCell ref="G595:G599"/>
    <mergeCell ref="H595:H599"/>
    <mergeCell ref="A595:A599"/>
    <mergeCell ref="B595:B599"/>
    <mergeCell ref="C595:E595"/>
    <mergeCell ref="F595:F599"/>
    <mergeCell ref="C622:E622"/>
    <mergeCell ref="C623:E623"/>
    <mergeCell ref="C624:E624"/>
    <mergeCell ref="C625:E625"/>
    <mergeCell ref="C626:E626"/>
    <mergeCell ref="A627:A631"/>
    <mergeCell ref="B627:B631"/>
    <mergeCell ref="C627:E627"/>
    <mergeCell ref="C616:E616"/>
    <mergeCell ref="C617:E617"/>
    <mergeCell ref="C618:E618"/>
    <mergeCell ref="C619:E619"/>
    <mergeCell ref="C620:E620"/>
    <mergeCell ref="C621:E621"/>
    <mergeCell ref="C612:E612"/>
    <mergeCell ref="C613:E613"/>
    <mergeCell ref="C614:E614"/>
    <mergeCell ref="C615:E615"/>
    <mergeCell ref="G610:G611"/>
    <mergeCell ref="H610:H611"/>
    <mergeCell ref="H632:H634"/>
    <mergeCell ref="A632:A634"/>
    <mergeCell ref="B632:B634"/>
    <mergeCell ref="C632:E632"/>
    <mergeCell ref="G632:G634"/>
    <mergeCell ref="C633:E633"/>
    <mergeCell ref="C634:E634"/>
    <mergeCell ref="C628:E628"/>
    <mergeCell ref="C629:E629"/>
    <mergeCell ref="C630:E630"/>
    <mergeCell ref="C631:E631"/>
    <mergeCell ref="F627:F631"/>
    <mergeCell ref="G627:G631"/>
    <mergeCell ref="H627:H631"/>
    <mergeCell ref="C636:E636"/>
    <mergeCell ref="C637:E637"/>
    <mergeCell ref="C638:E638"/>
    <mergeCell ref="C639:E639"/>
    <mergeCell ref="A640:A644"/>
    <mergeCell ref="B640:B644"/>
    <mergeCell ref="C640:E640"/>
    <mergeCell ref="F640:F644"/>
    <mergeCell ref="G635:G639"/>
    <mergeCell ref="H635:H639"/>
    <mergeCell ref="A635:A639"/>
    <mergeCell ref="B635:B639"/>
    <mergeCell ref="C635:E635"/>
    <mergeCell ref="F635:F639"/>
    <mergeCell ref="A645:A649"/>
    <mergeCell ref="B645:B649"/>
    <mergeCell ref="C645:E645"/>
    <mergeCell ref="F645:F649"/>
    <mergeCell ref="C641:E641"/>
    <mergeCell ref="C642:E642"/>
    <mergeCell ref="C643:E643"/>
    <mergeCell ref="C644:E644"/>
    <mergeCell ref="G640:G644"/>
    <mergeCell ref="H640:H644"/>
    <mergeCell ref="C651:E651"/>
    <mergeCell ref="C652:E652"/>
    <mergeCell ref="C653:E653"/>
    <mergeCell ref="C654:E654"/>
    <mergeCell ref="C655:E655"/>
    <mergeCell ref="C656:E656"/>
    <mergeCell ref="C646:E646"/>
    <mergeCell ref="C647:E647"/>
    <mergeCell ref="C648:E648"/>
    <mergeCell ref="C649:E649"/>
    <mergeCell ref="C650:E650"/>
    <mergeCell ref="G645:G649"/>
    <mergeCell ref="H645:H649"/>
    <mergeCell ref="C661:E661"/>
    <mergeCell ref="C662:E662"/>
    <mergeCell ref="A663:A665"/>
    <mergeCell ref="B663:B665"/>
    <mergeCell ref="C663:E663"/>
    <mergeCell ref="F663:F665"/>
    <mergeCell ref="F660:F662"/>
    <mergeCell ref="G660:G662"/>
    <mergeCell ref="H660:H662"/>
    <mergeCell ref="C657:E657"/>
    <mergeCell ref="C658:E658"/>
    <mergeCell ref="C659:E659"/>
    <mergeCell ref="A660:A662"/>
    <mergeCell ref="B660:B662"/>
    <mergeCell ref="C660:E660"/>
    <mergeCell ref="C667:E667"/>
    <mergeCell ref="C668:E668"/>
    <mergeCell ref="C669:E669"/>
    <mergeCell ref="C670:E670"/>
    <mergeCell ref="A671:A673"/>
    <mergeCell ref="B671:B673"/>
    <mergeCell ref="C671:E671"/>
    <mergeCell ref="F671:F673"/>
    <mergeCell ref="G666:G670"/>
    <mergeCell ref="H666:H670"/>
    <mergeCell ref="C664:E664"/>
    <mergeCell ref="C665:E665"/>
    <mergeCell ref="A666:A670"/>
    <mergeCell ref="B666:B670"/>
    <mergeCell ref="C666:E666"/>
    <mergeCell ref="F666:F670"/>
    <mergeCell ref="G663:G665"/>
    <mergeCell ref="H663:H665"/>
    <mergeCell ref="A676:A679"/>
    <mergeCell ref="B676:B679"/>
    <mergeCell ref="C676:E676"/>
    <mergeCell ref="F676:F679"/>
    <mergeCell ref="C672:E672"/>
    <mergeCell ref="C673:E673"/>
    <mergeCell ref="C674:E674"/>
    <mergeCell ref="C675:E675"/>
    <mergeCell ref="G671:G673"/>
    <mergeCell ref="H671:H673"/>
    <mergeCell ref="C682:E682"/>
    <mergeCell ref="C683:E683"/>
    <mergeCell ref="C684:E684"/>
    <mergeCell ref="C685:E685"/>
    <mergeCell ref="C686:E686"/>
    <mergeCell ref="C687:E687"/>
    <mergeCell ref="C677:E677"/>
    <mergeCell ref="C678:E678"/>
    <mergeCell ref="C679:E679"/>
    <mergeCell ref="C680:E680"/>
    <mergeCell ref="C681:E681"/>
    <mergeCell ref="G676:G679"/>
    <mergeCell ref="H676:H679"/>
    <mergeCell ref="C700:E700"/>
    <mergeCell ref="C701:E701"/>
    <mergeCell ref="C702:E702"/>
    <mergeCell ref="C703:E703"/>
    <mergeCell ref="A704:A706"/>
    <mergeCell ref="B704:B706"/>
    <mergeCell ref="C704:E704"/>
    <mergeCell ref="C694:E694"/>
    <mergeCell ref="C695:E695"/>
    <mergeCell ref="C696:E696"/>
    <mergeCell ref="C697:E697"/>
    <mergeCell ref="C698:E698"/>
    <mergeCell ref="C699:E699"/>
    <mergeCell ref="C688:E688"/>
    <mergeCell ref="C689:E689"/>
    <mergeCell ref="C690:E690"/>
    <mergeCell ref="C691:E691"/>
    <mergeCell ref="C692:E692"/>
    <mergeCell ref="C693:E693"/>
    <mergeCell ref="C708:E708"/>
    <mergeCell ref="C709:E709"/>
    <mergeCell ref="C710:E710"/>
    <mergeCell ref="C711:E711"/>
    <mergeCell ref="C712:E712"/>
    <mergeCell ref="C713:E713"/>
    <mergeCell ref="C705:E705"/>
    <mergeCell ref="C706:E706"/>
    <mergeCell ref="C707:E707"/>
    <mergeCell ref="F704:F706"/>
    <mergeCell ref="G704:G706"/>
    <mergeCell ref="H704:H706"/>
    <mergeCell ref="C715:E715"/>
    <mergeCell ref="A716:A719"/>
    <mergeCell ref="B716:B719"/>
    <mergeCell ref="C716:E716"/>
    <mergeCell ref="F716:F719"/>
    <mergeCell ref="G716:G719"/>
    <mergeCell ref="G714:G715"/>
    <mergeCell ref="H714:H715"/>
    <mergeCell ref="A714:A715"/>
    <mergeCell ref="B714:B715"/>
    <mergeCell ref="C714:E714"/>
    <mergeCell ref="F714:F715"/>
    <mergeCell ref="C720:E720"/>
    <mergeCell ref="A721:A740"/>
    <mergeCell ref="B721:B740"/>
    <mergeCell ref="C721:E721"/>
    <mergeCell ref="F721:F740"/>
    <mergeCell ref="C730:E730"/>
    <mergeCell ref="C731:E731"/>
    <mergeCell ref="C732:E732"/>
    <mergeCell ref="C733:E733"/>
    <mergeCell ref="H716:H719"/>
    <mergeCell ref="C717:E717"/>
    <mergeCell ref="C718:E718"/>
    <mergeCell ref="C719:E719"/>
    <mergeCell ref="C740:E740"/>
    <mergeCell ref="C734:E734"/>
    <mergeCell ref="C735:E735"/>
    <mergeCell ref="C736:E736"/>
    <mergeCell ref="C737:E737"/>
    <mergeCell ref="C738:E738"/>
    <mergeCell ref="C739:E739"/>
    <mergeCell ref="C722:E722"/>
    <mergeCell ref="C723:E723"/>
    <mergeCell ref="C724:E724"/>
    <mergeCell ref="C725:E725"/>
    <mergeCell ref="C726:E726"/>
    <mergeCell ref="C727:E727"/>
    <mergeCell ref="C728:E728"/>
    <mergeCell ref="C729:E729"/>
    <mergeCell ref="G721:G740"/>
    <mergeCell ref="H721:H740"/>
    <mergeCell ref="A748:A761"/>
    <mergeCell ref="B748:B761"/>
    <mergeCell ref="C748:E748"/>
    <mergeCell ref="C756:E756"/>
    <mergeCell ref="C757:E757"/>
    <mergeCell ref="C758:E758"/>
    <mergeCell ref="C759:E759"/>
    <mergeCell ref="H748:H761"/>
    <mergeCell ref="C746:E746"/>
    <mergeCell ref="C747:E747"/>
    <mergeCell ref="C742:E742"/>
    <mergeCell ref="C743:E743"/>
    <mergeCell ref="C744:E744"/>
    <mergeCell ref="C745:E745"/>
    <mergeCell ref="G741:G742"/>
    <mergeCell ref="H741:H742"/>
    <mergeCell ref="C760:E760"/>
    <mergeCell ref="C761:E761"/>
    <mergeCell ref="A741:A742"/>
    <mergeCell ref="B741:B742"/>
    <mergeCell ref="C741:E741"/>
    <mergeCell ref="F741:F742"/>
    <mergeCell ref="C749:E749"/>
    <mergeCell ref="C750:E750"/>
    <mergeCell ref="C751:E751"/>
    <mergeCell ref="C752:E752"/>
    <mergeCell ref="C753:E753"/>
    <mergeCell ref="C754:E754"/>
    <mergeCell ref="C755:E755"/>
    <mergeCell ref="F748:F761"/>
    <mergeCell ref="G748:G761"/>
    <mergeCell ref="C766:E766"/>
    <mergeCell ref="C767:E767"/>
    <mergeCell ref="C768:E768"/>
    <mergeCell ref="A769:A773"/>
    <mergeCell ref="B769:B773"/>
    <mergeCell ref="C769:E769"/>
    <mergeCell ref="C763:E763"/>
    <mergeCell ref="C764:E764"/>
    <mergeCell ref="C765:E765"/>
    <mergeCell ref="F762:F765"/>
    <mergeCell ref="G762:G765"/>
    <mergeCell ref="H762:H765"/>
    <mergeCell ref="A762:A765"/>
    <mergeCell ref="B762:B765"/>
    <mergeCell ref="C762:E762"/>
    <mergeCell ref="C774:E774"/>
    <mergeCell ref="A775:A781"/>
    <mergeCell ref="C775:E775"/>
    <mergeCell ref="F775:F781"/>
    <mergeCell ref="C770:E770"/>
    <mergeCell ref="C771:E771"/>
    <mergeCell ref="C772:E772"/>
    <mergeCell ref="C773:E773"/>
    <mergeCell ref="F769:F773"/>
    <mergeCell ref="G769:G773"/>
    <mergeCell ref="H769:H773"/>
    <mergeCell ref="C782:E782"/>
    <mergeCell ref="C783:E783"/>
    <mergeCell ref="C784:E784"/>
    <mergeCell ref="C785:E785"/>
    <mergeCell ref="C786:E786"/>
    <mergeCell ref="C787:E787"/>
    <mergeCell ref="C776:E776"/>
    <mergeCell ref="C777:E777"/>
    <mergeCell ref="C778:E778"/>
    <mergeCell ref="C779:E779"/>
    <mergeCell ref="C780:E780"/>
    <mergeCell ref="C781:E781"/>
    <mergeCell ref="G775:G781"/>
    <mergeCell ref="H775:H781"/>
    <mergeCell ref="C793:E793"/>
    <mergeCell ref="A794:A796"/>
    <mergeCell ref="B794:B796"/>
    <mergeCell ref="C794:E794"/>
    <mergeCell ref="F794:F796"/>
    <mergeCell ref="F792:F793"/>
    <mergeCell ref="G792:G793"/>
    <mergeCell ref="H792:H793"/>
    <mergeCell ref="C788:E788"/>
    <mergeCell ref="C789:E789"/>
    <mergeCell ref="C790:E790"/>
    <mergeCell ref="C791:E791"/>
    <mergeCell ref="A792:A793"/>
    <mergeCell ref="B792:B793"/>
    <mergeCell ref="C792:E792"/>
    <mergeCell ref="C798:E798"/>
    <mergeCell ref="C799:E799"/>
    <mergeCell ref="C800:E800"/>
    <mergeCell ref="A801:A806"/>
    <mergeCell ref="B801:B806"/>
    <mergeCell ref="C801:E801"/>
    <mergeCell ref="H797:H798"/>
    <mergeCell ref="C795:E795"/>
    <mergeCell ref="C796:E796"/>
    <mergeCell ref="A797:A798"/>
    <mergeCell ref="B797:B798"/>
    <mergeCell ref="C797:E797"/>
    <mergeCell ref="F797:F798"/>
    <mergeCell ref="G797:G798"/>
    <mergeCell ref="G794:G796"/>
    <mergeCell ref="H794:H796"/>
    <mergeCell ref="A810:A815"/>
    <mergeCell ref="B810:B815"/>
    <mergeCell ref="C810:E810"/>
    <mergeCell ref="C802:E802"/>
    <mergeCell ref="C803:E803"/>
    <mergeCell ref="C804:E804"/>
    <mergeCell ref="C805:E805"/>
    <mergeCell ref="C806:E806"/>
    <mergeCell ref="F801:F806"/>
    <mergeCell ref="G801:G806"/>
    <mergeCell ref="H801:H806"/>
    <mergeCell ref="C811:E811"/>
    <mergeCell ref="C812:E812"/>
    <mergeCell ref="C813:E813"/>
    <mergeCell ref="C814:E814"/>
    <mergeCell ref="C815:E815"/>
    <mergeCell ref="F810:F815"/>
    <mergeCell ref="G810:G815"/>
    <mergeCell ref="H810:H815"/>
    <mergeCell ref="C807:E807"/>
    <mergeCell ref="C808:E808"/>
    <mergeCell ref="C809:E809"/>
    <mergeCell ref="H818:H820"/>
    <mergeCell ref="C819:E819"/>
    <mergeCell ref="C820:E820"/>
    <mergeCell ref="C817:E817"/>
    <mergeCell ref="A818:A820"/>
    <mergeCell ref="B818:B820"/>
    <mergeCell ref="C818:E818"/>
    <mergeCell ref="F818:F820"/>
    <mergeCell ref="G818:G820"/>
    <mergeCell ref="G816:G817"/>
    <mergeCell ref="H816:H817"/>
    <mergeCell ref="A816:A817"/>
    <mergeCell ref="B816:B817"/>
    <mergeCell ref="C816:E816"/>
    <mergeCell ref="F816:F817"/>
    <mergeCell ref="A824:A825"/>
    <mergeCell ref="B824:B825"/>
    <mergeCell ref="C824:E825"/>
    <mergeCell ref="G824:G825"/>
    <mergeCell ref="H824:H825"/>
    <mergeCell ref="G822:G823"/>
    <mergeCell ref="H822:H823"/>
    <mergeCell ref="C821:E821"/>
    <mergeCell ref="A822:A823"/>
    <mergeCell ref="B822:B823"/>
    <mergeCell ref="C822:E823"/>
    <mergeCell ref="C828:E828"/>
    <mergeCell ref="A829:A830"/>
    <mergeCell ref="B829:B830"/>
    <mergeCell ref="C829:E829"/>
    <mergeCell ref="F829:F830"/>
    <mergeCell ref="H826:H827"/>
    <mergeCell ref="C827:E827"/>
    <mergeCell ref="A826:A827"/>
    <mergeCell ref="B826:B827"/>
    <mergeCell ref="C826:E826"/>
    <mergeCell ref="G826:G827"/>
    <mergeCell ref="C833:E833"/>
    <mergeCell ref="C834:E834"/>
    <mergeCell ref="C835:E835"/>
    <mergeCell ref="C836:E836"/>
    <mergeCell ref="C837:E837"/>
    <mergeCell ref="G832:G833"/>
    <mergeCell ref="H832:H833"/>
    <mergeCell ref="C830:E830"/>
    <mergeCell ref="C831:E831"/>
    <mergeCell ref="A832:A833"/>
    <mergeCell ref="B832:B833"/>
    <mergeCell ref="C832:E832"/>
    <mergeCell ref="F832:F833"/>
    <mergeCell ref="G829:G830"/>
    <mergeCell ref="H829:H830"/>
    <mergeCell ref="H844:H845"/>
    <mergeCell ref="A844:A845"/>
    <mergeCell ref="B844:B845"/>
    <mergeCell ref="C844:E845"/>
    <mergeCell ref="G844:G845"/>
    <mergeCell ref="C839:E839"/>
    <mergeCell ref="C840:E840"/>
    <mergeCell ref="C841:E841"/>
    <mergeCell ref="C842:E842"/>
    <mergeCell ref="C843:E843"/>
    <mergeCell ref="G838:G840"/>
    <mergeCell ref="H838:H840"/>
    <mergeCell ref="A838:A840"/>
    <mergeCell ref="B838:B840"/>
    <mergeCell ref="C838:E838"/>
    <mergeCell ref="F838:F840"/>
    <mergeCell ref="C848:E848"/>
    <mergeCell ref="A849:A850"/>
    <mergeCell ref="B849:B850"/>
    <mergeCell ref="C849:E849"/>
    <mergeCell ref="F849:F850"/>
    <mergeCell ref="G849:G850"/>
    <mergeCell ref="G847:G848"/>
    <mergeCell ref="H847:H848"/>
    <mergeCell ref="C846:E846"/>
    <mergeCell ref="A847:A848"/>
    <mergeCell ref="B847:B848"/>
    <mergeCell ref="C847:E847"/>
    <mergeCell ref="F847:F848"/>
    <mergeCell ref="F856:F857"/>
    <mergeCell ref="C853:E853"/>
    <mergeCell ref="C854:E854"/>
    <mergeCell ref="C855:E855"/>
    <mergeCell ref="F852:F853"/>
    <mergeCell ref="G852:G853"/>
    <mergeCell ref="H852:H853"/>
    <mergeCell ref="C850:E850"/>
    <mergeCell ref="C851:E851"/>
    <mergeCell ref="A852:A853"/>
    <mergeCell ref="B852:B853"/>
    <mergeCell ref="C852:E852"/>
    <mergeCell ref="H849:H850"/>
    <mergeCell ref="C860:E860"/>
    <mergeCell ref="A861:A864"/>
    <mergeCell ref="B861:B864"/>
    <mergeCell ref="C861:E861"/>
    <mergeCell ref="F861:F864"/>
    <mergeCell ref="H859:H860"/>
    <mergeCell ref="C857:E857"/>
    <mergeCell ref="C858:E858"/>
    <mergeCell ref="A859:A860"/>
    <mergeCell ref="B859:B860"/>
    <mergeCell ref="C859:E859"/>
    <mergeCell ref="F859:F860"/>
    <mergeCell ref="G859:G860"/>
    <mergeCell ref="G856:G857"/>
    <mergeCell ref="H856:H857"/>
    <mergeCell ref="A856:A857"/>
    <mergeCell ref="B856:B857"/>
    <mergeCell ref="C856:E856"/>
    <mergeCell ref="C866:E866"/>
    <mergeCell ref="C867:E867"/>
    <mergeCell ref="A868:A869"/>
    <mergeCell ref="B868:B869"/>
    <mergeCell ref="C868:E868"/>
    <mergeCell ref="F868:F869"/>
    <mergeCell ref="G865:G866"/>
    <mergeCell ref="H865:H866"/>
    <mergeCell ref="C862:E862"/>
    <mergeCell ref="C863:E863"/>
    <mergeCell ref="C864:E864"/>
    <mergeCell ref="A865:A866"/>
    <mergeCell ref="B865:B866"/>
    <mergeCell ref="C865:E865"/>
    <mergeCell ref="F865:F866"/>
    <mergeCell ref="G861:G864"/>
    <mergeCell ref="H861:H864"/>
    <mergeCell ref="C872:E872"/>
    <mergeCell ref="A873:A874"/>
    <mergeCell ref="B873:B874"/>
    <mergeCell ref="C873:E873"/>
    <mergeCell ref="F873:F874"/>
    <mergeCell ref="H870:H871"/>
    <mergeCell ref="C871:E871"/>
    <mergeCell ref="C869:E869"/>
    <mergeCell ref="A870:A871"/>
    <mergeCell ref="B870:B871"/>
    <mergeCell ref="C870:E870"/>
    <mergeCell ref="F870:F871"/>
    <mergeCell ref="G870:G871"/>
    <mergeCell ref="G868:G869"/>
    <mergeCell ref="H868:H869"/>
    <mergeCell ref="C877:E877"/>
    <mergeCell ref="C878:E878"/>
    <mergeCell ref="C879:E879"/>
    <mergeCell ref="C880:E880"/>
    <mergeCell ref="C881:E881"/>
    <mergeCell ref="G876:G877"/>
    <mergeCell ref="H876:H877"/>
    <mergeCell ref="C874:E874"/>
    <mergeCell ref="C875:E875"/>
    <mergeCell ref="A876:A877"/>
    <mergeCell ref="B876:B877"/>
    <mergeCell ref="C876:E876"/>
    <mergeCell ref="F876:F877"/>
    <mergeCell ref="G873:G874"/>
    <mergeCell ref="H873:H874"/>
    <mergeCell ref="C894:E894"/>
    <mergeCell ref="C895:E895"/>
    <mergeCell ref="C896:E896"/>
    <mergeCell ref="A897:A898"/>
    <mergeCell ref="B897:B898"/>
    <mergeCell ref="C897:E898"/>
    <mergeCell ref="C888:E888"/>
    <mergeCell ref="C889:E889"/>
    <mergeCell ref="C890:E890"/>
    <mergeCell ref="C891:E891"/>
    <mergeCell ref="C892:E892"/>
    <mergeCell ref="C893:E893"/>
    <mergeCell ref="C882:E882"/>
    <mergeCell ref="C883:E883"/>
    <mergeCell ref="C884:E884"/>
    <mergeCell ref="C885:E885"/>
    <mergeCell ref="C886:E886"/>
    <mergeCell ref="C887:E887"/>
    <mergeCell ref="C903:E903"/>
    <mergeCell ref="C904:E904"/>
    <mergeCell ref="C905:E905"/>
    <mergeCell ref="C906:E906"/>
    <mergeCell ref="C907:E907"/>
    <mergeCell ref="C908:E908"/>
    <mergeCell ref="C899:E899"/>
    <mergeCell ref="C900:E900"/>
    <mergeCell ref="C901:E901"/>
    <mergeCell ref="C902:E902"/>
    <mergeCell ref="G897:G898"/>
    <mergeCell ref="H897:H898"/>
    <mergeCell ref="C912:E912"/>
    <mergeCell ref="C913:E913"/>
    <mergeCell ref="C914:E914"/>
    <mergeCell ref="C915:E915"/>
    <mergeCell ref="F911:F915"/>
    <mergeCell ref="G911:G915"/>
    <mergeCell ref="H911:H915"/>
    <mergeCell ref="C909:E909"/>
    <mergeCell ref="C910:E910"/>
    <mergeCell ref="A911:A915"/>
    <mergeCell ref="B911:B915"/>
    <mergeCell ref="C911:E911"/>
    <mergeCell ref="C917:E917"/>
    <mergeCell ref="C918:E918"/>
    <mergeCell ref="C919:E919"/>
    <mergeCell ref="C920:E920"/>
    <mergeCell ref="C921:E921"/>
    <mergeCell ref="C922:E922"/>
    <mergeCell ref="C923:E923"/>
    <mergeCell ref="C924:E924"/>
    <mergeCell ref="C925:E925"/>
    <mergeCell ref="G916:G927"/>
    <mergeCell ref="H916:H927"/>
    <mergeCell ref="A916:A927"/>
    <mergeCell ref="B916:B927"/>
    <mergeCell ref="C916:E916"/>
    <mergeCell ref="F916:F927"/>
    <mergeCell ref="C926:E926"/>
    <mergeCell ref="C927:E927"/>
    <mergeCell ref="F936:F938"/>
    <mergeCell ref="C929:E929"/>
    <mergeCell ref="C930:E930"/>
    <mergeCell ref="C931:E931"/>
    <mergeCell ref="C932:E932"/>
    <mergeCell ref="C933:E933"/>
    <mergeCell ref="C934:E934"/>
    <mergeCell ref="C935:E935"/>
    <mergeCell ref="G928:G935"/>
    <mergeCell ref="H928:H935"/>
    <mergeCell ref="A928:A935"/>
    <mergeCell ref="B928:B935"/>
    <mergeCell ref="C928:E928"/>
    <mergeCell ref="F928:F935"/>
    <mergeCell ref="C940:E940"/>
    <mergeCell ref="C941:E941"/>
    <mergeCell ref="C942:E942"/>
    <mergeCell ref="C943:E943"/>
    <mergeCell ref="C944:E944"/>
    <mergeCell ref="C945:E945"/>
    <mergeCell ref="H939:H961"/>
    <mergeCell ref="C937:E937"/>
    <mergeCell ref="C938:E938"/>
    <mergeCell ref="A939:A961"/>
    <mergeCell ref="B939:B961"/>
    <mergeCell ref="C939:E939"/>
    <mergeCell ref="F939:F961"/>
    <mergeCell ref="G939:G961"/>
    <mergeCell ref="G936:G938"/>
    <mergeCell ref="H936:H938"/>
    <mergeCell ref="A936:A938"/>
    <mergeCell ref="B936:B938"/>
    <mergeCell ref="C936:E936"/>
    <mergeCell ref="A962:A970"/>
    <mergeCell ref="B962:B970"/>
    <mergeCell ref="C962:E962"/>
    <mergeCell ref="C970:E970"/>
    <mergeCell ref="C952:E952"/>
    <mergeCell ref="C953:E953"/>
    <mergeCell ref="C954:E954"/>
    <mergeCell ref="C955:E955"/>
    <mergeCell ref="C956:E956"/>
    <mergeCell ref="C957:E957"/>
    <mergeCell ref="C946:E946"/>
    <mergeCell ref="C947:E947"/>
    <mergeCell ref="C948:E948"/>
    <mergeCell ref="C949:E949"/>
    <mergeCell ref="C950:E950"/>
    <mergeCell ref="C951:E951"/>
    <mergeCell ref="C963:E963"/>
    <mergeCell ref="C964:E964"/>
    <mergeCell ref="C965:E965"/>
    <mergeCell ref="C966:E966"/>
    <mergeCell ref="C967:E967"/>
    <mergeCell ref="C968:E968"/>
    <mergeCell ref="C969:E969"/>
    <mergeCell ref="F962:F970"/>
    <mergeCell ref="G962:G970"/>
    <mergeCell ref="H962:H970"/>
    <mergeCell ref="C958:E958"/>
    <mergeCell ref="C959:E959"/>
    <mergeCell ref="C960:E960"/>
    <mergeCell ref="C961:E961"/>
    <mergeCell ref="C982:E982"/>
    <mergeCell ref="A983:A985"/>
    <mergeCell ref="B983:B985"/>
    <mergeCell ref="C983:E985"/>
    <mergeCell ref="F983:F985"/>
    <mergeCell ref="C972:E972"/>
    <mergeCell ref="C973:E973"/>
    <mergeCell ref="C974:E974"/>
    <mergeCell ref="C975:E975"/>
    <mergeCell ref="C976:E976"/>
    <mergeCell ref="C977:E977"/>
    <mergeCell ref="C978:E978"/>
    <mergeCell ref="C979:E979"/>
    <mergeCell ref="C980:E980"/>
    <mergeCell ref="G971:G981"/>
    <mergeCell ref="H971:H981"/>
    <mergeCell ref="A971:A981"/>
    <mergeCell ref="B971:B981"/>
    <mergeCell ref="C971:E971"/>
    <mergeCell ref="F971:F981"/>
    <mergeCell ref="C981:E981"/>
    <mergeCell ref="C990:E990"/>
    <mergeCell ref="C991:E991"/>
    <mergeCell ref="C992:E992"/>
    <mergeCell ref="C993:E993"/>
    <mergeCell ref="C994:E994"/>
    <mergeCell ref="C995:E995"/>
    <mergeCell ref="C986:E986"/>
    <mergeCell ref="C987:E987"/>
    <mergeCell ref="C988:E988"/>
    <mergeCell ref="C989:E989"/>
    <mergeCell ref="G983:G985"/>
    <mergeCell ref="H983:H985"/>
    <mergeCell ref="C1000:E1000"/>
    <mergeCell ref="A1001:A1002"/>
    <mergeCell ref="B1001:B1002"/>
    <mergeCell ref="C1001:E1001"/>
    <mergeCell ref="F1001:F1002"/>
    <mergeCell ref="F999:F1000"/>
    <mergeCell ref="G999:G1000"/>
    <mergeCell ref="H999:H1000"/>
    <mergeCell ref="C996:E996"/>
    <mergeCell ref="C997:E997"/>
    <mergeCell ref="C998:E998"/>
    <mergeCell ref="A999:A1000"/>
    <mergeCell ref="B999:B1000"/>
    <mergeCell ref="C999:E999"/>
    <mergeCell ref="H1003:H1004"/>
    <mergeCell ref="C1004:E1004"/>
    <mergeCell ref="C1002:E1002"/>
    <mergeCell ref="A1003:A1004"/>
    <mergeCell ref="B1003:B1004"/>
    <mergeCell ref="C1003:E1003"/>
    <mergeCell ref="F1003:F1004"/>
    <mergeCell ref="G1003:G1004"/>
    <mergeCell ref="G1001:G1002"/>
    <mergeCell ref="H1001:H1002"/>
    <mergeCell ref="A1017:A1024"/>
    <mergeCell ref="B1017:B1024"/>
    <mergeCell ref="C1017:E1017"/>
    <mergeCell ref="C1010:E1010"/>
    <mergeCell ref="C1011:E1011"/>
    <mergeCell ref="C1012:E1012"/>
    <mergeCell ref="F1009:F1011"/>
    <mergeCell ref="G1009:G1011"/>
    <mergeCell ref="H1009:H1011"/>
    <mergeCell ref="C1005:E1005"/>
    <mergeCell ref="C1006:E1006"/>
    <mergeCell ref="C1007:E1007"/>
    <mergeCell ref="C1008:E1008"/>
    <mergeCell ref="A1009:A1011"/>
    <mergeCell ref="B1009:B1011"/>
    <mergeCell ref="C1009:E1009"/>
    <mergeCell ref="C1018:E1018"/>
    <mergeCell ref="C1019:E1019"/>
    <mergeCell ref="C1020:E1020"/>
    <mergeCell ref="C1021:E1021"/>
    <mergeCell ref="C1022:E1022"/>
    <mergeCell ref="C1023:E1023"/>
    <mergeCell ref="C1024:E1024"/>
    <mergeCell ref="F1017:F1024"/>
    <mergeCell ref="G1017:G1024"/>
    <mergeCell ref="H1017:H1024"/>
    <mergeCell ref="C1013:E1013"/>
    <mergeCell ref="C1014:E1014"/>
    <mergeCell ref="C1015:E1015"/>
    <mergeCell ref="C1016:E1016"/>
    <mergeCell ref="H1028:H1032"/>
    <mergeCell ref="C1026:E1026"/>
    <mergeCell ref="C1027:E1027"/>
    <mergeCell ref="A1028:A1032"/>
    <mergeCell ref="B1028:B1032"/>
    <mergeCell ref="C1028:E1032"/>
    <mergeCell ref="F1028:F1032"/>
    <mergeCell ref="G1028:G1032"/>
    <mergeCell ref="G1025:G1026"/>
    <mergeCell ref="H1025:H1026"/>
    <mergeCell ref="A1025:A1026"/>
    <mergeCell ref="B1025:B1026"/>
    <mergeCell ref="C1025:E1025"/>
    <mergeCell ref="F1025:F1026"/>
    <mergeCell ref="C1034:E1034"/>
    <mergeCell ref="C1035:E1035"/>
    <mergeCell ref="C1036:E1036"/>
    <mergeCell ref="C1037:E1037"/>
    <mergeCell ref="C1038:E1038"/>
    <mergeCell ref="G1033:G1036"/>
    <mergeCell ref="H1033:H1036"/>
    <mergeCell ref="A1033:A1036"/>
    <mergeCell ref="B1033:B1036"/>
    <mergeCell ref="C1033:E1033"/>
    <mergeCell ref="F1033:F1036"/>
    <mergeCell ref="C1043:E1043"/>
    <mergeCell ref="C1044:E1044"/>
    <mergeCell ref="C1045:E1045"/>
    <mergeCell ref="F1042:F1043"/>
    <mergeCell ref="G1042:G1043"/>
    <mergeCell ref="H1042:H1043"/>
    <mergeCell ref="C1039:E1039"/>
    <mergeCell ref="C1040:E1040"/>
    <mergeCell ref="C1041:E1041"/>
    <mergeCell ref="A1042:A1043"/>
    <mergeCell ref="B1042:B1043"/>
    <mergeCell ref="C1042:E1042"/>
    <mergeCell ref="C1058:E1058"/>
    <mergeCell ref="C1059:E1059"/>
    <mergeCell ref="C1060:E1060"/>
    <mergeCell ref="C1061:E1061"/>
    <mergeCell ref="C1062:E1062"/>
    <mergeCell ref="A1063:A1064"/>
    <mergeCell ref="B1063:B1064"/>
    <mergeCell ref="C1063:E1063"/>
    <mergeCell ref="C1052:E1052"/>
    <mergeCell ref="C1053:E1053"/>
    <mergeCell ref="C1054:E1054"/>
    <mergeCell ref="C1055:E1055"/>
    <mergeCell ref="C1056:E1056"/>
    <mergeCell ref="C1057:E1057"/>
    <mergeCell ref="C1046:E1046"/>
    <mergeCell ref="C1047:E1047"/>
    <mergeCell ref="C1048:E1048"/>
    <mergeCell ref="C1049:E1049"/>
    <mergeCell ref="C1050:E1050"/>
    <mergeCell ref="C1051:E1051"/>
    <mergeCell ref="C1066:E1066"/>
    <mergeCell ref="C1067:E1067"/>
    <mergeCell ref="C1068:E1068"/>
    <mergeCell ref="C1069:E1069"/>
    <mergeCell ref="C1070:E1070"/>
    <mergeCell ref="G1065:G1066"/>
    <mergeCell ref="H1065:H1066"/>
    <mergeCell ref="C1064:E1064"/>
    <mergeCell ref="A1065:A1066"/>
    <mergeCell ref="B1065:B1066"/>
    <mergeCell ref="C1065:E1065"/>
    <mergeCell ref="F1065:F1066"/>
    <mergeCell ref="F1063:F1064"/>
    <mergeCell ref="G1063:G1064"/>
    <mergeCell ref="H1063:H1064"/>
    <mergeCell ref="A1082:A1090"/>
    <mergeCell ref="B1082:B1090"/>
    <mergeCell ref="C1082:E1082"/>
    <mergeCell ref="F1082:F1090"/>
    <mergeCell ref="C1072:E1072"/>
    <mergeCell ref="C1073:E1073"/>
    <mergeCell ref="C1074:E1074"/>
    <mergeCell ref="C1075:E1075"/>
    <mergeCell ref="C1076:E1076"/>
    <mergeCell ref="C1077:E1077"/>
    <mergeCell ref="C1078:E1078"/>
    <mergeCell ref="C1079:E1079"/>
    <mergeCell ref="C1080:E1080"/>
    <mergeCell ref="G1071:G1081"/>
    <mergeCell ref="H1071:H1081"/>
    <mergeCell ref="A1071:A1081"/>
    <mergeCell ref="B1071:B1081"/>
    <mergeCell ref="C1071:E1071"/>
    <mergeCell ref="F1071:F1081"/>
    <mergeCell ref="C1081:E1081"/>
    <mergeCell ref="C1102:E1102"/>
    <mergeCell ref="C1103:E1103"/>
    <mergeCell ref="C1104:E1104"/>
    <mergeCell ref="C1083:E1083"/>
    <mergeCell ref="C1084:E1084"/>
    <mergeCell ref="C1085:E1085"/>
    <mergeCell ref="C1086:E1086"/>
    <mergeCell ref="C1087:E1087"/>
    <mergeCell ref="C1088:E1088"/>
    <mergeCell ref="C1089:E1089"/>
    <mergeCell ref="C1090:E1090"/>
    <mergeCell ref="G1082:G1090"/>
    <mergeCell ref="H1082:H1090"/>
    <mergeCell ref="A1106:A1118"/>
    <mergeCell ref="B1106:B1118"/>
    <mergeCell ref="C1106:E1106"/>
    <mergeCell ref="F1106:F1118"/>
    <mergeCell ref="C1115:E1115"/>
    <mergeCell ref="C1116:E1116"/>
    <mergeCell ref="C1117:E1117"/>
    <mergeCell ref="C1118:E1118"/>
    <mergeCell ref="C1092:E1092"/>
    <mergeCell ref="C1093:E1093"/>
    <mergeCell ref="C1094:E1094"/>
    <mergeCell ref="C1095:E1095"/>
    <mergeCell ref="C1096:E1096"/>
    <mergeCell ref="C1097:E1097"/>
    <mergeCell ref="C1098:E1098"/>
    <mergeCell ref="C1099:E1099"/>
    <mergeCell ref="C1100:E1100"/>
    <mergeCell ref="G1091:G1105"/>
    <mergeCell ref="H1091:H1105"/>
    <mergeCell ref="A1091:A1105"/>
    <mergeCell ref="B1091:B1105"/>
    <mergeCell ref="C1091:E1091"/>
    <mergeCell ref="F1091:F1105"/>
    <mergeCell ref="C1101:E1101"/>
    <mergeCell ref="C1107:E1107"/>
    <mergeCell ref="C1108:E1108"/>
    <mergeCell ref="C1109:E1109"/>
    <mergeCell ref="C1110:E1110"/>
    <mergeCell ref="C1111:E1111"/>
    <mergeCell ref="C1112:E1112"/>
    <mergeCell ref="C1113:E1113"/>
    <mergeCell ref="C1114:E1114"/>
    <mergeCell ref="G1106:G1118"/>
    <mergeCell ref="H1106:H1118"/>
    <mergeCell ref="C1105:E1105"/>
    <mergeCell ref="H1121:H1122"/>
    <mergeCell ref="A1121:A1122"/>
    <mergeCell ref="B1121:B1122"/>
    <mergeCell ref="C1121:E1122"/>
    <mergeCell ref="G1121:G1122"/>
    <mergeCell ref="H1119:H1120"/>
    <mergeCell ref="A1119:A1120"/>
    <mergeCell ref="B1119:B1120"/>
    <mergeCell ref="C1119:E1120"/>
    <mergeCell ref="G1119:G1120"/>
    <mergeCell ref="H1126:H1130"/>
    <mergeCell ref="C1127:E1127"/>
    <mergeCell ref="C1128:E1128"/>
    <mergeCell ref="C1129:E1129"/>
    <mergeCell ref="C1130:E1130"/>
    <mergeCell ref="C1124:E1124"/>
    <mergeCell ref="C1125:E1125"/>
    <mergeCell ref="A1126:A1130"/>
    <mergeCell ref="B1126:B1130"/>
    <mergeCell ref="C1126:E1126"/>
    <mergeCell ref="G1126:G1130"/>
    <mergeCell ref="G1123:G1125"/>
    <mergeCell ref="H1123:H1125"/>
    <mergeCell ref="A1123:A1125"/>
    <mergeCell ref="B1123:B1125"/>
    <mergeCell ref="C1123:E1123"/>
    <mergeCell ref="F1123:F1125"/>
    <mergeCell ref="C1136:E1136"/>
    <mergeCell ref="C1137:E1137"/>
    <mergeCell ref="A1138:A1140"/>
    <mergeCell ref="B1138:B1140"/>
    <mergeCell ref="C1138:E1138"/>
    <mergeCell ref="H1131:H1137"/>
    <mergeCell ref="A1131:A1137"/>
    <mergeCell ref="B1131:B1137"/>
    <mergeCell ref="C1131:E1131"/>
    <mergeCell ref="G1131:G1137"/>
    <mergeCell ref="C1132:E1132"/>
    <mergeCell ref="C1133:E1133"/>
    <mergeCell ref="C1134:E1134"/>
    <mergeCell ref="C1135:E1135"/>
    <mergeCell ref="C1142:E1142"/>
    <mergeCell ref="C1143:E1143"/>
    <mergeCell ref="A1144:A1145"/>
    <mergeCell ref="B1144:B1145"/>
    <mergeCell ref="C1144:E1144"/>
    <mergeCell ref="F1144:F1145"/>
    <mergeCell ref="G1141:G1143"/>
    <mergeCell ref="H1141:H1143"/>
    <mergeCell ref="C1139:E1139"/>
    <mergeCell ref="C1140:E1140"/>
    <mergeCell ref="A1141:A1143"/>
    <mergeCell ref="B1141:B1143"/>
    <mergeCell ref="C1141:E1141"/>
    <mergeCell ref="F1141:F1143"/>
    <mergeCell ref="F1138:F1140"/>
    <mergeCell ref="G1138:G1140"/>
    <mergeCell ref="H1138:H1140"/>
    <mergeCell ref="C1149:E1149"/>
    <mergeCell ref="C1150:E1150"/>
    <mergeCell ref="C1151:E1151"/>
    <mergeCell ref="A1152:A1153"/>
    <mergeCell ref="B1152:B1153"/>
    <mergeCell ref="C1152:E1152"/>
    <mergeCell ref="F1152:F1153"/>
    <mergeCell ref="G1148:G1150"/>
    <mergeCell ref="H1148:H1150"/>
    <mergeCell ref="C1145:E1145"/>
    <mergeCell ref="C1146:E1146"/>
    <mergeCell ref="C1147:E1147"/>
    <mergeCell ref="A1148:A1150"/>
    <mergeCell ref="B1148:B1150"/>
    <mergeCell ref="C1148:E1148"/>
    <mergeCell ref="F1148:F1150"/>
    <mergeCell ref="G1144:G1145"/>
    <mergeCell ref="H1144:H1145"/>
    <mergeCell ref="C1157:E1157"/>
    <mergeCell ref="C1158:E1158"/>
    <mergeCell ref="A1159:A1161"/>
    <mergeCell ref="B1159:B1161"/>
    <mergeCell ref="C1159:E1159"/>
    <mergeCell ref="F1159:F1161"/>
    <mergeCell ref="G1159:G1161"/>
    <mergeCell ref="G1156:G1158"/>
    <mergeCell ref="H1156:H1158"/>
    <mergeCell ref="C1153:E1153"/>
    <mergeCell ref="C1154:E1154"/>
    <mergeCell ref="C1155:E1155"/>
    <mergeCell ref="A1156:A1158"/>
    <mergeCell ref="B1156:B1158"/>
    <mergeCell ref="C1156:E1156"/>
    <mergeCell ref="F1156:F1158"/>
    <mergeCell ref="G1152:G1153"/>
    <mergeCell ref="H1152:H1153"/>
    <mergeCell ref="C1163:E1163"/>
    <mergeCell ref="C1164:E1164"/>
    <mergeCell ref="C1165:E1165"/>
    <mergeCell ref="C1166:E1166"/>
    <mergeCell ref="F1162:F1166"/>
    <mergeCell ref="G1162:G1166"/>
    <mergeCell ref="H1162:H1166"/>
    <mergeCell ref="C1160:E1160"/>
    <mergeCell ref="C1161:E1161"/>
    <mergeCell ref="A1162:A1166"/>
    <mergeCell ref="B1162:B1166"/>
    <mergeCell ref="C1162:E1162"/>
    <mergeCell ref="H1159:H1161"/>
    <mergeCell ref="C1168:E1168"/>
    <mergeCell ref="C1169:E1169"/>
    <mergeCell ref="A1170:A1176"/>
    <mergeCell ref="B1170:B1176"/>
    <mergeCell ref="C1170:E1170"/>
    <mergeCell ref="F1170:F1176"/>
    <mergeCell ref="G1170:G1176"/>
    <mergeCell ref="G1167:G1169"/>
    <mergeCell ref="H1167:H1169"/>
    <mergeCell ref="A1167:A1169"/>
    <mergeCell ref="B1167:B1169"/>
    <mergeCell ref="C1167:E1167"/>
    <mergeCell ref="F1167:F1169"/>
    <mergeCell ref="C1177:E1177"/>
    <mergeCell ref="A1178:A1180"/>
    <mergeCell ref="B1178:B1180"/>
    <mergeCell ref="C1178:E1178"/>
    <mergeCell ref="F1178:F1180"/>
    <mergeCell ref="C1171:E1171"/>
    <mergeCell ref="C1172:E1172"/>
    <mergeCell ref="C1173:E1173"/>
    <mergeCell ref="C1174:E1174"/>
    <mergeCell ref="C1175:E1175"/>
    <mergeCell ref="C1176:E1176"/>
    <mergeCell ref="H1170:H1176"/>
    <mergeCell ref="C1207:E1207"/>
    <mergeCell ref="C1179:E1179"/>
    <mergeCell ref="C1180:E1180"/>
    <mergeCell ref="A1181:A1183"/>
    <mergeCell ref="B1181:B1183"/>
    <mergeCell ref="C1181:E1183"/>
    <mergeCell ref="F1181:F1183"/>
    <mergeCell ref="G1178:G1180"/>
    <mergeCell ref="H1178:H1180"/>
    <mergeCell ref="C1191:E1191"/>
    <mergeCell ref="C1185:E1185"/>
    <mergeCell ref="C1186:E1186"/>
    <mergeCell ref="C1187:E1187"/>
    <mergeCell ref="C1188:E1188"/>
    <mergeCell ref="C1189:E1189"/>
    <mergeCell ref="C1190:E1190"/>
    <mergeCell ref="H1200:H1208"/>
    <mergeCell ref="C1198:E1198"/>
    <mergeCell ref="C1199:E1199"/>
    <mergeCell ref="A1184:A1196"/>
    <mergeCell ref="B1184:B1196"/>
    <mergeCell ref="C1184:E1184"/>
    <mergeCell ref="F1184:F1196"/>
    <mergeCell ref="G1184:G1196"/>
    <mergeCell ref="G1181:G1183"/>
    <mergeCell ref="H1181:H1183"/>
    <mergeCell ref="G1197:G1199"/>
    <mergeCell ref="H1197:H1199"/>
    <mergeCell ref="A1197:A1199"/>
    <mergeCell ref="B1197:B1199"/>
    <mergeCell ref="C1197:E1197"/>
    <mergeCell ref="F1197:F1199"/>
    <mergeCell ref="A1200:A1208"/>
    <mergeCell ref="B1200:B1208"/>
    <mergeCell ref="C1200:E1200"/>
    <mergeCell ref="F1200:F1208"/>
    <mergeCell ref="G1200:G1208"/>
    <mergeCell ref="C1216:E1216"/>
    <mergeCell ref="C1217:E1217"/>
    <mergeCell ref="A1218:A1220"/>
    <mergeCell ref="B1218:B1220"/>
    <mergeCell ref="C1218:E1218"/>
    <mergeCell ref="C1208:E1208"/>
    <mergeCell ref="C1192:E1192"/>
    <mergeCell ref="C1193:E1193"/>
    <mergeCell ref="C1194:E1194"/>
    <mergeCell ref="C1195:E1195"/>
    <mergeCell ref="C1196:E1196"/>
    <mergeCell ref="H1184:H1196"/>
    <mergeCell ref="C1201:E1201"/>
    <mergeCell ref="C1202:E1202"/>
    <mergeCell ref="C1203:E1203"/>
    <mergeCell ref="C1204:E1204"/>
    <mergeCell ref="C1205:E1205"/>
    <mergeCell ref="C1206:E1206"/>
    <mergeCell ref="C1210:E1210"/>
    <mergeCell ref="C1211:E1211"/>
    <mergeCell ref="C1212:E1212"/>
    <mergeCell ref="C1213:E1213"/>
    <mergeCell ref="F1209:F1213"/>
    <mergeCell ref="G1209:G1213"/>
    <mergeCell ref="H1209:H1213"/>
    <mergeCell ref="A1209:A1213"/>
    <mergeCell ref="B1209:B1213"/>
    <mergeCell ref="C1209:E1209"/>
    <mergeCell ref="C1228:E1228"/>
    <mergeCell ref="C1229:E1229"/>
    <mergeCell ref="C1214:E1214"/>
    <mergeCell ref="C1215:E1215"/>
    <mergeCell ref="C1230:E1230"/>
    <mergeCell ref="C1231:E1231"/>
    <mergeCell ref="C1232:E1232"/>
    <mergeCell ref="C1233:E1233"/>
    <mergeCell ref="C1222:E1222"/>
    <mergeCell ref="C1223:E1223"/>
    <mergeCell ref="C1224:E1224"/>
    <mergeCell ref="C1225:E1225"/>
    <mergeCell ref="C1226:E1226"/>
    <mergeCell ref="C1227:E1227"/>
    <mergeCell ref="C1219:E1219"/>
    <mergeCell ref="C1220:E1220"/>
    <mergeCell ref="C1221:E1221"/>
    <mergeCell ref="F1218:F1220"/>
    <mergeCell ref="G1218:G1220"/>
    <mergeCell ref="H1218:H1220"/>
    <mergeCell ref="C1246:E1246"/>
    <mergeCell ref="C1247:E1247"/>
    <mergeCell ref="C1248:E1248"/>
    <mergeCell ref="C1249:E1249"/>
    <mergeCell ref="A1250:A1256"/>
    <mergeCell ref="B1250:B1256"/>
    <mergeCell ref="C1250:E1250"/>
    <mergeCell ref="C1240:E1240"/>
    <mergeCell ref="C1241:E1241"/>
    <mergeCell ref="C1242:E1242"/>
    <mergeCell ref="C1243:E1243"/>
    <mergeCell ref="C1244:E1244"/>
    <mergeCell ref="C1245:E1245"/>
    <mergeCell ref="C1234:E1234"/>
    <mergeCell ref="C1235:E1235"/>
    <mergeCell ref="C1236:E1236"/>
    <mergeCell ref="C1237:E1237"/>
    <mergeCell ref="C1238:E1238"/>
    <mergeCell ref="C1239:E1239"/>
    <mergeCell ref="C1263:E1263"/>
    <mergeCell ref="C1264:E1264"/>
    <mergeCell ref="C1265:E1265"/>
    <mergeCell ref="A1266:A1268"/>
    <mergeCell ref="B1266:B1268"/>
    <mergeCell ref="C1266:E1266"/>
    <mergeCell ref="C1257:E1257"/>
    <mergeCell ref="C1258:E1258"/>
    <mergeCell ref="C1259:E1259"/>
    <mergeCell ref="C1260:E1260"/>
    <mergeCell ref="C1261:E1261"/>
    <mergeCell ref="C1262:E1262"/>
    <mergeCell ref="C1251:E1251"/>
    <mergeCell ref="C1252:E1252"/>
    <mergeCell ref="C1253:E1253"/>
    <mergeCell ref="C1254:E1254"/>
    <mergeCell ref="C1255:E1255"/>
    <mergeCell ref="C1256:E1256"/>
    <mergeCell ref="F1250:F1256"/>
    <mergeCell ref="G1250:G1256"/>
    <mergeCell ref="H1250:H1256"/>
    <mergeCell ref="C1270:E1270"/>
    <mergeCell ref="A1271:A1273"/>
    <mergeCell ref="B1271:B1273"/>
    <mergeCell ref="C1271:E1271"/>
    <mergeCell ref="F1271:F1273"/>
    <mergeCell ref="C1267:E1267"/>
    <mergeCell ref="C1268:E1268"/>
    <mergeCell ref="C1269:E1269"/>
    <mergeCell ref="F1266:F1268"/>
    <mergeCell ref="G1266:G1268"/>
    <mergeCell ref="H1266:H1268"/>
    <mergeCell ref="A1279:A1283"/>
    <mergeCell ref="B1279:B1283"/>
    <mergeCell ref="C1279:E1279"/>
    <mergeCell ref="F1279:F1283"/>
    <mergeCell ref="G1274:G1278"/>
    <mergeCell ref="H1274:H1278"/>
    <mergeCell ref="C1272:E1272"/>
    <mergeCell ref="C1273:E1273"/>
    <mergeCell ref="A1274:A1278"/>
    <mergeCell ref="B1274:B1278"/>
    <mergeCell ref="C1274:E1274"/>
    <mergeCell ref="F1274:F1278"/>
    <mergeCell ref="G1271:G1273"/>
    <mergeCell ref="H1271:H1273"/>
    <mergeCell ref="C1280:E1280"/>
    <mergeCell ref="C1281:E1281"/>
    <mergeCell ref="C1282:E1282"/>
    <mergeCell ref="C1283:E1283"/>
    <mergeCell ref="G1279:G1283"/>
    <mergeCell ref="H1279:H1283"/>
    <mergeCell ref="C1275:E1275"/>
    <mergeCell ref="C1276:E1276"/>
    <mergeCell ref="C1277:E1277"/>
    <mergeCell ref="C1278:E1278"/>
    <mergeCell ref="A1289:A1293"/>
    <mergeCell ref="B1289:B1293"/>
    <mergeCell ref="C1289:E1289"/>
    <mergeCell ref="F1289:F1293"/>
    <mergeCell ref="G1284:G1288"/>
    <mergeCell ref="H1284:H1288"/>
    <mergeCell ref="A1284:A1288"/>
    <mergeCell ref="B1284:B1288"/>
    <mergeCell ref="C1284:E1284"/>
    <mergeCell ref="F1284:F1288"/>
    <mergeCell ref="C1290:E1290"/>
    <mergeCell ref="C1291:E1291"/>
    <mergeCell ref="C1292:E1292"/>
    <mergeCell ref="C1293:E1293"/>
    <mergeCell ref="G1289:G1293"/>
    <mergeCell ref="H1289:H1293"/>
    <mergeCell ref="C1285:E1285"/>
    <mergeCell ref="C1286:E1286"/>
    <mergeCell ref="C1287:E1287"/>
    <mergeCell ref="C1288:E1288"/>
    <mergeCell ref="C1295:E1295"/>
    <mergeCell ref="C1296:E1296"/>
    <mergeCell ref="C1297:E1297"/>
    <mergeCell ref="C1298:E1298"/>
    <mergeCell ref="C1299:E1299"/>
    <mergeCell ref="C1300:E1300"/>
    <mergeCell ref="G1294:G1300"/>
    <mergeCell ref="H1294:H1300"/>
    <mergeCell ref="A1294:A1300"/>
    <mergeCell ref="B1294:B1300"/>
    <mergeCell ref="C1294:E1294"/>
    <mergeCell ref="F1294:F1300"/>
    <mergeCell ref="A1306:A1310"/>
    <mergeCell ref="B1306:B1310"/>
    <mergeCell ref="C1306:E1306"/>
    <mergeCell ref="F1306:F1310"/>
    <mergeCell ref="G1301:G1305"/>
    <mergeCell ref="H1301:H1305"/>
    <mergeCell ref="A1301:A1305"/>
    <mergeCell ref="B1301:B1305"/>
    <mergeCell ref="C1301:E1301"/>
    <mergeCell ref="F1301:F1305"/>
    <mergeCell ref="C1307:E1307"/>
    <mergeCell ref="C1308:E1308"/>
    <mergeCell ref="C1309:E1309"/>
    <mergeCell ref="C1310:E1310"/>
    <mergeCell ref="G1306:G1310"/>
    <mergeCell ref="H1306:H1310"/>
    <mergeCell ref="C1302:E1302"/>
    <mergeCell ref="C1303:E1303"/>
    <mergeCell ref="C1304:E1304"/>
    <mergeCell ref="C1305:E1305"/>
    <mergeCell ref="C1312:E1312"/>
    <mergeCell ref="C1313:E1313"/>
    <mergeCell ref="C1314:E1314"/>
    <mergeCell ref="A1315:A1321"/>
    <mergeCell ref="B1315:B1321"/>
    <mergeCell ref="C1315:E1315"/>
    <mergeCell ref="F1315:F1321"/>
    <mergeCell ref="G1311:G1313"/>
    <mergeCell ref="H1311:H1313"/>
    <mergeCell ref="A1311:A1313"/>
    <mergeCell ref="B1311:B1313"/>
    <mergeCell ref="C1311:E1311"/>
    <mergeCell ref="F1311:F1313"/>
    <mergeCell ref="A1322:A1324"/>
    <mergeCell ref="B1322:B1324"/>
    <mergeCell ref="C1322:E1322"/>
    <mergeCell ref="F1322:F1324"/>
    <mergeCell ref="C1316:E1316"/>
    <mergeCell ref="C1317:E1317"/>
    <mergeCell ref="C1318:E1318"/>
    <mergeCell ref="C1319:E1319"/>
    <mergeCell ref="C1320:E1320"/>
    <mergeCell ref="C1321:E1321"/>
    <mergeCell ref="G1315:G1321"/>
    <mergeCell ref="H1315:H1321"/>
    <mergeCell ref="A1337:A1341"/>
    <mergeCell ref="B1337:B1341"/>
    <mergeCell ref="C1337:E1337"/>
    <mergeCell ref="C1326:E1326"/>
    <mergeCell ref="C1327:E1327"/>
    <mergeCell ref="C1328:E1328"/>
    <mergeCell ref="C1329:E1329"/>
    <mergeCell ref="C1330:E1330"/>
    <mergeCell ref="C1331:E1331"/>
    <mergeCell ref="H1325:H1334"/>
    <mergeCell ref="C1323:E1323"/>
    <mergeCell ref="C1324:E1324"/>
    <mergeCell ref="A1325:A1334"/>
    <mergeCell ref="B1325:B1334"/>
    <mergeCell ref="C1325:E1325"/>
    <mergeCell ref="F1325:F1334"/>
    <mergeCell ref="G1325:G1334"/>
    <mergeCell ref="G1322:G1324"/>
    <mergeCell ref="H1322:H1324"/>
    <mergeCell ref="C1338:E1338"/>
    <mergeCell ref="C1339:E1339"/>
    <mergeCell ref="C1340:E1340"/>
    <mergeCell ref="C1341:E1341"/>
    <mergeCell ref="G1337:G1341"/>
    <mergeCell ref="H1337:H1341"/>
    <mergeCell ref="C1332:E1332"/>
    <mergeCell ref="C1333:E1333"/>
    <mergeCell ref="C1334:E1334"/>
    <mergeCell ref="C1335:E1335"/>
    <mergeCell ref="C1336:E1336"/>
    <mergeCell ref="A1349:A1353"/>
    <mergeCell ref="B1349:B1353"/>
    <mergeCell ref="C1349:E1349"/>
    <mergeCell ref="F1349:F1353"/>
    <mergeCell ref="C1343:E1343"/>
    <mergeCell ref="C1344:E1344"/>
    <mergeCell ref="C1345:E1345"/>
    <mergeCell ref="C1346:E1346"/>
    <mergeCell ref="C1347:E1347"/>
    <mergeCell ref="C1348:E1348"/>
    <mergeCell ref="G1342:G1348"/>
    <mergeCell ref="H1342:H1348"/>
    <mergeCell ref="A1342:A1348"/>
    <mergeCell ref="B1342:B1348"/>
    <mergeCell ref="C1342:E1342"/>
    <mergeCell ref="F1342:F1348"/>
    <mergeCell ref="C1355:E1355"/>
    <mergeCell ref="C1356:E1356"/>
    <mergeCell ref="A1357:A1359"/>
    <mergeCell ref="B1357:B1359"/>
    <mergeCell ref="C1357:E1357"/>
    <mergeCell ref="F1357:F1359"/>
    <mergeCell ref="G1354:G1356"/>
    <mergeCell ref="H1354:H1356"/>
    <mergeCell ref="C1350:E1350"/>
    <mergeCell ref="C1351:E1351"/>
    <mergeCell ref="C1352:E1352"/>
    <mergeCell ref="C1353:E1353"/>
    <mergeCell ref="A1354:A1356"/>
    <mergeCell ref="B1354:B1356"/>
    <mergeCell ref="C1354:E1354"/>
    <mergeCell ref="F1354:F1356"/>
    <mergeCell ref="G1349:G1353"/>
    <mergeCell ref="H1349:H1353"/>
    <mergeCell ref="C1361:E1361"/>
    <mergeCell ref="C1362:E1362"/>
    <mergeCell ref="C1363:E1363"/>
    <mergeCell ref="C1364:E1364"/>
    <mergeCell ref="C1365:E1365"/>
    <mergeCell ref="C1366:E1366"/>
    <mergeCell ref="H1360:H1366"/>
    <mergeCell ref="C1358:E1358"/>
    <mergeCell ref="C1359:E1359"/>
    <mergeCell ref="A1360:A1366"/>
    <mergeCell ref="B1360:B1366"/>
    <mergeCell ref="C1360:E1360"/>
    <mergeCell ref="F1360:F1366"/>
    <mergeCell ref="G1360:G1366"/>
    <mergeCell ref="G1357:G1359"/>
    <mergeCell ref="H1357:H1359"/>
    <mergeCell ref="C1368:E1368"/>
    <mergeCell ref="C1369:E1369"/>
    <mergeCell ref="C1370:E1370"/>
    <mergeCell ref="C1371:E1371"/>
    <mergeCell ref="C1372:E1372"/>
    <mergeCell ref="C1373:E1373"/>
    <mergeCell ref="C1374:E1374"/>
    <mergeCell ref="C1375:E1375"/>
    <mergeCell ref="C1376:E1376"/>
    <mergeCell ref="G1367:G1379"/>
    <mergeCell ref="H1367:H1379"/>
    <mergeCell ref="A1367:A1379"/>
    <mergeCell ref="B1367:B1379"/>
    <mergeCell ref="C1367:E1367"/>
    <mergeCell ref="F1367:F1379"/>
    <mergeCell ref="C1377:E1377"/>
    <mergeCell ref="C1378:E1378"/>
    <mergeCell ref="C1379:E1379"/>
    <mergeCell ref="C1381:E1381"/>
    <mergeCell ref="C1382:E1382"/>
    <mergeCell ref="C1383:E1383"/>
    <mergeCell ref="C1384:E1384"/>
    <mergeCell ref="C1385:E1385"/>
    <mergeCell ref="C1386:E1386"/>
    <mergeCell ref="C1387:E1387"/>
    <mergeCell ref="C1388:E1388"/>
    <mergeCell ref="C1389:E1389"/>
    <mergeCell ref="G1380:G1389"/>
    <mergeCell ref="H1380:H1389"/>
    <mergeCell ref="A1380:A1389"/>
    <mergeCell ref="B1380:B1389"/>
    <mergeCell ref="C1380:E1380"/>
    <mergeCell ref="F1380:F1389"/>
    <mergeCell ref="C1391:E1391"/>
    <mergeCell ref="C1392:E1392"/>
    <mergeCell ref="C1393:E1393"/>
    <mergeCell ref="C1394:E1394"/>
    <mergeCell ref="C1395:E1395"/>
    <mergeCell ref="C1396:E1396"/>
    <mergeCell ref="G1390:G1396"/>
    <mergeCell ref="H1390:H1396"/>
    <mergeCell ref="A1390:A1396"/>
    <mergeCell ref="B1390:B1396"/>
    <mergeCell ref="C1390:E1390"/>
    <mergeCell ref="F1390:F1396"/>
    <mergeCell ref="C1398:E1398"/>
    <mergeCell ref="C1399:E1399"/>
    <mergeCell ref="C1400:E1400"/>
    <mergeCell ref="C1401:E1401"/>
    <mergeCell ref="C1402:E1402"/>
    <mergeCell ref="G1397:G1401"/>
    <mergeCell ref="H1397:H1401"/>
    <mergeCell ref="A1397:A1401"/>
    <mergeCell ref="B1397:B1401"/>
    <mergeCell ref="C1397:E1397"/>
    <mergeCell ref="F1397:F1401"/>
    <mergeCell ref="C1409:E1409"/>
    <mergeCell ref="F1409:F1415"/>
    <mergeCell ref="C1404:E1404"/>
    <mergeCell ref="C1405:E1405"/>
    <mergeCell ref="C1406:E1406"/>
    <mergeCell ref="C1407:E1407"/>
    <mergeCell ref="C1408:E1408"/>
    <mergeCell ref="G1403:G1407"/>
    <mergeCell ref="H1403:H1407"/>
    <mergeCell ref="A1403:A1407"/>
    <mergeCell ref="B1403:B1407"/>
    <mergeCell ref="C1403:E1403"/>
    <mergeCell ref="F1403:F1407"/>
    <mergeCell ref="C1422:E1422"/>
    <mergeCell ref="C1423:E1423"/>
    <mergeCell ref="C1424:E1424"/>
    <mergeCell ref="C1425:E1425"/>
    <mergeCell ref="C1426:E1426"/>
    <mergeCell ref="A1427:A1435"/>
    <mergeCell ref="B1427:B1435"/>
    <mergeCell ref="C1427:E1427"/>
    <mergeCell ref="C1435:E1435"/>
    <mergeCell ref="C1416:E1416"/>
    <mergeCell ref="C1417:E1417"/>
    <mergeCell ref="C1418:E1418"/>
    <mergeCell ref="C1419:E1419"/>
    <mergeCell ref="C1420:E1420"/>
    <mergeCell ref="C1421:E1421"/>
    <mergeCell ref="C1410:E1410"/>
    <mergeCell ref="C1411:E1411"/>
    <mergeCell ref="C1412:E1412"/>
    <mergeCell ref="C1413:E1413"/>
    <mergeCell ref="C1414:E1414"/>
    <mergeCell ref="C1415:E1415"/>
    <mergeCell ref="G1409:G1415"/>
    <mergeCell ref="H1409:H1415"/>
    <mergeCell ref="A1409:A1415"/>
    <mergeCell ref="B1409:B1415"/>
    <mergeCell ref="C1428:E1428"/>
    <mergeCell ref="C1429:E1429"/>
    <mergeCell ref="C1430:E1430"/>
    <mergeCell ref="C1431:E1431"/>
    <mergeCell ref="C1432:E1432"/>
    <mergeCell ref="C1433:E1433"/>
    <mergeCell ref="C1434:E1434"/>
    <mergeCell ref="F1427:F1435"/>
    <mergeCell ref="G1427:G1435"/>
    <mergeCell ref="H1427:H1435"/>
    <mergeCell ref="C1439:E1439"/>
    <mergeCell ref="C1440:E1440"/>
    <mergeCell ref="C1441:E1441"/>
    <mergeCell ref="C1442:E1442"/>
    <mergeCell ref="C1443:E1443"/>
    <mergeCell ref="C1444:E1444"/>
    <mergeCell ref="C1445:E1445"/>
    <mergeCell ref="F1438:F1447"/>
    <mergeCell ref="G1438:G1447"/>
    <mergeCell ref="H1438:H1447"/>
    <mergeCell ref="C1436:E1436"/>
    <mergeCell ref="C1437:E1437"/>
    <mergeCell ref="C1449:E1449"/>
    <mergeCell ref="C1450:E1450"/>
    <mergeCell ref="C1451:E1451"/>
    <mergeCell ref="C1452:E1452"/>
    <mergeCell ref="A1453:A1464"/>
    <mergeCell ref="B1453:B1464"/>
    <mergeCell ref="C1453:E1453"/>
    <mergeCell ref="F1453:F1464"/>
    <mergeCell ref="G1448:G1450"/>
    <mergeCell ref="H1448:H1450"/>
    <mergeCell ref="A1448:A1450"/>
    <mergeCell ref="B1448:B1450"/>
    <mergeCell ref="C1448:E1448"/>
    <mergeCell ref="F1448:F1450"/>
    <mergeCell ref="A1438:A1447"/>
    <mergeCell ref="B1438:B1447"/>
    <mergeCell ref="C1438:E1438"/>
    <mergeCell ref="C1446:E1446"/>
    <mergeCell ref="C1447:E1447"/>
    <mergeCell ref="A1465:A1475"/>
    <mergeCell ref="B1465:B1475"/>
    <mergeCell ref="C1465:E1465"/>
    <mergeCell ref="C1473:E1473"/>
    <mergeCell ref="C1474:E1474"/>
    <mergeCell ref="C1475:E1475"/>
    <mergeCell ref="C1454:E1454"/>
    <mergeCell ref="C1455:E1455"/>
    <mergeCell ref="C1456:E1456"/>
    <mergeCell ref="C1457:E1457"/>
    <mergeCell ref="C1458:E1458"/>
    <mergeCell ref="C1459:E1459"/>
    <mergeCell ref="C1460:E1460"/>
    <mergeCell ref="C1461:E1461"/>
    <mergeCell ref="G1453:G1464"/>
    <mergeCell ref="H1453:H1464"/>
    <mergeCell ref="C1466:E1466"/>
    <mergeCell ref="C1467:E1467"/>
    <mergeCell ref="C1468:E1468"/>
    <mergeCell ref="C1469:E1469"/>
    <mergeCell ref="C1470:E1470"/>
    <mergeCell ref="C1471:E1471"/>
    <mergeCell ref="C1472:E1472"/>
    <mergeCell ref="F1465:F1475"/>
    <mergeCell ref="G1465:G1475"/>
    <mergeCell ref="H1465:H1475"/>
    <mergeCell ref="C1462:E1462"/>
    <mergeCell ref="C1463:E1463"/>
    <mergeCell ref="C1464:E1464"/>
    <mergeCell ref="A1489:A1497"/>
    <mergeCell ref="B1489:B1497"/>
    <mergeCell ref="C1489:E1489"/>
    <mergeCell ref="F1489:F1497"/>
    <mergeCell ref="C1477:E1477"/>
    <mergeCell ref="C1478:E1478"/>
    <mergeCell ref="C1479:E1479"/>
    <mergeCell ref="C1480:E1480"/>
    <mergeCell ref="C1481:E1481"/>
    <mergeCell ref="C1482:E1482"/>
    <mergeCell ref="C1483:E1483"/>
    <mergeCell ref="C1484:E1484"/>
    <mergeCell ref="C1485:E1485"/>
    <mergeCell ref="G1476:G1488"/>
    <mergeCell ref="H1476:H1488"/>
    <mergeCell ref="A1476:A1488"/>
    <mergeCell ref="B1476:B1488"/>
    <mergeCell ref="C1476:E1476"/>
    <mergeCell ref="F1476:F1488"/>
    <mergeCell ref="C1486:E1486"/>
    <mergeCell ref="C1487:E1487"/>
    <mergeCell ref="C1488:E1488"/>
    <mergeCell ref="F1498:F1509"/>
    <mergeCell ref="C1508:E1508"/>
    <mergeCell ref="C1509:E1509"/>
    <mergeCell ref="C1490:E1490"/>
    <mergeCell ref="C1491:E1491"/>
    <mergeCell ref="C1492:E1492"/>
    <mergeCell ref="C1493:E1493"/>
    <mergeCell ref="C1494:E1494"/>
    <mergeCell ref="C1495:E1495"/>
    <mergeCell ref="C1496:E1496"/>
    <mergeCell ref="C1497:E1497"/>
    <mergeCell ref="G1489:G1497"/>
    <mergeCell ref="H1489:H1497"/>
    <mergeCell ref="H1510:H1512"/>
    <mergeCell ref="C1511:E1511"/>
    <mergeCell ref="C1512:E1512"/>
    <mergeCell ref="A1510:A1512"/>
    <mergeCell ref="B1510:B1512"/>
    <mergeCell ref="C1510:E1510"/>
    <mergeCell ref="G1510:G1512"/>
    <mergeCell ref="C1499:E1499"/>
    <mergeCell ref="C1500:E1500"/>
    <mergeCell ref="C1501:E1501"/>
    <mergeCell ref="C1502:E1502"/>
    <mergeCell ref="C1503:E1503"/>
    <mergeCell ref="C1504:E1504"/>
    <mergeCell ref="C1505:E1505"/>
    <mergeCell ref="C1506:E1506"/>
    <mergeCell ref="C1507:E1507"/>
    <mergeCell ref="G1498:G1509"/>
    <mergeCell ref="H1498:H1509"/>
    <mergeCell ref="A1498:A1509"/>
    <mergeCell ref="B1498:B1509"/>
    <mergeCell ref="C1498:E1498"/>
    <mergeCell ref="A1517:A1525"/>
    <mergeCell ref="B1517:B1525"/>
    <mergeCell ref="C1517:E1517"/>
    <mergeCell ref="F1517:F1525"/>
    <mergeCell ref="G1513:G1516"/>
    <mergeCell ref="H1513:H1516"/>
    <mergeCell ref="A1513:A1516"/>
    <mergeCell ref="B1513:B1516"/>
    <mergeCell ref="C1513:E1513"/>
    <mergeCell ref="F1513:F1516"/>
    <mergeCell ref="C1518:E1518"/>
    <mergeCell ref="C1519:E1519"/>
    <mergeCell ref="C1520:E1520"/>
    <mergeCell ref="C1521:E1521"/>
    <mergeCell ref="C1522:E1522"/>
    <mergeCell ref="C1523:E1523"/>
    <mergeCell ref="C1524:E1524"/>
    <mergeCell ref="C1525:E1525"/>
    <mergeCell ref="G1517:G1525"/>
    <mergeCell ref="H1517:H1525"/>
    <mergeCell ref="C1514:E1514"/>
    <mergeCell ref="C1515:E1515"/>
    <mergeCell ref="C1516:E1516"/>
    <mergeCell ref="C1528:E1528"/>
    <mergeCell ref="A1529:A1530"/>
    <mergeCell ref="B1529:B1530"/>
    <mergeCell ref="C1529:E1529"/>
    <mergeCell ref="F1529:F1530"/>
    <mergeCell ref="G1529:G1530"/>
    <mergeCell ref="G1527:G1528"/>
    <mergeCell ref="H1527:H1528"/>
    <mergeCell ref="C1526:E1526"/>
    <mergeCell ref="A1527:A1528"/>
    <mergeCell ref="B1527:B1528"/>
    <mergeCell ref="C1527:E1527"/>
    <mergeCell ref="F1527:F1528"/>
    <mergeCell ref="C1532:E1532"/>
    <mergeCell ref="C1533:E1533"/>
    <mergeCell ref="C1534:E1534"/>
    <mergeCell ref="C1535:E1535"/>
    <mergeCell ref="C1536:E1536"/>
    <mergeCell ref="G1531:G1536"/>
    <mergeCell ref="H1531:H1536"/>
    <mergeCell ref="C1530:E1530"/>
    <mergeCell ref="A1531:A1536"/>
    <mergeCell ref="B1531:B1536"/>
    <mergeCell ref="C1531:E1531"/>
    <mergeCell ref="F1531:F1536"/>
    <mergeCell ref="H1529:H1530"/>
    <mergeCell ref="A1537:A1544"/>
    <mergeCell ref="B1537:B1544"/>
    <mergeCell ref="C1537:E1537"/>
    <mergeCell ref="G1537:G1544"/>
    <mergeCell ref="C1538:E1538"/>
    <mergeCell ref="C1539:E1539"/>
    <mergeCell ref="C1540:E1540"/>
    <mergeCell ref="C1541:E1541"/>
    <mergeCell ref="C1546:E1546"/>
    <mergeCell ref="C1547:E1547"/>
    <mergeCell ref="C1548:E1548"/>
    <mergeCell ref="C1549:E1549"/>
    <mergeCell ref="C1550:E1550"/>
    <mergeCell ref="C1551:E1551"/>
    <mergeCell ref="G1545:G1551"/>
    <mergeCell ref="H1545:H1551"/>
    <mergeCell ref="C1542:E1542"/>
    <mergeCell ref="C1543:E1543"/>
    <mergeCell ref="C1544:E1544"/>
    <mergeCell ref="H1537:H1544"/>
    <mergeCell ref="C1557:E1557"/>
    <mergeCell ref="C1558:E1558"/>
    <mergeCell ref="C1559:E1559"/>
    <mergeCell ref="A1560:A1561"/>
    <mergeCell ref="B1560:B1561"/>
    <mergeCell ref="C1560:E1561"/>
    <mergeCell ref="H1552:H1559"/>
    <mergeCell ref="H1560:H1561"/>
    <mergeCell ref="A1545:A1551"/>
    <mergeCell ref="B1545:B1551"/>
    <mergeCell ref="C1545:E1545"/>
    <mergeCell ref="G1560:G1561"/>
    <mergeCell ref="A1552:A1559"/>
    <mergeCell ref="B1552:B1559"/>
    <mergeCell ref="C1552:E1552"/>
    <mergeCell ref="G1552:G1559"/>
    <mergeCell ref="C1553:E1553"/>
    <mergeCell ref="C1554:E1554"/>
    <mergeCell ref="C1555:E1555"/>
    <mergeCell ref="C1556:E1556"/>
    <mergeCell ref="C1563:E1563"/>
    <mergeCell ref="C1564:E1564"/>
    <mergeCell ref="C1565:E1565"/>
    <mergeCell ref="C1566:E1566"/>
    <mergeCell ref="C1567:E1567"/>
    <mergeCell ref="C1568:E1568"/>
    <mergeCell ref="A1562:A1579"/>
    <mergeCell ref="B1562:B1579"/>
    <mergeCell ref="C1562:E1562"/>
    <mergeCell ref="F1562:F1579"/>
    <mergeCell ref="G1562:G1579"/>
    <mergeCell ref="F1560:F1561"/>
    <mergeCell ref="C1575:E1575"/>
    <mergeCell ref="C1576:E1576"/>
    <mergeCell ref="C1577:E1577"/>
    <mergeCell ref="C1578:E1578"/>
    <mergeCell ref="C1579:E1579"/>
    <mergeCell ref="A1580:A1590"/>
    <mergeCell ref="B1580:B1590"/>
    <mergeCell ref="C1580:E1580"/>
    <mergeCell ref="C1588:E1588"/>
    <mergeCell ref="C1569:E1569"/>
    <mergeCell ref="C1570:E1570"/>
    <mergeCell ref="C1571:E1571"/>
    <mergeCell ref="C1572:E1572"/>
    <mergeCell ref="C1573:E1573"/>
    <mergeCell ref="C1574:E1574"/>
    <mergeCell ref="H1562:H1579"/>
    <mergeCell ref="A1591:A1620"/>
    <mergeCell ref="B1591:B1620"/>
    <mergeCell ref="C1591:E1591"/>
    <mergeCell ref="C1599:E1599"/>
    <mergeCell ref="C1600:E1600"/>
    <mergeCell ref="C1601:E1601"/>
    <mergeCell ref="C1602:E1602"/>
    <mergeCell ref="C1581:E1581"/>
    <mergeCell ref="C1582:E1582"/>
    <mergeCell ref="C1583:E1583"/>
    <mergeCell ref="C1584:E1584"/>
    <mergeCell ref="C1585:E1585"/>
    <mergeCell ref="C1586:E1586"/>
    <mergeCell ref="C1587:E1587"/>
    <mergeCell ref="F1580:F1590"/>
    <mergeCell ref="G1580:G1590"/>
    <mergeCell ref="H1580:H1590"/>
    <mergeCell ref="C1592:E1592"/>
    <mergeCell ref="C1593:E1593"/>
    <mergeCell ref="C1594:E1594"/>
    <mergeCell ref="C1595:E1595"/>
    <mergeCell ref="C1596:E1596"/>
    <mergeCell ref="C1597:E1597"/>
    <mergeCell ref="C1598:E1598"/>
    <mergeCell ref="F1591:F1620"/>
    <mergeCell ref="G1591:G1620"/>
    <mergeCell ref="H1591:H1620"/>
    <mergeCell ref="C1589:E1589"/>
    <mergeCell ref="C1590:E1590"/>
    <mergeCell ref="C1615:E1615"/>
    <mergeCell ref="C1616:E1616"/>
    <mergeCell ref="C1617:E1617"/>
    <mergeCell ref="C1618:E1618"/>
    <mergeCell ref="C1619:E1619"/>
    <mergeCell ref="C1620:E1620"/>
    <mergeCell ref="C1609:E1609"/>
    <mergeCell ref="C1610:E1610"/>
    <mergeCell ref="C1611:E1611"/>
    <mergeCell ref="C1612:E1612"/>
    <mergeCell ref="C1613:E1613"/>
    <mergeCell ref="C1614:E1614"/>
    <mergeCell ref="C1603:E1603"/>
    <mergeCell ref="C1604:E1604"/>
    <mergeCell ref="C1605:E1605"/>
    <mergeCell ref="C1606:E1606"/>
    <mergeCell ref="C1607:E1607"/>
    <mergeCell ref="C1608:E1608"/>
    <mergeCell ref="C1622:E1622"/>
    <mergeCell ref="C1623:E1623"/>
    <mergeCell ref="C1624:E1624"/>
    <mergeCell ref="C1625:E1625"/>
    <mergeCell ref="A1626:A1641"/>
    <mergeCell ref="B1626:B1641"/>
    <mergeCell ref="C1626:E1626"/>
    <mergeCell ref="F1626:F1641"/>
    <mergeCell ref="G1621:G1625"/>
    <mergeCell ref="H1621:H1625"/>
    <mergeCell ref="A1621:A1625"/>
    <mergeCell ref="B1621:B1625"/>
    <mergeCell ref="C1621:E1621"/>
    <mergeCell ref="F1621:F1625"/>
    <mergeCell ref="C1641:E1641"/>
    <mergeCell ref="C1635:E1635"/>
    <mergeCell ref="C1636:E1636"/>
    <mergeCell ref="C1637:E1637"/>
    <mergeCell ref="C1638:E1638"/>
    <mergeCell ref="C1639:E1639"/>
    <mergeCell ref="C1640:E1640"/>
    <mergeCell ref="C1627:E1627"/>
    <mergeCell ref="C1628:E1628"/>
    <mergeCell ref="C1629:E1629"/>
    <mergeCell ref="C1630:E1630"/>
    <mergeCell ref="C1631:E1631"/>
    <mergeCell ref="C1632:E1632"/>
    <mergeCell ref="C1633:E1633"/>
    <mergeCell ref="C1634:E1634"/>
    <mergeCell ref="G1626:G1641"/>
    <mergeCell ref="H1626:H1641"/>
    <mergeCell ref="A1647:A1650"/>
    <mergeCell ref="B1647:B1650"/>
    <mergeCell ref="C1647:E1647"/>
    <mergeCell ref="F1647:F1650"/>
    <mergeCell ref="C1643:E1643"/>
    <mergeCell ref="C1644:E1644"/>
    <mergeCell ref="C1645:E1645"/>
    <mergeCell ref="C1646:E1646"/>
    <mergeCell ref="G1642:G1646"/>
    <mergeCell ref="H1642:H1646"/>
    <mergeCell ref="A1642:A1646"/>
    <mergeCell ref="B1642:B1646"/>
    <mergeCell ref="C1642:E1642"/>
    <mergeCell ref="F1642:F1646"/>
    <mergeCell ref="C1652:E1652"/>
    <mergeCell ref="C1653:E1653"/>
    <mergeCell ref="C1654:E1654"/>
    <mergeCell ref="C1655:E1655"/>
    <mergeCell ref="A1656:A1657"/>
    <mergeCell ref="B1656:B1657"/>
    <mergeCell ref="C1656:E1656"/>
    <mergeCell ref="F1656:F1657"/>
    <mergeCell ref="G1651:G1655"/>
    <mergeCell ref="H1651:H1655"/>
    <mergeCell ref="C1648:E1648"/>
    <mergeCell ref="C1649:E1649"/>
    <mergeCell ref="C1650:E1650"/>
    <mergeCell ref="A1651:A1655"/>
    <mergeCell ref="B1651:B1655"/>
    <mergeCell ref="C1651:E1651"/>
    <mergeCell ref="F1651:F1655"/>
    <mergeCell ref="G1647:G1650"/>
    <mergeCell ref="H1647:H1650"/>
    <mergeCell ref="C1659:E1659"/>
    <mergeCell ref="C1660:E1660"/>
    <mergeCell ref="A1661:A1674"/>
    <mergeCell ref="B1661:B1674"/>
    <mergeCell ref="C1661:E1661"/>
    <mergeCell ref="C1669:E1669"/>
    <mergeCell ref="C1670:E1670"/>
    <mergeCell ref="C1671:E1671"/>
    <mergeCell ref="C1672:E1672"/>
    <mergeCell ref="H1658:H1660"/>
    <mergeCell ref="C1657:E1657"/>
    <mergeCell ref="A1658:A1660"/>
    <mergeCell ref="B1658:B1660"/>
    <mergeCell ref="C1658:E1658"/>
    <mergeCell ref="F1658:F1660"/>
    <mergeCell ref="G1658:G1660"/>
    <mergeCell ref="G1656:G1657"/>
    <mergeCell ref="H1656:H1657"/>
    <mergeCell ref="C1673:E1673"/>
    <mergeCell ref="C1674:E1674"/>
    <mergeCell ref="A1675:A1694"/>
    <mergeCell ref="B1675:B1694"/>
    <mergeCell ref="C1675:E1675"/>
    <mergeCell ref="C1683:E1683"/>
    <mergeCell ref="C1684:E1684"/>
    <mergeCell ref="C1685:E1685"/>
    <mergeCell ref="C1686:E1686"/>
    <mergeCell ref="C1662:E1662"/>
    <mergeCell ref="C1663:E1663"/>
    <mergeCell ref="C1664:E1664"/>
    <mergeCell ref="C1665:E1665"/>
    <mergeCell ref="C1666:E1666"/>
    <mergeCell ref="C1667:E1667"/>
    <mergeCell ref="C1668:E1668"/>
    <mergeCell ref="F1661:F1674"/>
    <mergeCell ref="G1661:G1674"/>
    <mergeCell ref="H1661:H1674"/>
    <mergeCell ref="A1695:A1701"/>
    <mergeCell ref="B1695:B1701"/>
    <mergeCell ref="C1695:E1695"/>
    <mergeCell ref="C1687:E1687"/>
    <mergeCell ref="C1688:E1688"/>
    <mergeCell ref="C1689:E1689"/>
    <mergeCell ref="C1690:E1690"/>
    <mergeCell ref="C1691:E1691"/>
    <mergeCell ref="C1692:E1692"/>
    <mergeCell ref="C1676:E1676"/>
    <mergeCell ref="C1677:E1677"/>
    <mergeCell ref="C1678:E1678"/>
    <mergeCell ref="C1679:E1679"/>
    <mergeCell ref="C1680:E1680"/>
    <mergeCell ref="C1681:E1681"/>
    <mergeCell ref="C1682:E1682"/>
    <mergeCell ref="F1675:F1694"/>
    <mergeCell ref="G1675:G1694"/>
    <mergeCell ref="H1675:H1694"/>
    <mergeCell ref="C1696:E1696"/>
    <mergeCell ref="C1697:E1697"/>
    <mergeCell ref="C1698:E1698"/>
    <mergeCell ref="C1699:E1699"/>
    <mergeCell ref="C1700:E1700"/>
    <mergeCell ref="C1701:E1701"/>
    <mergeCell ref="F1695:F1701"/>
    <mergeCell ref="G1695:G1701"/>
    <mergeCell ref="H1695:H1701"/>
    <mergeCell ref="C1693:E1693"/>
    <mergeCell ref="C1694:E1694"/>
    <mergeCell ref="A1721:A1727"/>
    <mergeCell ref="B1721:B1727"/>
    <mergeCell ref="C1721:E1721"/>
    <mergeCell ref="C1703:E1703"/>
    <mergeCell ref="C1704:E1704"/>
    <mergeCell ref="C1705:E1705"/>
    <mergeCell ref="C1706:E1706"/>
    <mergeCell ref="C1707:E1707"/>
    <mergeCell ref="C1708:E1708"/>
    <mergeCell ref="C1709:E1709"/>
    <mergeCell ref="C1710:E1710"/>
    <mergeCell ref="C1711:E1711"/>
    <mergeCell ref="G1702:G1720"/>
    <mergeCell ref="H1702:H1720"/>
    <mergeCell ref="A1702:A1720"/>
    <mergeCell ref="B1702:B1720"/>
    <mergeCell ref="C1702:E1702"/>
    <mergeCell ref="F1702:F1720"/>
    <mergeCell ref="C1712:E1712"/>
    <mergeCell ref="C1713:E1713"/>
    <mergeCell ref="C1714:E1714"/>
    <mergeCell ref="C1715:E1715"/>
    <mergeCell ref="C1722:E1722"/>
    <mergeCell ref="C1723:E1723"/>
    <mergeCell ref="C1724:E1724"/>
    <mergeCell ref="C1725:E1725"/>
    <mergeCell ref="C1726:E1726"/>
    <mergeCell ref="C1727:E1727"/>
    <mergeCell ref="G1721:G1727"/>
    <mergeCell ref="H1721:H1727"/>
    <mergeCell ref="C1716:E1716"/>
    <mergeCell ref="C1717:E1717"/>
    <mergeCell ref="C1718:E1718"/>
    <mergeCell ref="C1719:E1719"/>
    <mergeCell ref="C1720:E1720"/>
    <mergeCell ref="A1732:A1739"/>
    <mergeCell ref="B1732:B1739"/>
    <mergeCell ref="C1732:E1732"/>
    <mergeCell ref="F1732:F1739"/>
    <mergeCell ref="G1728:G1731"/>
    <mergeCell ref="H1728:H1731"/>
    <mergeCell ref="A1728:A1731"/>
    <mergeCell ref="B1728:B1731"/>
    <mergeCell ref="C1728:E1728"/>
    <mergeCell ref="F1728:F1731"/>
    <mergeCell ref="C1733:E1733"/>
    <mergeCell ref="C1734:E1734"/>
    <mergeCell ref="C1735:E1735"/>
    <mergeCell ref="C1736:E1736"/>
    <mergeCell ref="C1737:E1737"/>
    <mergeCell ref="C1738:E1738"/>
    <mergeCell ref="C1739:E1739"/>
    <mergeCell ref="G1732:G1739"/>
    <mergeCell ref="H1732:H1739"/>
    <mergeCell ref="C1729:E1729"/>
    <mergeCell ref="C1730:E1730"/>
    <mergeCell ref="C1731:E1731"/>
    <mergeCell ref="H1742:H1743"/>
    <mergeCell ref="A1744:A1745"/>
    <mergeCell ref="B1744:B1745"/>
    <mergeCell ref="C1744:E1744"/>
    <mergeCell ref="F1744:F1745"/>
    <mergeCell ref="A1742:A1743"/>
    <mergeCell ref="B1742:B1743"/>
    <mergeCell ref="C1742:E1743"/>
    <mergeCell ref="F1742:F1743"/>
    <mergeCell ref="G1742:G1743"/>
    <mergeCell ref="G1740:G1741"/>
    <mergeCell ref="H1740:H1741"/>
    <mergeCell ref="A1740:A1741"/>
    <mergeCell ref="B1740:B1741"/>
    <mergeCell ref="C1740:E1741"/>
    <mergeCell ref="F1740:F1741"/>
    <mergeCell ref="A1751:A1781"/>
    <mergeCell ref="B1751:B1781"/>
    <mergeCell ref="C1751:E1751"/>
    <mergeCell ref="F1751:F1781"/>
    <mergeCell ref="C1767:E1767"/>
    <mergeCell ref="C1768:E1768"/>
    <mergeCell ref="C1769:E1769"/>
    <mergeCell ref="H1746:H1749"/>
    <mergeCell ref="C1747:E1747"/>
    <mergeCell ref="C1748:E1748"/>
    <mergeCell ref="C1749:E1749"/>
    <mergeCell ref="C1745:E1745"/>
    <mergeCell ref="A1746:A1749"/>
    <mergeCell ref="B1746:B1749"/>
    <mergeCell ref="C1746:E1746"/>
    <mergeCell ref="F1746:F1749"/>
    <mergeCell ref="G1746:G1749"/>
    <mergeCell ref="G1744:G1745"/>
    <mergeCell ref="H1744:H1745"/>
    <mergeCell ref="C1752:E1752"/>
    <mergeCell ref="C1753:E1753"/>
    <mergeCell ref="C1754:E1754"/>
    <mergeCell ref="C1755:E1755"/>
    <mergeCell ref="C1756:E1756"/>
    <mergeCell ref="C1757:E1757"/>
    <mergeCell ref="C1758:E1758"/>
    <mergeCell ref="C1766:E1766"/>
    <mergeCell ref="G1751:G1781"/>
    <mergeCell ref="H1751:H1781"/>
    <mergeCell ref="C1750:E1750"/>
    <mergeCell ref="H1786:H1789"/>
    <mergeCell ref="C1783:E1783"/>
    <mergeCell ref="C1784:E1784"/>
    <mergeCell ref="C1785:E1785"/>
    <mergeCell ref="A1786:A1789"/>
    <mergeCell ref="B1786:B1789"/>
    <mergeCell ref="C1786:E1789"/>
    <mergeCell ref="G1786:G1789"/>
    <mergeCell ref="G1782:G1785"/>
    <mergeCell ref="H1782:H1785"/>
    <mergeCell ref="A1782:A1785"/>
    <mergeCell ref="B1782:B1785"/>
    <mergeCell ref="C1782:E1782"/>
    <mergeCell ref="F1782:F1785"/>
    <mergeCell ref="C1792:E1792"/>
    <mergeCell ref="C1793:E1793"/>
    <mergeCell ref="C1794:E1794"/>
    <mergeCell ref="C1795:E1795"/>
    <mergeCell ref="C1796:E1796"/>
    <mergeCell ref="G1791:G1796"/>
    <mergeCell ref="H1791:H1796"/>
    <mergeCell ref="C1790:E1790"/>
    <mergeCell ref="A1791:A1796"/>
    <mergeCell ref="B1791:B1796"/>
    <mergeCell ref="C1791:E1791"/>
    <mergeCell ref="F1791:F1796"/>
    <mergeCell ref="C1798:E1798"/>
    <mergeCell ref="C1799:E1799"/>
    <mergeCell ref="C1800:E1800"/>
    <mergeCell ref="C1801:E1801"/>
    <mergeCell ref="C1802:E1802"/>
    <mergeCell ref="G1797:G1802"/>
    <mergeCell ref="H1797:H1802"/>
    <mergeCell ref="A1797:A1802"/>
    <mergeCell ref="B1797:B1802"/>
    <mergeCell ref="C1797:E1797"/>
    <mergeCell ref="F1797:F1802"/>
    <mergeCell ref="C1805:E1805"/>
    <mergeCell ref="C1806:E1806"/>
    <mergeCell ref="C1807:E1807"/>
    <mergeCell ref="C1808:E1808"/>
    <mergeCell ref="C1809:E1809"/>
    <mergeCell ref="G1804:G1809"/>
    <mergeCell ref="H1804:H1809"/>
    <mergeCell ref="C1803:E1803"/>
    <mergeCell ref="A1804:A1809"/>
    <mergeCell ref="B1804:B1809"/>
    <mergeCell ref="C1804:E1804"/>
    <mergeCell ref="F1804:F1809"/>
    <mergeCell ref="A1812:A1813"/>
    <mergeCell ref="B1812:B1813"/>
    <mergeCell ref="C1812:E1813"/>
    <mergeCell ref="F1812:F1813"/>
    <mergeCell ref="G1812:G1813"/>
    <mergeCell ref="G1810:G1811"/>
    <mergeCell ref="H1810:H1811"/>
    <mergeCell ref="A1810:A1811"/>
    <mergeCell ref="B1810:B1811"/>
    <mergeCell ref="C1810:E1811"/>
    <mergeCell ref="F1810:F1811"/>
    <mergeCell ref="A1817:A1818"/>
    <mergeCell ref="B1817:B1818"/>
    <mergeCell ref="C1817:E1818"/>
    <mergeCell ref="F1817:F1818"/>
    <mergeCell ref="G1817:G1818"/>
    <mergeCell ref="G1815:G1816"/>
    <mergeCell ref="H1815:H1816"/>
    <mergeCell ref="H1812:H1813"/>
    <mergeCell ref="C1814:E1814"/>
    <mergeCell ref="A1815:A1816"/>
    <mergeCell ref="B1815:B1816"/>
    <mergeCell ref="C1815:E1816"/>
    <mergeCell ref="F1815:F1816"/>
    <mergeCell ref="C1820:E1820"/>
    <mergeCell ref="C1821:E1821"/>
    <mergeCell ref="C1822:E1822"/>
    <mergeCell ref="A1823:A1824"/>
    <mergeCell ref="B1823:B1824"/>
    <mergeCell ref="C1823:E1824"/>
    <mergeCell ref="F1823:F1824"/>
    <mergeCell ref="G1819:G1822"/>
    <mergeCell ref="H1819:H1822"/>
    <mergeCell ref="H1817:H1818"/>
    <mergeCell ref="A1819:A1822"/>
    <mergeCell ref="B1819:B1822"/>
    <mergeCell ref="C1819:E1819"/>
    <mergeCell ref="F1819:F1822"/>
    <mergeCell ref="H1825:H1828"/>
    <mergeCell ref="C1826:E1826"/>
    <mergeCell ref="C1827:E1827"/>
    <mergeCell ref="C1828:E1828"/>
    <mergeCell ref="A1825:A1828"/>
    <mergeCell ref="B1825:B1828"/>
    <mergeCell ref="C1825:E1825"/>
    <mergeCell ref="F1825:F1828"/>
    <mergeCell ref="G1825:G1828"/>
    <mergeCell ref="G1823:G1824"/>
    <mergeCell ref="H1823:H1824"/>
    <mergeCell ref="C1830:E1830"/>
    <mergeCell ref="C1831:E1831"/>
    <mergeCell ref="C1832:E1832"/>
    <mergeCell ref="A1833:A1834"/>
    <mergeCell ref="B1833:B1834"/>
    <mergeCell ref="C1833:E1834"/>
    <mergeCell ref="F1833:F1834"/>
    <mergeCell ref="G1829:G1832"/>
    <mergeCell ref="H1829:H1832"/>
    <mergeCell ref="A1829:A1832"/>
    <mergeCell ref="B1829:B1832"/>
    <mergeCell ref="C1829:E1829"/>
    <mergeCell ref="F1829:F1832"/>
    <mergeCell ref="A1835:A1844"/>
    <mergeCell ref="B1835:B1844"/>
    <mergeCell ref="C1835:E1835"/>
    <mergeCell ref="F1835:F1844"/>
    <mergeCell ref="G1835:G1844"/>
    <mergeCell ref="G1833:G1834"/>
    <mergeCell ref="H1833:H1834"/>
    <mergeCell ref="C1842:E1842"/>
    <mergeCell ref="C1843:E1843"/>
    <mergeCell ref="C1844:E1844"/>
    <mergeCell ref="C1846:E1846"/>
    <mergeCell ref="C1847:E1847"/>
    <mergeCell ref="C1848:E1848"/>
    <mergeCell ref="C1849:E1849"/>
    <mergeCell ref="C1850:E1850"/>
    <mergeCell ref="F1845:F1850"/>
    <mergeCell ref="G1845:G1850"/>
    <mergeCell ref="H1845:H1850"/>
    <mergeCell ref="C1852:E1852"/>
    <mergeCell ref="C1853:E1853"/>
    <mergeCell ref="C1854:E1854"/>
    <mergeCell ref="C1855:E1855"/>
    <mergeCell ref="A1845:A1850"/>
    <mergeCell ref="B1845:B1850"/>
    <mergeCell ref="C1845:E1845"/>
    <mergeCell ref="H1835:H1844"/>
    <mergeCell ref="C1836:E1836"/>
    <mergeCell ref="C1837:E1837"/>
    <mergeCell ref="C1838:E1838"/>
    <mergeCell ref="C1839:E1839"/>
    <mergeCell ref="C1840:E1840"/>
    <mergeCell ref="C1841:E1841"/>
    <mergeCell ref="G1851:G1855"/>
    <mergeCell ref="H1851:H1855"/>
    <mergeCell ref="A1851:A1855"/>
    <mergeCell ref="B1851:B1855"/>
    <mergeCell ref="C1851:E1851"/>
    <mergeCell ref="F1851:F1855"/>
    <mergeCell ref="H1858:H1859"/>
    <mergeCell ref="A1860:A1861"/>
    <mergeCell ref="B1860:B1861"/>
    <mergeCell ref="C1860:E1861"/>
    <mergeCell ref="F1860:F1861"/>
    <mergeCell ref="A1858:A1859"/>
    <mergeCell ref="B1858:B1859"/>
    <mergeCell ref="C1858:E1859"/>
    <mergeCell ref="F1858:F1859"/>
    <mergeCell ref="G1858:G1859"/>
    <mergeCell ref="G1856:G1857"/>
    <mergeCell ref="H1856:H1857"/>
    <mergeCell ref="A1856:A1857"/>
    <mergeCell ref="B1856:B1857"/>
    <mergeCell ref="C1856:E1857"/>
    <mergeCell ref="F1856:F1857"/>
    <mergeCell ref="H1862:H1865"/>
    <mergeCell ref="C1863:E1863"/>
    <mergeCell ref="C1864:E1864"/>
    <mergeCell ref="C1865:E1865"/>
    <mergeCell ref="A1862:A1865"/>
    <mergeCell ref="B1862:B1865"/>
    <mergeCell ref="C1862:E1862"/>
    <mergeCell ref="F1862:F1865"/>
    <mergeCell ref="G1862:G1865"/>
    <mergeCell ref="G1860:G1861"/>
    <mergeCell ref="H1860:H1861"/>
    <mergeCell ref="A1883:A1886"/>
    <mergeCell ref="B1883:B1886"/>
    <mergeCell ref="C1883:E1883"/>
    <mergeCell ref="C1867:E1867"/>
    <mergeCell ref="C1868:E1868"/>
    <mergeCell ref="C1869:E1869"/>
    <mergeCell ref="C1870:E1870"/>
    <mergeCell ref="C1871:E1871"/>
    <mergeCell ref="C1872:E1872"/>
    <mergeCell ref="C1873:E1873"/>
    <mergeCell ref="C1874:E1874"/>
    <mergeCell ref="C1875:E1875"/>
    <mergeCell ref="G1866:G1882"/>
    <mergeCell ref="H1866:H1882"/>
    <mergeCell ref="A1866:A1882"/>
    <mergeCell ref="B1866:B1882"/>
    <mergeCell ref="C1866:E1866"/>
    <mergeCell ref="F1866:F1882"/>
    <mergeCell ref="C1876:E1876"/>
    <mergeCell ref="C1877:E1877"/>
    <mergeCell ref="C1878:E1878"/>
    <mergeCell ref="C1879:E1879"/>
    <mergeCell ref="F1887:F1890"/>
    <mergeCell ref="C1884:E1884"/>
    <mergeCell ref="C1885:E1885"/>
    <mergeCell ref="C1886:E1886"/>
    <mergeCell ref="F1883:F1886"/>
    <mergeCell ref="G1883:G1886"/>
    <mergeCell ref="H1883:H1886"/>
    <mergeCell ref="C1880:E1880"/>
    <mergeCell ref="C1881:E1881"/>
    <mergeCell ref="C1882:E1882"/>
    <mergeCell ref="C1892:E1892"/>
    <mergeCell ref="C1893:E1893"/>
    <mergeCell ref="C1894:E1894"/>
    <mergeCell ref="C1895:E1895"/>
    <mergeCell ref="C1896:E1896"/>
    <mergeCell ref="G1891:G1896"/>
    <mergeCell ref="H1891:H1896"/>
    <mergeCell ref="C1888:E1888"/>
    <mergeCell ref="C1889:E1889"/>
    <mergeCell ref="C1890:E1890"/>
    <mergeCell ref="A1891:A1896"/>
    <mergeCell ref="B1891:B1896"/>
    <mergeCell ref="C1891:E1891"/>
    <mergeCell ref="F1891:F1896"/>
    <mergeCell ref="G1887:G1890"/>
    <mergeCell ref="H1887:H1890"/>
    <mergeCell ref="A1887:A1890"/>
    <mergeCell ref="B1887:B1890"/>
    <mergeCell ref="C1887:E1887"/>
    <mergeCell ref="H1899:H1903"/>
    <mergeCell ref="C1900:E1900"/>
    <mergeCell ref="C1901:E1901"/>
    <mergeCell ref="C1902:E1902"/>
    <mergeCell ref="C1903:E1903"/>
    <mergeCell ref="A1899:A1903"/>
    <mergeCell ref="B1899:B1903"/>
    <mergeCell ref="C1899:E1899"/>
    <mergeCell ref="F1899:F1903"/>
    <mergeCell ref="G1899:G1903"/>
    <mergeCell ref="G1897:G1898"/>
    <mergeCell ref="H1897:H1898"/>
    <mergeCell ref="A1897:A1898"/>
    <mergeCell ref="B1897:B1898"/>
    <mergeCell ref="C1897:E1898"/>
    <mergeCell ref="F1897:F1898"/>
    <mergeCell ref="H1907:H1909"/>
    <mergeCell ref="A1910:A1911"/>
    <mergeCell ref="B1910:B1911"/>
    <mergeCell ref="C1910:E1911"/>
    <mergeCell ref="F1910:F1911"/>
    <mergeCell ref="A1907:A1909"/>
    <mergeCell ref="B1907:B1909"/>
    <mergeCell ref="C1907:E1909"/>
    <mergeCell ref="F1907:F1909"/>
    <mergeCell ref="G1907:G1909"/>
    <mergeCell ref="G1904:G1906"/>
    <mergeCell ref="H1904:H1906"/>
    <mergeCell ref="A1904:A1906"/>
    <mergeCell ref="B1904:B1906"/>
    <mergeCell ref="C1904:E1906"/>
    <mergeCell ref="F1904:F1906"/>
    <mergeCell ref="H1912:H1913"/>
    <mergeCell ref="A1914:A1917"/>
    <mergeCell ref="B1914:B1917"/>
    <mergeCell ref="C1914:E1914"/>
    <mergeCell ref="F1914:F1917"/>
    <mergeCell ref="A1912:A1913"/>
    <mergeCell ref="B1912:B1913"/>
    <mergeCell ref="C1912:E1913"/>
    <mergeCell ref="F1912:F1913"/>
    <mergeCell ref="G1912:G1913"/>
    <mergeCell ref="G1910:G1911"/>
    <mergeCell ref="H1910:H1911"/>
    <mergeCell ref="C1919:E1919"/>
    <mergeCell ref="C1920:E1920"/>
    <mergeCell ref="C1921:E1921"/>
    <mergeCell ref="C1922:E1922"/>
    <mergeCell ref="C1923:E1923"/>
    <mergeCell ref="A1924:A1925"/>
    <mergeCell ref="B1924:B1925"/>
    <mergeCell ref="C1924:E1925"/>
    <mergeCell ref="H1918:H1923"/>
    <mergeCell ref="C1915:E1915"/>
    <mergeCell ref="C1916:E1916"/>
    <mergeCell ref="C1917:E1917"/>
    <mergeCell ref="A1918:A1923"/>
    <mergeCell ref="B1918:B1923"/>
    <mergeCell ref="C1918:E1918"/>
    <mergeCell ref="G1918:G1923"/>
    <mergeCell ref="G1914:G1917"/>
    <mergeCell ref="H1914:H1917"/>
    <mergeCell ref="H1926:H1928"/>
    <mergeCell ref="C1927:E1927"/>
    <mergeCell ref="C1928:E1928"/>
    <mergeCell ref="A1926:A1928"/>
    <mergeCell ref="B1926:B1928"/>
    <mergeCell ref="C1926:E1926"/>
    <mergeCell ref="G1926:G1928"/>
    <mergeCell ref="G1924:G1925"/>
    <mergeCell ref="H1924:H1925"/>
    <mergeCell ref="H1931:H1932"/>
    <mergeCell ref="A1931:A1932"/>
    <mergeCell ref="B1931:B1932"/>
    <mergeCell ref="C1931:E1932"/>
    <mergeCell ref="G1931:G1932"/>
    <mergeCell ref="H1929:H1930"/>
    <mergeCell ref="A1929:A1930"/>
    <mergeCell ref="B1929:B1930"/>
    <mergeCell ref="C1929:E1930"/>
    <mergeCell ref="G1929:G1930"/>
    <mergeCell ref="C1934:E1934"/>
    <mergeCell ref="C1935:E1935"/>
    <mergeCell ref="C1936:E1936"/>
    <mergeCell ref="C1937:E1937"/>
    <mergeCell ref="C1938:E1938"/>
    <mergeCell ref="C1939:E1939"/>
    <mergeCell ref="C1940:E1940"/>
    <mergeCell ref="G1933:G1940"/>
    <mergeCell ref="H1933:H1940"/>
    <mergeCell ref="A1933:A1940"/>
    <mergeCell ref="B1933:B1940"/>
    <mergeCell ref="C1933:E1933"/>
    <mergeCell ref="F1933:F1940"/>
    <mergeCell ref="C1942:E1942"/>
    <mergeCell ref="C1943:E1943"/>
    <mergeCell ref="C1944:E1944"/>
    <mergeCell ref="A1945:A1947"/>
    <mergeCell ref="B1945:B1947"/>
    <mergeCell ref="C1945:E1947"/>
    <mergeCell ref="F1945:F1947"/>
    <mergeCell ref="G1941:G1944"/>
    <mergeCell ref="H1941:H1944"/>
    <mergeCell ref="A1941:A1944"/>
    <mergeCell ref="B1941:B1944"/>
    <mergeCell ref="C1941:E1941"/>
    <mergeCell ref="F1941:F1944"/>
    <mergeCell ref="H1948:H1949"/>
    <mergeCell ref="C1950:E1950"/>
    <mergeCell ref="A1951:A1952"/>
    <mergeCell ref="B1951:B1952"/>
    <mergeCell ref="C1951:E1951"/>
    <mergeCell ref="F1951:F1952"/>
    <mergeCell ref="A1948:A1949"/>
    <mergeCell ref="B1948:B1949"/>
    <mergeCell ref="C1948:E1949"/>
    <mergeCell ref="F1948:F1949"/>
    <mergeCell ref="G1948:G1949"/>
    <mergeCell ref="G1945:G1947"/>
    <mergeCell ref="H1945:H1947"/>
    <mergeCell ref="C1956:E1956"/>
    <mergeCell ref="C1957:E1957"/>
    <mergeCell ref="C1958:E1958"/>
    <mergeCell ref="A1959:A1961"/>
    <mergeCell ref="B1959:B1961"/>
    <mergeCell ref="C1959:E1959"/>
    <mergeCell ref="C1952:E1952"/>
    <mergeCell ref="C1953:E1953"/>
    <mergeCell ref="C1954:E1954"/>
    <mergeCell ref="C1955:E1955"/>
    <mergeCell ref="G1951:G1952"/>
    <mergeCell ref="H1951:H1952"/>
    <mergeCell ref="C1963:E1963"/>
    <mergeCell ref="A1964:A1980"/>
    <mergeCell ref="B1964:B1980"/>
    <mergeCell ref="C1964:E1964"/>
    <mergeCell ref="F1964:F1980"/>
    <mergeCell ref="G1964:G1980"/>
    <mergeCell ref="G1962:G1963"/>
    <mergeCell ref="H1962:H1963"/>
    <mergeCell ref="C1960:E1960"/>
    <mergeCell ref="C1961:E1961"/>
    <mergeCell ref="A1962:A1963"/>
    <mergeCell ref="B1962:B1963"/>
    <mergeCell ref="C1962:E1962"/>
    <mergeCell ref="F1962:F1963"/>
    <mergeCell ref="F1959:F1961"/>
    <mergeCell ref="G1959:G1961"/>
    <mergeCell ref="H1959:H1961"/>
    <mergeCell ref="A1981:A1990"/>
    <mergeCell ref="B1981:B1990"/>
    <mergeCell ref="C1981:E1981"/>
    <mergeCell ref="C1989:E1989"/>
    <mergeCell ref="C1990:E1990"/>
    <mergeCell ref="C1971:E1971"/>
    <mergeCell ref="C1972:E1972"/>
    <mergeCell ref="C1973:E1973"/>
    <mergeCell ref="C1974:E1974"/>
    <mergeCell ref="C1975:E1975"/>
    <mergeCell ref="C1976:E1976"/>
    <mergeCell ref="C1965:E1965"/>
    <mergeCell ref="C1966:E1966"/>
    <mergeCell ref="C1967:E1967"/>
    <mergeCell ref="C1968:E1968"/>
    <mergeCell ref="C1969:E1969"/>
    <mergeCell ref="C1970:E1970"/>
    <mergeCell ref="C1982:E1982"/>
    <mergeCell ref="C1983:E1983"/>
    <mergeCell ref="C1984:E1984"/>
    <mergeCell ref="C1985:E1985"/>
    <mergeCell ref="C1986:E1986"/>
    <mergeCell ref="C1987:E1987"/>
    <mergeCell ref="C1988:E1988"/>
    <mergeCell ref="F1981:F1990"/>
    <mergeCell ref="G1981:G1990"/>
    <mergeCell ref="H1981:H1990"/>
    <mergeCell ref="C1977:E1977"/>
    <mergeCell ref="C1978:E1978"/>
    <mergeCell ref="C1979:E1979"/>
    <mergeCell ref="C1980:E1980"/>
    <mergeCell ref="H1964:H1980"/>
    <mergeCell ref="B1997:B1999"/>
    <mergeCell ref="C1997:E1997"/>
    <mergeCell ref="F1997:F1999"/>
    <mergeCell ref="C1992:E1992"/>
    <mergeCell ref="C1993:E1993"/>
    <mergeCell ref="C1994:E1994"/>
    <mergeCell ref="C1995:E1995"/>
    <mergeCell ref="C1996:E1996"/>
    <mergeCell ref="G1991:G1996"/>
    <mergeCell ref="H1991:H1996"/>
    <mergeCell ref="A1991:A1996"/>
    <mergeCell ref="B1991:B1996"/>
    <mergeCell ref="C1991:E1991"/>
    <mergeCell ref="F1991:F1996"/>
    <mergeCell ref="C2001:E2001"/>
    <mergeCell ref="C2002:E2002"/>
    <mergeCell ref="C2003:E2003"/>
    <mergeCell ref="C2004:E2004"/>
    <mergeCell ref="A2005:A2006"/>
    <mergeCell ref="B2005:B2006"/>
    <mergeCell ref="C2005:E2006"/>
    <mergeCell ref="H2000:H2004"/>
    <mergeCell ref="C1998:E1998"/>
    <mergeCell ref="C1999:E1999"/>
    <mergeCell ref="A2000:A2004"/>
    <mergeCell ref="B2000:B2004"/>
    <mergeCell ref="C2000:E2000"/>
    <mergeCell ref="F2000:F2004"/>
    <mergeCell ref="G2000:G2004"/>
    <mergeCell ref="G1997:G1999"/>
    <mergeCell ref="H1997:H1999"/>
    <mergeCell ref="A1997:A1999"/>
    <mergeCell ref="H2007:H2008"/>
    <mergeCell ref="A2007:A2008"/>
    <mergeCell ref="B2007:B2008"/>
    <mergeCell ref="C2007:E2008"/>
    <mergeCell ref="F2007:F2008"/>
    <mergeCell ref="G2007:G2008"/>
    <mergeCell ref="F2005:F2006"/>
    <mergeCell ref="G2005:G2006"/>
    <mergeCell ref="H2005:H2006"/>
    <mergeCell ref="C2010:E2010"/>
    <mergeCell ref="C2011:E2011"/>
    <mergeCell ref="C2012:E2012"/>
    <mergeCell ref="C2013:E2013"/>
    <mergeCell ref="A2014:A2020"/>
    <mergeCell ref="B2014:B2020"/>
    <mergeCell ref="C2014:E2014"/>
    <mergeCell ref="F2014:F2020"/>
    <mergeCell ref="G2009:G2013"/>
    <mergeCell ref="H2009:H2013"/>
    <mergeCell ref="A2009:A2013"/>
    <mergeCell ref="B2009:B2013"/>
    <mergeCell ref="C2009:E2009"/>
    <mergeCell ref="F2009:F2013"/>
    <mergeCell ref="A2021:A2024"/>
    <mergeCell ref="B2021:B2024"/>
    <mergeCell ref="C2021:E2021"/>
    <mergeCell ref="F2021:F2024"/>
    <mergeCell ref="C2015:E2015"/>
    <mergeCell ref="C2016:E2016"/>
    <mergeCell ref="C2017:E2017"/>
    <mergeCell ref="C2018:E2018"/>
    <mergeCell ref="C2019:E2019"/>
    <mergeCell ref="C2020:E2020"/>
    <mergeCell ref="G2014:G2020"/>
    <mergeCell ref="H2014:H2020"/>
    <mergeCell ref="C2026:E2026"/>
    <mergeCell ref="C2027:E2027"/>
    <mergeCell ref="A2028:A2030"/>
    <mergeCell ref="B2028:B2030"/>
    <mergeCell ref="C2028:E2028"/>
    <mergeCell ref="F2028:F2030"/>
    <mergeCell ref="G2028:G2030"/>
    <mergeCell ref="G2025:G2027"/>
    <mergeCell ref="H2025:H2027"/>
    <mergeCell ref="C2022:E2022"/>
    <mergeCell ref="C2023:E2023"/>
    <mergeCell ref="C2024:E2024"/>
    <mergeCell ref="A2025:A2027"/>
    <mergeCell ref="B2025:B2027"/>
    <mergeCell ref="C2025:E2025"/>
    <mergeCell ref="F2025:F2027"/>
    <mergeCell ref="G2021:G2024"/>
    <mergeCell ref="H2021:H2024"/>
    <mergeCell ref="C2032:E2032"/>
    <mergeCell ref="A2033:A2035"/>
    <mergeCell ref="B2033:B2035"/>
    <mergeCell ref="C2033:E2033"/>
    <mergeCell ref="F2033:F2035"/>
    <mergeCell ref="F2031:F2032"/>
    <mergeCell ref="G2031:G2032"/>
    <mergeCell ref="H2031:H2032"/>
    <mergeCell ref="C2029:E2029"/>
    <mergeCell ref="C2030:E2030"/>
    <mergeCell ref="A2031:A2032"/>
    <mergeCell ref="B2031:B2032"/>
    <mergeCell ref="C2031:E2031"/>
    <mergeCell ref="H2028:H2030"/>
    <mergeCell ref="C2037:E2037"/>
    <mergeCell ref="C2038:E2038"/>
    <mergeCell ref="C2039:E2039"/>
    <mergeCell ref="C2040:E2040"/>
    <mergeCell ref="C2041:E2041"/>
    <mergeCell ref="A2042:A2044"/>
    <mergeCell ref="B2042:B2044"/>
    <mergeCell ref="C2042:E2042"/>
    <mergeCell ref="H2036:H2040"/>
    <mergeCell ref="C2034:E2034"/>
    <mergeCell ref="C2035:E2035"/>
    <mergeCell ref="A2036:A2040"/>
    <mergeCell ref="B2036:B2040"/>
    <mergeCell ref="C2036:E2036"/>
    <mergeCell ref="F2036:F2040"/>
    <mergeCell ref="G2036:G2040"/>
    <mergeCell ref="G2033:G2035"/>
    <mergeCell ref="H2033:H2035"/>
    <mergeCell ref="C2046:E2046"/>
    <mergeCell ref="C2047:E2047"/>
    <mergeCell ref="A2048:A2050"/>
    <mergeCell ref="B2048:B2050"/>
    <mergeCell ref="C2048:E2048"/>
    <mergeCell ref="F2048:F2050"/>
    <mergeCell ref="G2045:G2047"/>
    <mergeCell ref="H2045:H2047"/>
    <mergeCell ref="C2043:E2043"/>
    <mergeCell ref="C2044:E2044"/>
    <mergeCell ref="A2045:A2047"/>
    <mergeCell ref="B2045:B2047"/>
    <mergeCell ref="C2045:E2045"/>
    <mergeCell ref="F2045:F2047"/>
    <mergeCell ref="F2042:F2044"/>
    <mergeCell ref="G2042:G2044"/>
    <mergeCell ref="H2042:H2044"/>
    <mergeCell ref="C2049:E2049"/>
    <mergeCell ref="C2050:E2050"/>
    <mergeCell ref="A2051:A2053"/>
    <mergeCell ref="B2051:B2053"/>
    <mergeCell ref="C2051:E2051"/>
    <mergeCell ref="F2051:F2053"/>
    <mergeCell ref="G2051:G2053"/>
    <mergeCell ref="G2048:G2050"/>
    <mergeCell ref="H2048:H2050"/>
    <mergeCell ref="C2058:E2058"/>
    <mergeCell ref="C2059:E2059"/>
    <mergeCell ref="C2060:E2060"/>
    <mergeCell ref="C2061:E2061"/>
    <mergeCell ref="C2062:E2062"/>
    <mergeCell ref="C2063:E2063"/>
    <mergeCell ref="C2052:E2052"/>
    <mergeCell ref="C2053:E2053"/>
    <mergeCell ref="C2054:E2054"/>
    <mergeCell ref="C2055:E2055"/>
    <mergeCell ref="C2056:E2056"/>
    <mergeCell ref="C2057:E2057"/>
    <mergeCell ref="H2051:H2053"/>
    <mergeCell ref="A2069:A2077"/>
    <mergeCell ref="B2069:B2077"/>
    <mergeCell ref="C2069:E2069"/>
    <mergeCell ref="F2069:F2077"/>
    <mergeCell ref="G2069:G2077"/>
    <mergeCell ref="G2067:G2068"/>
    <mergeCell ref="H2067:H2068"/>
    <mergeCell ref="C2064:E2064"/>
    <mergeCell ref="C2065:E2065"/>
    <mergeCell ref="C2066:E2066"/>
    <mergeCell ref="A2067:A2068"/>
    <mergeCell ref="B2067:B2068"/>
    <mergeCell ref="C2067:E2068"/>
    <mergeCell ref="C2075:E2075"/>
    <mergeCell ref="C2076:E2076"/>
    <mergeCell ref="C2077:E2077"/>
    <mergeCell ref="C2078:E2078"/>
    <mergeCell ref="C2079:E2079"/>
    <mergeCell ref="C2080:E2080"/>
    <mergeCell ref="H2069:H2077"/>
    <mergeCell ref="C2070:E2070"/>
    <mergeCell ref="C2071:E2071"/>
    <mergeCell ref="C2072:E2072"/>
    <mergeCell ref="C2073:E2073"/>
    <mergeCell ref="C2074:E2074"/>
    <mergeCell ref="C2083:E2083"/>
    <mergeCell ref="A2084:A2085"/>
    <mergeCell ref="B2084:B2085"/>
    <mergeCell ref="C2084:E2085"/>
    <mergeCell ref="H2081:H2082"/>
    <mergeCell ref="A2081:A2082"/>
    <mergeCell ref="B2081:B2082"/>
    <mergeCell ref="C2081:E2082"/>
    <mergeCell ref="G2081:G2082"/>
    <mergeCell ref="C2089:E2089"/>
    <mergeCell ref="C2090:E2090"/>
    <mergeCell ref="C2091:E2091"/>
    <mergeCell ref="C2092:E2092"/>
    <mergeCell ref="C2093:E2093"/>
    <mergeCell ref="C2094:E2094"/>
    <mergeCell ref="H2088:H2092"/>
    <mergeCell ref="C2086:E2086"/>
    <mergeCell ref="C2087:E2087"/>
    <mergeCell ref="A2088:A2092"/>
    <mergeCell ref="B2088:B2092"/>
    <mergeCell ref="C2088:E2088"/>
    <mergeCell ref="F2088:F2092"/>
    <mergeCell ref="G2088:G2092"/>
    <mergeCell ref="G2084:G2085"/>
    <mergeCell ref="H2084:H2085"/>
    <mergeCell ref="C2097:E2097"/>
    <mergeCell ref="C2098:E2098"/>
    <mergeCell ref="A2099:A2100"/>
    <mergeCell ref="B2099:B2100"/>
    <mergeCell ref="C2099:E2099"/>
    <mergeCell ref="F2099:F2100"/>
    <mergeCell ref="G2096:G2098"/>
    <mergeCell ref="H2096:H2098"/>
    <mergeCell ref="C2095:E2095"/>
    <mergeCell ref="A2096:A2098"/>
    <mergeCell ref="B2096:B2098"/>
    <mergeCell ref="C2096:E2096"/>
    <mergeCell ref="F2096:F2098"/>
    <mergeCell ref="C2103:E2103"/>
    <mergeCell ref="C2104:E2104"/>
    <mergeCell ref="A2105:A2107"/>
    <mergeCell ref="B2105:B2107"/>
    <mergeCell ref="C2105:E2105"/>
    <mergeCell ref="H2102:H2104"/>
    <mergeCell ref="C2100:E2100"/>
    <mergeCell ref="C2101:E2101"/>
    <mergeCell ref="A2102:A2104"/>
    <mergeCell ref="B2102:B2104"/>
    <mergeCell ref="C2102:E2102"/>
    <mergeCell ref="F2102:F2104"/>
    <mergeCell ref="G2102:G2104"/>
    <mergeCell ref="G2099:G2100"/>
    <mergeCell ref="H2099:H2100"/>
    <mergeCell ref="C2109:E2109"/>
    <mergeCell ref="C2110:E2110"/>
    <mergeCell ref="A2111:A2113"/>
    <mergeCell ref="B2111:B2113"/>
    <mergeCell ref="C2111:E2111"/>
    <mergeCell ref="F2111:F2113"/>
    <mergeCell ref="G2108:G2110"/>
    <mergeCell ref="H2108:H2110"/>
    <mergeCell ref="C2106:E2106"/>
    <mergeCell ref="C2107:E2107"/>
    <mergeCell ref="A2108:A2110"/>
    <mergeCell ref="B2108:B2110"/>
    <mergeCell ref="C2108:E2108"/>
    <mergeCell ref="F2108:F2110"/>
    <mergeCell ref="F2105:F2107"/>
    <mergeCell ref="G2105:G2107"/>
    <mergeCell ref="H2105:H2107"/>
    <mergeCell ref="A2120:A2127"/>
    <mergeCell ref="B2120:B2127"/>
    <mergeCell ref="C2120:E2120"/>
    <mergeCell ref="H2114:H2118"/>
    <mergeCell ref="C2112:E2112"/>
    <mergeCell ref="C2113:E2113"/>
    <mergeCell ref="A2114:A2118"/>
    <mergeCell ref="B2114:B2118"/>
    <mergeCell ref="C2114:E2114"/>
    <mergeCell ref="F2114:F2118"/>
    <mergeCell ref="G2114:G2118"/>
    <mergeCell ref="G2111:G2113"/>
    <mergeCell ref="H2111:H2113"/>
    <mergeCell ref="C2121:E2121"/>
    <mergeCell ref="C2122:E2122"/>
    <mergeCell ref="C2123:E2123"/>
    <mergeCell ref="C2124:E2124"/>
    <mergeCell ref="C2125:E2125"/>
    <mergeCell ref="C2126:E2126"/>
    <mergeCell ref="C2127:E2127"/>
    <mergeCell ref="F2120:F2127"/>
    <mergeCell ref="G2120:G2127"/>
    <mergeCell ref="H2120:H2127"/>
    <mergeCell ref="C2115:E2115"/>
    <mergeCell ref="C2116:E2116"/>
    <mergeCell ref="C2117:E2117"/>
    <mergeCell ref="C2118:E2118"/>
    <mergeCell ref="C2119:E2119"/>
    <mergeCell ref="C2139:E2139"/>
    <mergeCell ref="H2128:H2139"/>
    <mergeCell ref="C2129:E2129"/>
    <mergeCell ref="C2130:E2130"/>
    <mergeCell ref="C2131:E2131"/>
    <mergeCell ref="C2132:E2132"/>
    <mergeCell ref="C2133:E2133"/>
    <mergeCell ref="C2134:E2134"/>
    <mergeCell ref="A2128:A2139"/>
    <mergeCell ref="C2128:E2128"/>
    <mergeCell ref="F2128:F2139"/>
    <mergeCell ref="G2128:G2139"/>
    <mergeCell ref="C2135:E2135"/>
    <mergeCell ref="C2136:E2136"/>
    <mergeCell ref="C2137:E2137"/>
    <mergeCell ref="C2138:E2138"/>
  </mergeCells>
  <hyperlinks>
    <hyperlink ref="C1593" r:id="rId1" location="_bookmark36" display="applewebdata://D6AF6E24-088B-4F83-A848-4063A8509114/ - _bookmark36" xr:uid="{00000000-0004-0000-0000-000000000000}"/>
    <hyperlink ref="C1597" r:id="rId2" location="_bookmark36" display="applewebdata://D6AF6E24-088B-4F83-A848-4063A8509114/ - _bookmark36" xr:uid="{00000000-0004-0000-0000-000001000000}"/>
  </hyperlinks>
  <pageMargins left="0.7" right="0.7" top="0.75" bottom="0.75" header="0.3" footer="0.3"/>
  <pageSetup orientation="portrait" r:id="rId3"/>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64"/>
  <sheetViews>
    <sheetView zoomScale="60" zoomScaleNormal="60" workbookViewId="0">
      <pane xSplit="1" ySplit="16" topLeftCell="B17" activePane="bottomRight" state="frozen"/>
      <selection pane="topRight" activeCell="B1" sqref="B1"/>
      <selection pane="bottomLeft" activeCell="A5" sqref="A5"/>
      <selection pane="bottomRight" activeCell="A11" sqref="A11:H11"/>
    </sheetView>
  </sheetViews>
  <sheetFormatPr baseColWidth="10" defaultColWidth="10.85546875" defaultRowHeight="15.75" x14ac:dyDescent="0.25"/>
  <cols>
    <col min="1" max="1" width="8.7109375" style="311" bestFit="1" customWidth="1"/>
    <col min="2" max="2" width="17.140625" style="40" customWidth="1"/>
    <col min="3" max="3" width="22.85546875" style="40" customWidth="1"/>
    <col min="4" max="4" width="25.28515625" style="40" customWidth="1"/>
    <col min="5" max="5" width="65.7109375" style="40" customWidth="1"/>
    <col min="6" max="6" width="17.7109375" style="40" customWidth="1"/>
    <col min="7" max="7" width="13.42578125" style="40" customWidth="1"/>
    <col min="8" max="8" width="79.7109375" style="40" customWidth="1"/>
    <col min="9" max="16384" width="10.85546875" style="40"/>
  </cols>
  <sheetData>
    <row r="1" spans="1:8" x14ac:dyDescent="0.25">
      <c r="A1" s="284"/>
      <c r="B1" s="284"/>
      <c r="C1" s="284"/>
      <c r="D1" s="284"/>
      <c r="E1" s="284"/>
      <c r="F1" s="284"/>
    </row>
    <row r="2" spans="1:8" x14ac:dyDescent="0.25">
      <c r="A2" s="285"/>
      <c r="B2" s="285"/>
      <c r="C2" s="285" t="s">
        <v>2625</v>
      </c>
      <c r="D2" s="285"/>
      <c r="E2" s="285"/>
      <c r="F2" s="286" t="s">
        <v>9814</v>
      </c>
    </row>
    <row r="3" spans="1:8" x14ac:dyDescent="0.25">
      <c r="A3" s="285"/>
      <c r="B3" s="285"/>
      <c r="C3" s="286" t="s">
        <v>2626</v>
      </c>
      <c r="D3" s="287" t="s">
        <v>2627</v>
      </c>
      <c r="E3" s="287"/>
      <c r="F3" s="286" t="s">
        <v>9815</v>
      </c>
    </row>
    <row r="4" spans="1:8" x14ac:dyDescent="0.25">
      <c r="A4" s="285"/>
      <c r="B4" s="285"/>
      <c r="C4" s="286" t="s">
        <v>2628</v>
      </c>
      <c r="D4" s="287" t="s">
        <v>2629</v>
      </c>
      <c r="E4" s="287"/>
      <c r="F4" s="286" t="s">
        <v>9816</v>
      </c>
    </row>
    <row r="5" spans="1:8" x14ac:dyDescent="0.25">
      <c r="A5" s="284"/>
      <c r="B5" s="284"/>
      <c r="C5" s="284"/>
      <c r="D5" s="284"/>
      <c r="E5" s="284"/>
      <c r="F5" s="284"/>
    </row>
    <row r="6" spans="1:8" x14ac:dyDescent="0.25">
      <c r="A6" s="320"/>
      <c r="B6" s="289"/>
      <c r="C6" s="290"/>
      <c r="D6" s="290"/>
      <c r="E6" s="290"/>
      <c r="F6" s="290"/>
    </row>
    <row r="7" spans="1:8" x14ac:dyDescent="0.25">
      <c r="A7" s="291"/>
      <c r="B7" s="291"/>
      <c r="C7" s="291"/>
      <c r="D7" s="292"/>
      <c r="E7" s="292"/>
      <c r="F7" s="288"/>
    </row>
    <row r="8" spans="1:8" x14ac:dyDescent="0.25">
      <c r="A8" s="293" t="s">
        <v>2630</v>
      </c>
      <c r="B8" s="293"/>
      <c r="C8" s="293"/>
      <c r="D8" s="293"/>
      <c r="E8" s="293"/>
      <c r="F8" s="293"/>
    </row>
    <row r="9" spans="1:8" x14ac:dyDescent="0.25">
      <c r="A9" s="279"/>
      <c r="B9" s="279"/>
      <c r="C9" s="290"/>
      <c r="D9" s="290"/>
      <c r="E9" s="290"/>
      <c r="F9" s="290"/>
    </row>
    <row r="10" spans="1:8" x14ac:dyDescent="0.25">
      <c r="A10" s="279"/>
      <c r="B10" s="294" t="s">
        <v>10278</v>
      </c>
      <c r="C10" s="294"/>
      <c r="D10" s="294"/>
      <c r="E10" s="294"/>
      <c r="F10" s="294"/>
    </row>
    <row r="11" spans="1:8" ht="53.25" customHeight="1" x14ac:dyDescent="0.25">
      <c r="A11" s="295" t="s">
        <v>10277</v>
      </c>
      <c r="B11" s="295"/>
      <c r="C11" s="295"/>
      <c r="D11" s="295"/>
      <c r="E11" s="295"/>
      <c r="F11" s="295"/>
      <c r="G11" s="295"/>
      <c r="H11" s="295"/>
    </row>
    <row r="12" spans="1:8" x14ac:dyDescent="0.25">
      <c r="A12" s="295" t="s">
        <v>10276</v>
      </c>
      <c r="B12" s="295"/>
      <c r="C12" s="295"/>
      <c r="D12" s="295"/>
      <c r="E12" s="295"/>
      <c r="F12" s="295"/>
      <c r="G12" s="295"/>
      <c r="H12" s="295"/>
    </row>
    <row r="13" spans="1:8" x14ac:dyDescent="0.25">
      <c r="A13" s="295"/>
      <c r="B13" s="295"/>
      <c r="C13" s="295"/>
      <c r="D13" s="295"/>
      <c r="E13" s="295"/>
      <c r="F13" s="295"/>
      <c r="G13" s="295"/>
      <c r="H13" s="295"/>
    </row>
    <row r="14" spans="1:8" ht="16.5" thickBot="1" x14ac:dyDescent="0.3">
      <c r="G14" s="41"/>
      <c r="H14" s="41"/>
    </row>
    <row r="15" spans="1:8" ht="32.25" thickBot="1" x14ac:dyDescent="0.3">
      <c r="A15" s="75" t="s">
        <v>2631</v>
      </c>
      <c r="B15" s="71" t="s">
        <v>0</v>
      </c>
      <c r="C15" s="72" t="s">
        <v>1</v>
      </c>
      <c r="D15" s="73"/>
      <c r="E15" s="74"/>
      <c r="F15" s="75" t="s">
        <v>2</v>
      </c>
      <c r="G15" s="75" t="s">
        <v>3</v>
      </c>
      <c r="H15" s="75" t="s">
        <v>4</v>
      </c>
    </row>
    <row r="16" spans="1:8" ht="27" customHeight="1" thickBot="1" x14ac:dyDescent="0.3">
      <c r="A16" s="83"/>
      <c r="B16" s="79" t="s">
        <v>5</v>
      </c>
      <c r="C16" s="80"/>
      <c r="D16" s="81"/>
      <c r="E16" s="82"/>
      <c r="F16" s="83"/>
      <c r="G16" s="83"/>
      <c r="H16" s="83"/>
    </row>
    <row r="17" spans="1:8" ht="30" customHeight="1" x14ac:dyDescent="0.25">
      <c r="A17" s="76">
        <v>734</v>
      </c>
      <c r="B17" s="96" t="s">
        <v>2525</v>
      </c>
      <c r="C17" s="121" t="s">
        <v>9771</v>
      </c>
      <c r="D17" s="122"/>
      <c r="E17" s="123"/>
      <c r="F17" s="50" t="s">
        <v>2526</v>
      </c>
      <c r="G17" s="96" t="s">
        <v>322</v>
      </c>
      <c r="H17" s="50" t="s">
        <v>8293</v>
      </c>
    </row>
    <row r="18" spans="1:8" ht="30" customHeight="1" x14ac:dyDescent="0.25">
      <c r="A18" s="312"/>
      <c r="B18" s="97">
        <v>43957</v>
      </c>
      <c r="C18" s="124"/>
      <c r="D18" s="143"/>
      <c r="E18" s="126"/>
      <c r="F18" s="86"/>
      <c r="G18" s="96" t="s">
        <v>2527</v>
      </c>
      <c r="H18" s="86"/>
    </row>
    <row r="19" spans="1:8" ht="30" customHeight="1" x14ac:dyDescent="0.25">
      <c r="A19" s="312"/>
      <c r="B19" s="45"/>
      <c r="C19" s="124" t="s">
        <v>2528</v>
      </c>
      <c r="D19" s="143"/>
      <c r="E19" s="126"/>
      <c r="F19" s="86"/>
      <c r="G19" s="45"/>
      <c r="H19" s="86"/>
    </row>
    <row r="20" spans="1:8" ht="30" customHeight="1" x14ac:dyDescent="0.25">
      <c r="A20" s="312"/>
      <c r="B20" s="45"/>
      <c r="C20" s="124" t="s">
        <v>2529</v>
      </c>
      <c r="D20" s="143"/>
      <c r="E20" s="126"/>
      <c r="F20" s="86"/>
      <c r="G20" s="45"/>
      <c r="H20" s="86"/>
    </row>
    <row r="21" spans="1:8" ht="30" customHeight="1" x14ac:dyDescent="0.25">
      <c r="A21" s="312"/>
      <c r="B21" s="45"/>
      <c r="C21" s="124"/>
      <c r="D21" s="143"/>
      <c r="E21" s="126"/>
      <c r="F21" s="86"/>
      <c r="G21" s="45"/>
      <c r="H21" s="86"/>
    </row>
    <row r="22" spans="1:8" ht="30" customHeight="1" x14ac:dyDescent="0.25">
      <c r="A22" s="312"/>
      <c r="B22" s="45"/>
      <c r="C22" s="124" t="s">
        <v>2530</v>
      </c>
      <c r="D22" s="143"/>
      <c r="E22" s="126"/>
      <c r="F22" s="86"/>
      <c r="G22" s="45"/>
      <c r="H22" s="86"/>
    </row>
    <row r="23" spans="1:8" ht="30" customHeight="1" x14ac:dyDescent="0.25">
      <c r="A23" s="312"/>
      <c r="B23" s="45"/>
      <c r="C23" s="124"/>
      <c r="D23" s="143"/>
      <c r="E23" s="126"/>
      <c r="F23" s="86"/>
      <c r="G23" s="45"/>
      <c r="H23" s="86"/>
    </row>
    <row r="24" spans="1:8" ht="30" customHeight="1" x14ac:dyDescent="0.25">
      <c r="A24" s="312"/>
      <c r="B24" s="45"/>
      <c r="C24" s="124" t="s">
        <v>2531</v>
      </c>
      <c r="D24" s="143"/>
      <c r="E24" s="126"/>
      <c r="F24" s="86"/>
      <c r="G24" s="45"/>
      <c r="H24" s="86"/>
    </row>
    <row r="25" spans="1:8" ht="30" customHeight="1" x14ac:dyDescent="0.25">
      <c r="A25" s="312"/>
      <c r="B25" s="45"/>
      <c r="C25" s="124"/>
      <c r="D25" s="143"/>
      <c r="E25" s="126"/>
      <c r="F25" s="86"/>
      <c r="G25" s="45"/>
      <c r="H25" s="86"/>
    </row>
    <row r="26" spans="1:8" ht="30" customHeight="1" x14ac:dyDescent="0.25">
      <c r="A26" s="312"/>
      <c r="B26" s="45"/>
      <c r="C26" s="124" t="s">
        <v>2532</v>
      </c>
      <c r="D26" s="143"/>
      <c r="E26" s="126"/>
      <c r="F26" s="86"/>
      <c r="G26" s="45"/>
      <c r="H26" s="86"/>
    </row>
    <row r="27" spans="1:8" ht="30" customHeight="1" thickBot="1" x14ac:dyDescent="0.3">
      <c r="A27" s="83"/>
      <c r="B27" s="46"/>
      <c r="C27" s="124" t="s">
        <v>2533</v>
      </c>
      <c r="D27" s="143"/>
      <c r="E27" s="126"/>
      <c r="F27" s="91"/>
      <c r="G27" s="46"/>
      <c r="H27" s="91"/>
    </row>
    <row r="28" spans="1:8" ht="30" customHeight="1" x14ac:dyDescent="0.25">
      <c r="A28" s="76">
        <f>+A17+1</f>
        <v>735</v>
      </c>
      <c r="B28" s="96" t="s">
        <v>2525</v>
      </c>
      <c r="C28" s="121" t="s">
        <v>9771</v>
      </c>
      <c r="D28" s="122"/>
      <c r="E28" s="123"/>
      <c r="F28" s="50" t="s">
        <v>2526</v>
      </c>
      <c r="G28" s="96" t="s">
        <v>322</v>
      </c>
      <c r="H28" s="50" t="s">
        <v>8294</v>
      </c>
    </row>
    <row r="29" spans="1:8" ht="30" customHeight="1" x14ac:dyDescent="0.25">
      <c r="A29" s="312"/>
      <c r="B29" s="97">
        <v>43957</v>
      </c>
      <c r="C29" s="124"/>
      <c r="D29" s="143"/>
      <c r="E29" s="126"/>
      <c r="F29" s="86"/>
      <c r="G29" s="96" t="s">
        <v>2527</v>
      </c>
      <c r="H29" s="86"/>
    </row>
    <row r="30" spans="1:8" ht="30" customHeight="1" x14ac:dyDescent="0.25">
      <c r="A30" s="312"/>
      <c r="B30" s="45"/>
      <c r="C30" s="124" t="s">
        <v>2528</v>
      </c>
      <c r="D30" s="143"/>
      <c r="E30" s="126"/>
      <c r="F30" s="86"/>
      <c r="G30" s="45"/>
      <c r="H30" s="86"/>
    </row>
    <row r="31" spans="1:8" ht="30" customHeight="1" x14ac:dyDescent="0.25">
      <c r="A31" s="312"/>
      <c r="B31" s="45"/>
      <c r="C31" s="179" t="s">
        <v>2534</v>
      </c>
      <c r="D31" s="180"/>
      <c r="E31" s="181"/>
      <c r="F31" s="86"/>
      <c r="G31" s="45"/>
      <c r="H31" s="86"/>
    </row>
    <row r="32" spans="1:8" ht="30" customHeight="1" x14ac:dyDescent="0.25">
      <c r="A32" s="312"/>
      <c r="B32" s="45"/>
      <c r="C32" s="124"/>
      <c r="D32" s="143"/>
      <c r="E32" s="126"/>
      <c r="F32" s="86"/>
      <c r="G32" s="45"/>
      <c r="H32" s="86"/>
    </row>
    <row r="33" spans="1:8" ht="30" customHeight="1" x14ac:dyDescent="0.25">
      <c r="A33" s="312"/>
      <c r="B33" s="45"/>
      <c r="C33" s="124" t="s">
        <v>2535</v>
      </c>
      <c r="D33" s="143"/>
      <c r="E33" s="126"/>
      <c r="F33" s="86"/>
      <c r="G33" s="45"/>
      <c r="H33" s="86"/>
    </row>
    <row r="34" spans="1:8" ht="30" customHeight="1" x14ac:dyDescent="0.25">
      <c r="A34" s="312"/>
      <c r="B34" s="45"/>
      <c r="C34" s="124"/>
      <c r="D34" s="143"/>
      <c r="E34" s="126"/>
      <c r="F34" s="86"/>
      <c r="G34" s="45"/>
      <c r="H34" s="86"/>
    </row>
    <row r="35" spans="1:8" ht="30" customHeight="1" thickBot="1" x14ac:dyDescent="0.3">
      <c r="A35" s="83"/>
      <c r="B35" s="46"/>
      <c r="C35" s="124" t="s">
        <v>9772</v>
      </c>
      <c r="D35" s="143"/>
      <c r="E35" s="126"/>
      <c r="F35" s="91"/>
      <c r="G35" s="46"/>
      <c r="H35" s="91"/>
    </row>
    <row r="36" spans="1:8" ht="30" customHeight="1" x14ac:dyDescent="0.25">
      <c r="A36" s="76">
        <f>+A28+1</f>
        <v>736</v>
      </c>
      <c r="B36" s="96" t="s">
        <v>2525</v>
      </c>
      <c r="C36" s="121" t="s">
        <v>2536</v>
      </c>
      <c r="D36" s="122"/>
      <c r="E36" s="123"/>
      <c r="F36" s="50" t="s">
        <v>2537</v>
      </c>
      <c r="G36" s="50" t="s">
        <v>2538</v>
      </c>
      <c r="H36" s="50" t="s">
        <v>8259</v>
      </c>
    </row>
    <row r="37" spans="1:8" ht="30" customHeight="1" x14ac:dyDescent="0.25">
      <c r="A37" s="312"/>
      <c r="B37" s="97">
        <v>43957</v>
      </c>
      <c r="C37" s="124"/>
      <c r="D37" s="143"/>
      <c r="E37" s="126"/>
      <c r="F37" s="86"/>
      <c r="G37" s="86"/>
      <c r="H37" s="86"/>
    </row>
    <row r="38" spans="1:8" ht="30" customHeight="1" thickBot="1" x14ac:dyDescent="0.3">
      <c r="A38" s="83"/>
      <c r="B38" s="46"/>
      <c r="C38" s="182" t="s">
        <v>9773</v>
      </c>
      <c r="D38" s="183"/>
      <c r="E38" s="184"/>
      <c r="F38" s="91"/>
      <c r="G38" s="91"/>
      <c r="H38" s="91"/>
    </row>
    <row r="39" spans="1:8" ht="30" customHeight="1" x14ac:dyDescent="0.25">
      <c r="A39" s="76">
        <f>+A36+1</f>
        <v>737</v>
      </c>
      <c r="B39" s="96" t="s">
        <v>2525</v>
      </c>
      <c r="C39" s="121"/>
      <c r="D39" s="122"/>
      <c r="E39" s="123"/>
      <c r="F39" s="50" t="s">
        <v>2539</v>
      </c>
      <c r="G39" s="50" t="s">
        <v>2538</v>
      </c>
      <c r="H39" s="50" t="s">
        <v>8259</v>
      </c>
    </row>
    <row r="40" spans="1:8" ht="30" customHeight="1" x14ac:dyDescent="0.25">
      <c r="A40" s="312"/>
      <c r="B40" s="97">
        <v>43957</v>
      </c>
      <c r="C40" s="124"/>
      <c r="D40" s="143"/>
      <c r="E40" s="126"/>
      <c r="F40" s="86"/>
      <c r="G40" s="86"/>
      <c r="H40" s="86"/>
    </row>
    <row r="41" spans="1:8" ht="30" customHeight="1" x14ac:dyDescent="0.25">
      <c r="A41" s="312"/>
      <c r="B41" s="45"/>
      <c r="C41" s="124"/>
      <c r="D41" s="143"/>
      <c r="E41" s="126"/>
      <c r="F41" s="86"/>
      <c r="G41" s="86"/>
      <c r="H41" s="86"/>
    </row>
    <row r="42" spans="1:8" ht="30" customHeight="1" x14ac:dyDescent="0.25">
      <c r="A42" s="312"/>
      <c r="B42" s="45"/>
      <c r="C42" s="124"/>
      <c r="D42" s="143"/>
      <c r="E42" s="126"/>
      <c r="F42" s="86"/>
      <c r="G42" s="86"/>
      <c r="H42" s="86"/>
    </row>
    <row r="43" spans="1:8" ht="30" customHeight="1" thickBot="1" x14ac:dyDescent="0.3">
      <c r="A43" s="83"/>
      <c r="B43" s="46"/>
      <c r="C43" s="182" t="s">
        <v>9773</v>
      </c>
      <c r="D43" s="183"/>
      <c r="E43" s="184"/>
      <c r="F43" s="91"/>
      <c r="G43" s="91"/>
      <c r="H43" s="91"/>
    </row>
    <row r="44" spans="1:8" ht="30" customHeight="1" x14ac:dyDescent="0.25">
      <c r="A44" s="76">
        <f>+A39+1</f>
        <v>738</v>
      </c>
      <c r="B44" s="96" t="s">
        <v>2525</v>
      </c>
      <c r="C44" s="121" t="s">
        <v>9774</v>
      </c>
      <c r="D44" s="122"/>
      <c r="E44" s="123"/>
      <c r="F44" s="50" t="s">
        <v>2540</v>
      </c>
      <c r="G44" s="50" t="s">
        <v>2541</v>
      </c>
      <c r="H44" s="50" t="s">
        <v>9256</v>
      </c>
    </row>
    <row r="45" spans="1:8" ht="30" customHeight="1" x14ac:dyDescent="0.25">
      <c r="A45" s="312"/>
      <c r="B45" s="97">
        <v>43957</v>
      </c>
      <c r="C45" s="124"/>
      <c r="D45" s="143"/>
      <c r="E45" s="126"/>
      <c r="F45" s="86"/>
      <c r="G45" s="86"/>
      <c r="H45" s="86"/>
    </row>
    <row r="46" spans="1:8" ht="30" customHeight="1" x14ac:dyDescent="0.25">
      <c r="A46" s="312"/>
      <c r="B46" s="45"/>
      <c r="C46" s="173" t="s">
        <v>9775</v>
      </c>
      <c r="D46" s="174"/>
      <c r="E46" s="175"/>
      <c r="F46" s="86"/>
      <c r="G46" s="86"/>
      <c r="H46" s="86"/>
    </row>
    <row r="47" spans="1:8" ht="30" customHeight="1" thickBot="1" x14ac:dyDescent="0.3">
      <c r="A47" s="83"/>
      <c r="B47" s="46"/>
      <c r="C47" s="127" t="s">
        <v>2542</v>
      </c>
      <c r="D47" s="128"/>
      <c r="E47" s="129"/>
      <c r="F47" s="91"/>
      <c r="G47" s="91"/>
      <c r="H47" s="91"/>
    </row>
    <row r="48" spans="1:8" ht="30" customHeight="1" x14ac:dyDescent="0.25">
      <c r="A48" s="76">
        <f>+A44+1</f>
        <v>739</v>
      </c>
      <c r="B48" s="96" t="s">
        <v>2525</v>
      </c>
      <c r="C48" s="121"/>
      <c r="D48" s="122"/>
      <c r="E48" s="123"/>
      <c r="F48" s="96" t="s">
        <v>2543</v>
      </c>
      <c r="G48" s="50" t="s">
        <v>2527</v>
      </c>
      <c r="H48" s="50" t="s">
        <v>2544</v>
      </c>
    </row>
    <row r="49" spans="1:8" ht="30" customHeight="1" x14ac:dyDescent="0.25">
      <c r="A49" s="312"/>
      <c r="B49" s="97">
        <v>43957</v>
      </c>
      <c r="C49" s="124" t="s">
        <v>2545</v>
      </c>
      <c r="D49" s="143"/>
      <c r="E49" s="126"/>
      <c r="F49" s="96" t="s">
        <v>2546</v>
      </c>
      <c r="G49" s="86"/>
      <c r="H49" s="86"/>
    </row>
    <row r="50" spans="1:8" ht="30" customHeight="1" x14ac:dyDescent="0.25">
      <c r="A50" s="312"/>
      <c r="B50" s="45"/>
      <c r="C50" s="124" t="s">
        <v>2547</v>
      </c>
      <c r="D50" s="143"/>
      <c r="E50" s="126"/>
      <c r="F50" s="45"/>
      <c r="G50" s="86"/>
      <c r="H50" s="86"/>
    </row>
    <row r="51" spans="1:8" ht="30" customHeight="1" x14ac:dyDescent="0.25">
      <c r="A51" s="312"/>
      <c r="B51" s="45"/>
      <c r="C51" s="124"/>
      <c r="D51" s="143"/>
      <c r="E51" s="126"/>
      <c r="F51" s="45"/>
      <c r="G51" s="86"/>
      <c r="H51" s="86"/>
    </row>
    <row r="52" spans="1:8" ht="30" customHeight="1" x14ac:dyDescent="0.25">
      <c r="A52" s="312"/>
      <c r="B52" s="45"/>
      <c r="C52" s="124"/>
      <c r="D52" s="143"/>
      <c r="E52" s="126"/>
      <c r="F52" s="45"/>
      <c r="G52" s="86"/>
      <c r="H52" s="86"/>
    </row>
    <row r="53" spans="1:8" ht="30" customHeight="1" x14ac:dyDescent="0.25">
      <c r="A53" s="312"/>
      <c r="B53" s="45"/>
      <c r="C53" s="124"/>
      <c r="D53" s="143"/>
      <c r="E53" s="126"/>
      <c r="F53" s="45"/>
      <c r="G53" s="86"/>
      <c r="H53" s="86"/>
    </row>
    <row r="54" spans="1:8" ht="30" customHeight="1" x14ac:dyDescent="0.25">
      <c r="A54" s="312"/>
      <c r="B54" s="45"/>
      <c r="C54" s="124"/>
      <c r="D54" s="143"/>
      <c r="E54" s="126"/>
      <c r="F54" s="45"/>
      <c r="G54" s="86"/>
      <c r="H54" s="86"/>
    </row>
    <row r="55" spans="1:8" ht="30" customHeight="1" x14ac:dyDescent="0.25">
      <c r="A55" s="312"/>
      <c r="B55" s="45"/>
      <c r="C55" s="124"/>
      <c r="D55" s="143"/>
      <c r="E55" s="126"/>
      <c r="F55" s="45"/>
      <c r="G55" s="86"/>
      <c r="H55" s="86"/>
    </row>
    <row r="56" spans="1:8" ht="30" customHeight="1" thickBot="1" x14ac:dyDescent="0.3">
      <c r="A56" s="83"/>
      <c r="B56" s="46"/>
      <c r="C56" s="127" t="s">
        <v>2548</v>
      </c>
      <c r="D56" s="128"/>
      <c r="E56" s="129"/>
      <c r="F56" s="46"/>
      <c r="G56" s="91"/>
      <c r="H56" s="91"/>
    </row>
    <row r="57" spans="1:8" ht="30" customHeight="1" x14ac:dyDescent="0.25">
      <c r="A57" s="76">
        <f>+A48+1</f>
        <v>740</v>
      </c>
      <c r="B57" s="96" t="s">
        <v>2525</v>
      </c>
      <c r="C57" s="121" t="s">
        <v>2549</v>
      </c>
      <c r="D57" s="122"/>
      <c r="E57" s="123"/>
      <c r="F57" s="96" t="s">
        <v>2543</v>
      </c>
      <c r="G57" s="50" t="s">
        <v>2527</v>
      </c>
      <c r="H57" s="50" t="s">
        <v>6021</v>
      </c>
    </row>
    <row r="58" spans="1:8" ht="30" customHeight="1" x14ac:dyDescent="0.25">
      <c r="A58" s="312"/>
      <c r="B58" s="97">
        <v>43957</v>
      </c>
      <c r="C58" s="124"/>
      <c r="D58" s="143"/>
      <c r="E58" s="126"/>
      <c r="F58" s="96" t="s">
        <v>2550</v>
      </c>
      <c r="G58" s="86"/>
      <c r="H58" s="86"/>
    </row>
    <row r="59" spans="1:8" ht="30" customHeight="1" x14ac:dyDescent="0.25">
      <c r="A59" s="312"/>
      <c r="B59" s="45"/>
      <c r="C59" s="124" t="s">
        <v>9776</v>
      </c>
      <c r="D59" s="143"/>
      <c r="E59" s="126"/>
      <c r="F59" s="45"/>
      <c r="G59" s="86"/>
      <c r="H59" s="86"/>
    </row>
    <row r="60" spans="1:8" ht="30" customHeight="1" x14ac:dyDescent="0.25">
      <c r="A60" s="312"/>
      <c r="B60" s="45"/>
      <c r="C60" s="124"/>
      <c r="D60" s="143"/>
      <c r="E60" s="126"/>
      <c r="F60" s="45"/>
      <c r="G60" s="86"/>
      <c r="H60" s="86"/>
    </row>
    <row r="61" spans="1:8" ht="30" customHeight="1" thickBot="1" x14ac:dyDescent="0.3">
      <c r="A61" s="83"/>
      <c r="B61" s="46"/>
      <c r="C61" s="182" t="s">
        <v>9777</v>
      </c>
      <c r="D61" s="183"/>
      <c r="E61" s="184"/>
      <c r="F61" s="46"/>
      <c r="G61" s="91"/>
      <c r="H61" s="91"/>
    </row>
    <row r="62" spans="1:8" ht="30" customHeight="1" x14ac:dyDescent="0.25">
      <c r="A62" s="76">
        <f>+A57+1</f>
        <v>741</v>
      </c>
      <c r="B62" s="96" t="s">
        <v>2525</v>
      </c>
      <c r="C62" s="121"/>
      <c r="D62" s="122"/>
      <c r="E62" s="123"/>
      <c r="F62" s="96" t="s">
        <v>2543</v>
      </c>
      <c r="G62" s="50" t="s">
        <v>2551</v>
      </c>
      <c r="H62" s="50" t="s">
        <v>9257</v>
      </c>
    </row>
    <row r="63" spans="1:8" ht="30" customHeight="1" x14ac:dyDescent="0.25">
      <c r="A63" s="312"/>
      <c r="B63" s="97">
        <v>43957</v>
      </c>
      <c r="C63" s="124" t="s">
        <v>9778</v>
      </c>
      <c r="D63" s="143"/>
      <c r="E63" s="126"/>
      <c r="F63" s="96" t="s">
        <v>2552</v>
      </c>
      <c r="G63" s="86"/>
      <c r="H63" s="86"/>
    </row>
    <row r="64" spans="1:8" ht="30" customHeight="1" x14ac:dyDescent="0.25">
      <c r="A64" s="312"/>
      <c r="B64" s="45"/>
      <c r="C64" s="124"/>
      <c r="D64" s="143"/>
      <c r="E64" s="126"/>
      <c r="F64" s="45"/>
      <c r="G64" s="86"/>
      <c r="H64" s="86"/>
    </row>
    <row r="65" spans="1:8" ht="30" customHeight="1" x14ac:dyDescent="0.25">
      <c r="A65" s="312"/>
      <c r="B65" s="45"/>
      <c r="C65" s="173" t="s">
        <v>9779</v>
      </c>
      <c r="D65" s="174"/>
      <c r="E65" s="175"/>
      <c r="F65" s="45"/>
      <c r="G65" s="86"/>
      <c r="H65" s="86"/>
    </row>
    <row r="66" spans="1:8" ht="30" customHeight="1" x14ac:dyDescent="0.25">
      <c r="A66" s="312"/>
      <c r="B66" s="45"/>
      <c r="C66" s="124"/>
      <c r="D66" s="143"/>
      <c r="E66" s="126"/>
      <c r="F66" s="45"/>
      <c r="G66" s="86"/>
      <c r="H66" s="86"/>
    </row>
    <row r="67" spans="1:8" ht="30" customHeight="1" x14ac:dyDescent="0.25">
      <c r="A67" s="312"/>
      <c r="B67" s="45"/>
      <c r="C67" s="124" t="s">
        <v>2553</v>
      </c>
      <c r="D67" s="143"/>
      <c r="E67" s="126"/>
      <c r="F67" s="45"/>
      <c r="G67" s="86"/>
      <c r="H67" s="86"/>
    </row>
    <row r="68" spans="1:8" ht="30" customHeight="1" x14ac:dyDescent="0.25">
      <c r="A68" s="312"/>
      <c r="B68" s="45"/>
      <c r="C68" s="124"/>
      <c r="D68" s="143"/>
      <c r="E68" s="126"/>
      <c r="F68" s="45"/>
      <c r="G68" s="86"/>
      <c r="H68" s="86"/>
    </row>
    <row r="69" spans="1:8" ht="30" customHeight="1" thickBot="1" x14ac:dyDescent="0.3">
      <c r="A69" s="83"/>
      <c r="B69" s="46"/>
      <c r="C69" s="127" t="s">
        <v>2554</v>
      </c>
      <c r="D69" s="128"/>
      <c r="E69" s="129"/>
      <c r="F69" s="46"/>
      <c r="G69" s="91"/>
      <c r="H69" s="91"/>
    </row>
    <row r="70" spans="1:8" ht="30" customHeight="1" x14ac:dyDescent="0.25">
      <c r="A70" s="76">
        <f>+A62+1</f>
        <v>742</v>
      </c>
      <c r="B70" s="96" t="s">
        <v>2525</v>
      </c>
      <c r="C70" s="124"/>
      <c r="D70" s="143"/>
      <c r="E70" s="126"/>
      <c r="F70" s="96" t="s">
        <v>2543</v>
      </c>
      <c r="G70" s="50" t="s">
        <v>2555</v>
      </c>
      <c r="H70" s="50" t="s">
        <v>8550</v>
      </c>
    </row>
    <row r="71" spans="1:8" ht="30" customHeight="1" x14ac:dyDescent="0.25">
      <c r="A71" s="312"/>
      <c r="B71" s="97">
        <v>43957</v>
      </c>
      <c r="C71" s="124"/>
      <c r="D71" s="143"/>
      <c r="E71" s="126"/>
      <c r="F71" s="96" t="s">
        <v>2556</v>
      </c>
      <c r="G71" s="86"/>
      <c r="H71" s="86"/>
    </row>
    <row r="72" spans="1:8" ht="30" customHeight="1" thickBot="1" x14ac:dyDescent="0.3">
      <c r="A72" s="83"/>
      <c r="B72" s="46"/>
      <c r="C72" s="124" t="s">
        <v>9780</v>
      </c>
      <c r="D72" s="143"/>
      <c r="E72" s="126"/>
      <c r="F72" s="46"/>
      <c r="G72" s="91"/>
      <c r="H72" s="91"/>
    </row>
    <row r="73" spans="1:8" ht="30" customHeight="1" x14ac:dyDescent="0.25">
      <c r="A73" s="76">
        <f>+A70+1</f>
        <v>743</v>
      </c>
      <c r="B73" s="96" t="s">
        <v>2525</v>
      </c>
      <c r="C73" s="121" t="s">
        <v>9781</v>
      </c>
      <c r="D73" s="122"/>
      <c r="E73" s="123"/>
      <c r="F73" s="96" t="s">
        <v>2543</v>
      </c>
      <c r="G73" s="96" t="s">
        <v>322</v>
      </c>
      <c r="H73" s="50" t="s">
        <v>2557</v>
      </c>
    </row>
    <row r="74" spans="1:8" ht="30" customHeight="1" x14ac:dyDescent="0.25">
      <c r="A74" s="312"/>
      <c r="B74" s="97">
        <v>43957</v>
      </c>
      <c r="C74" s="124"/>
      <c r="D74" s="143"/>
      <c r="E74" s="126"/>
      <c r="F74" s="96" t="s">
        <v>2558</v>
      </c>
      <c r="G74" s="96" t="s">
        <v>2559</v>
      </c>
      <c r="H74" s="86"/>
    </row>
    <row r="75" spans="1:8" ht="30" customHeight="1" thickBot="1" x14ac:dyDescent="0.3">
      <c r="A75" s="83"/>
      <c r="B75" s="46"/>
      <c r="C75" s="182" t="s">
        <v>9782</v>
      </c>
      <c r="D75" s="183"/>
      <c r="E75" s="184"/>
      <c r="F75" s="46"/>
      <c r="G75" s="46"/>
      <c r="H75" s="91"/>
    </row>
    <row r="76" spans="1:8" ht="30" customHeight="1" x14ac:dyDescent="0.25">
      <c r="A76" s="76">
        <v>744</v>
      </c>
      <c r="B76" s="96" t="s">
        <v>2525</v>
      </c>
      <c r="C76" s="121" t="s">
        <v>9783</v>
      </c>
      <c r="D76" s="122"/>
      <c r="E76" s="123"/>
      <c r="F76" s="96" t="s">
        <v>2543</v>
      </c>
      <c r="G76" s="96" t="s">
        <v>322</v>
      </c>
      <c r="H76" s="50" t="s">
        <v>8286</v>
      </c>
    </row>
    <row r="77" spans="1:8" ht="30" customHeight="1" x14ac:dyDescent="0.25">
      <c r="A77" s="312"/>
      <c r="B77" s="97">
        <v>43957</v>
      </c>
      <c r="C77" s="124"/>
      <c r="D77" s="143"/>
      <c r="E77" s="126"/>
      <c r="F77" s="96"/>
      <c r="G77" s="96" t="s">
        <v>2527</v>
      </c>
      <c r="H77" s="86"/>
    </row>
    <row r="78" spans="1:8" ht="30" customHeight="1" thickBot="1" x14ac:dyDescent="0.3">
      <c r="A78" s="83"/>
      <c r="B78" s="46"/>
      <c r="C78" s="182" t="s">
        <v>9784</v>
      </c>
      <c r="D78" s="183"/>
      <c r="E78" s="184"/>
      <c r="F78" s="46" t="s">
        <v>2560</v>
      </c>
      <c r="G78" s="46"/>
      <c r="H78" s="91"/>
    </row>
    <row r="79" spans="1:8" ht="30" customHeight="1" x14ac:dyDescent="0.25">
      <c r="A79" s="76">
        <v>745</v>
      </c>
      <c r="B79" s="96" t="s">
        <v>2525</v>
      </c>
      <c r="C79" s="121" t="s">
        <v>9785</v>
      </c>
      <c r="D79" s="122"/>
      <c r="E79" s="123"/>
      <c r="F79" s="96" t="s">
        <v>2543</v>
      </c>
      <c r="G79" s="96" t="s">
        <v>322</v>
      </c>
      <c r="H79" s="50" t="s">
        <v>2561</v>
      </c>
    </row>
    <row r="80" spans="1:8" ht="30" customHeight="1" x14ac:dyDescent="0.25">
      <c r="A80" s="312"/>
      <c r="B80" s="97">
        <v>43957</v>
      </c>
      <c r="C80" s="124"/>
      <c r="D80" s="143"/>
      <c r="E80" s="126"/>
      <c r="F80" s="96" t="s">
        <v>2562</v>
      </c>
      <c r="G80" s="96" t="s">
        <v>2527</v>
      </c>
      <c r="H80" s="86"/>
    </row>
    <row r="81" spans="1:8" ht="30" customHeight="1" thickBot="1" x14ac:dyDescent="0.3">
      <c r="A81" s="83"/>
      <c r="B81" s="46"/>
      <c r="C81" s="182" t="s">
        <v>9786</v>
      </c>
      <c r="D81" s="183"/>
      <c r="E81" s="184"/>
      <c r="F81" s="46"/>
      <c r="G81" s="46"/>
      <c r="H81" s="91"/>
    </row>
    <row r="82" spans="1:8" ht="30" customHeight="1" x14ac:dyDescent="0.25">
      <c r="A82" s="76">
        <v>746</v>
      </c>
      <c r="B82" s="96" t="s">
        <v>2525</v>
      </c>
      <c r="C82" s="121" t="s">
        <v>9787</v>
      </c>
      <c r="D82" s="122"/>
      <c r="E82" s="123"/>
      <c r="F82" s="96" t="s">
        <v>2543</v>
      </c>
      <c r="G82" s="96" t="s">
        <v>322</v>
      </c>
      <c r="H82" s="50" t="s">
        <v>2563</v>
      </c>
    </row>
    <row r="83" spans="1:8" ht="30" customHeight="1" x14ac:dyDescent="0.25">
      <c r="A83" s="312"/>
      <c r="B83" s="97">
        <v>43957</v>
      </c>
      <c r="C83" s="124"/>
      <c r="D83" s="143"/>
      <c r="E83" s="126"/>
      <c r="F83" s="96" t="s">
        <v>2564</v>
      </c>
      <c r="G83" s="96" t="s">
        <v>2527</v>
      </c>
      <c r="H83" s="86"/>
    </row>
    <row r="84" spans="1:8" ht="30" customHeight="1" thickBot="1" x14ac:dyDescent="0.3">
      <c r="A84" s="83"/>
      <c r="B84" s="46"/>
      <c r="C84" s="182" t="s">
        <v>9788</v>
      </c>
      <c r="D84" s="183"/>
      <c r="E84" s="184"/>
      <c r="F84" s="46"/>
      <c r="G84" s="46"/>
      <c r="H84" s="91"/>
    </row>
    <row r="85" spans="1:8" ht="30" customHeight="1" x14ac:dyDescent="0.25">
      <c r="A85" s="76">
        <v>747</v>
      </c>
      <c r="B85" s="96" t="s">
        <v>2525</v>
      </c>
      <c r="C85" s="121" t="s">
        <v>9789</v>
      </c>
      <c r="D85" s="122"/>
      <c r="E85" s="123"/>
      <c r="F85" s="96" t="s">
        <v>2543</v>
      </c>
      <c r="G85" s="96" t="s">
        <v>565</v>
      </c>
      <c r="H85" s="50" t="s">
        <v>2565</v>
      </c>
    </row>
    <row r="86" spans="1:8" ht="30" customHeight="1" x14ac:dyDescent="0.25">
      <c r="A86" s="312"/>
      <c r="B86" s="97">
        <v>43957</v>
      </c>
      <c r="C86" s="124"/>
      <c r="D86" s="143"/>
      <c r="E86" s="126"/>
      <c r="F86" s="96"/>
      <c r="G86" s="96" t="s">
        <v>2566</v>
      </c>
      <c r="H86" s="86"/>
    </row>
    <row r="87" spans="1:8" ht="30" customHeight="1" thickBot="1" x14ac:dyDescent="0.3">
      <c r="A87" s="83"/>
      <c r="B87" s="46"/>
      <c r="C87" s="182" t="s">
        <v>9790</v>
      </c>
      <c r="D87" s="183"/>
      <c r="E87" s="184"/>
      <c r="F87" s="46" t="s">
        <v>2567</v>
      </c>
      <c r="G87" s="46"/>
      <c r="H87" s="91"/>
    </row>
    <row r="88" spans="1:8" ht="30" customHeight="1" x14ac:dyDescent="0.25">
      <c r="A88" s="76">
        <v>748</v>
      </c>
      <c r="B88" s="96" t="s">
        <v>2525</v>
      </c>
      <c r="C88" s="121" t="s">
        <v>9791</v>
      </c>
      <c r="D88" s="122"/>
      <c r="E88" s="123"/>
      <c r="F88" s="96" t="s">
        <v>2543</v>
      </c>
      <c r="G88" s="96" t="s">
        <v>322</v>
      </c>
      <c r="H88" s="50" t="s">
        <v>2568</v>
      </c>
    </row>
    <row r="89" spans="1:8" ht="30" customHeight="1" x14ac:dyDescent="0.25">
      <c r="A89" s="312"/>
      <c r="B89" s="97">
        <v>43957</v>
      </c>
      <c r="C89" s="176"/>
      <c r="D89" s="177"/>
      <c r="E89" s="178"/>
      <c r="F89" s="96" t="s">
        <v>2569</v>
      </c>
      <c r="G89" s="96" t="s">
        <v>2559</v>
      </c>
      <c r="H89" s="86"/>
    </row>
    <row r="90" spans="1:8" ht="30" customHeight="1" thickBot="1" x14ac:dyDescent="0.3">
      <c r="A90" s="83"/>
      <c r="B90" s="46"/>
      <c r="C90" s="182" t="s">
        <v>9792</v>
      </c>
      <c r="D90" s="183"/>
      <c r="E90" s="184"/>
      <c r="F90" s="46"/>
      <c r="G90" s="46"/>
      <c r="H90" s="91"/>
    </row>
    <row r="91" spans="1:8" ht="30" customHeight="1" x14ac:dyDescent="0.25">
      <c r="A91" s="76">
        <v>749</v>
      </c>
      <c r="B91" s="96" t="s">
        <v>2525</v>
      </c>
      <c r="C91" s="121" t="s">
        <v>9793</v>
      </c>
      <c r="D91" s="122"/>
      <c r="E91" s="123"/>
      <c r="F91" s="96" t="s">
        <v>2543</v>
      </c>
      <c r="G91" s="50" t="s">
        <v>322</v>
      </c>
      <c r="H91" s="50" t="s">
        <v>2570</v>
      </c>
    </row>
    <row r="92" spans="1:8" ht="30" customHeight="1" x14ac:dyDescent="0.25">
      <c r="A92" s="312"/>
      <c r="B92" s="97">
        <v>43957</v>
      </c>
      <c r="C92" s="124"/>
      <c r="D92" s="143"/>
      <c r="E92" s="126"/>
      <c r="F92" s="96" t="s">
        <v>2571</v>
      </c>
      <c r="G92" s="86"/>
      <c r="H92" s="86"/>
    </row>
    <row r="93" spans="1:8" ht="30" customHeight="1" thickBot="1" x14ac:dyDescent="0.3">
      <c r="A93" s="83"/>
      <c r="B93" s="46"/>
      <c r="C93" s="182" t="s">
        <v>9794</v>
      </c>
      <c r="D93" s="183"/>
      <c r="E93" s="184"/>
      <c r="F93" s="46"/>
      <c r="G93" s="91"/>
      <c r="H93" s="91"/>
    </row>
    <row r="94" spans="1:8" ht="30" customHeight="1" x14ac:dyDescent="0.25">
      <c r="A94" s="76">
        <v>750</v>
      </c>
      <c r="B94" s="96" t="s">
        <v>2525</v>
      </c>
      <c r="C94" s="121" t="s">
        <v>9795</v>
      </c>
      <c r="D94" s="122"/>
      <c r="E94" s="123"/>
      <c r="F94" s="96" t="s">
        <v>2543</v>
      </c>
      <c r="G94" s="96" t="s">
        <v>322</v>
      </c>
      <c r="H94" s="50" t="s">
        <v>9234</v>
      </c>
    </row>
    <row r="95" spans="1:8" ht="30" customHeight="1" x14ac:dyDescent="0.25">
      <c r="A95" s="312"/>
      <c r="B95" s="97">
        <v>43957</v>
      </c>
      <c r="C95" s="124"/>
      <c r="D95" s="143"/>
      <c r="E95" s="126"/>
      <c r="F95" s="96" t="s">
        <v>2572</v>
      </c>
      <c r="G95" s="96" t="s">
        <v>2559</v>
      </c>
      <c r="H95" s="86"/>
    </row>
    <row r="96" spans="1:8" ht="30" customHeight="1" thickBot="1" x14ac:dyDescent="0.3">
      <c r="A96" s="83"/>
      <c r="B96" s="46"/>
      <c r="C96" s="182" t="s">
        <v>9796</v>
      </c>
      <c r="D96" s="183"/>
      <c r="E96" s="184"/>
      <c r="F96" s="46"/>
      <c r="G96" s="46"/>
      <c r="H96" s="91"/>
    </row>
    <row r="97" spans="1:8" ht="30" customHeight="1" x14ac:dyDescent="0.25">
      <c r="A97" s="76">
        <v>751</v>
      </c>
      <c r="B97" s="96" t="s">
        <v>2525</v>
      </c>
      <c r="C97" s="121" t="s">
        <v>9797</v>
      </c>
      <c r="D97" s="122"/>
      <c r="E97" s="123"/>
      <c r="F97" s="96" t="s">
        <v>2543</v>
      </c>
      <c r="G97" s="96" t="s">
        <v>322</v>
      </c>
      <c r="H97" s="50" t="s">
        <v>8430</v>
      </c>
    </row>
    <row r="98" spans="1:8" ht="30" customHeight="1" x14ac:dyDescent="0.25">
      <c r="A98" s="312"/>
      <c r="B98" s="97">
        <v>43957</v>
      </c>
      <c r="C98" s="124"/>
      <c r="D98" s="143"/>
      <c r="E98" s="126"/>
      <c r="F98" s="96" t="s">
        <v>2573</v>
      </c>
      <c r="G98" s="96" t="s">
        <v>2559</v>
      </c>
      <c r="H98" s="86"/>
    </row>
    <row r="99" spans="1:8" ht="30" customHeight="1" thickBot="1" x14ac:dyDescent="0.3">
      <c r="A99" s="83"/>
      <c r="B99" s="46"/>
      <c r="C99" s="182" t="s">
        <v>9798</v>
      </c>
      <c r="D99" s="183"/>
      <c r="E99" s="184"/>
      <c r="F99" s="46"/>
      <c r="G99" s="46"/>
      <c r="H99" s="91"/>
    </row>
    <row r="100" spans="1:8" ht="30" customHeight="1" x14ac:dyDescent="0.25">
      <c r="A100" s="76">
        <v>752</v>
      </c>
      <c r="B100" s="96" t="s">
        <v>2525</v>
      </c>
      <c r="C100" s="121" t="s">
        <v>2574</v>
      </c>
      <c r="D100" s="122"/>
      <c r="E100" s="123"/>
      <c r="F100" s="96" t="s">
        <v>2543</v>
      </c>
      <c r="G100" s="50" t="s">
        <v>322</v>
      </c>
      <c r="H100" s="50" t="s">
        <v>2575</v>
      </c>
    </row>
    <row r="101" spans="1:8" ht="30" customHeight="1" x14ac:dyDescent="0.25">
      <c r="A101" s="312"/>
      <c r="B101" s="97">
        <v>43957</v>
      </c>
      <c r="C101" s="124"/>
      <c r="D101" s="143"/>
      <c r="E101" s="126"/>
      <c r="F101" s="96" t="s">
        <v>2576</v>
      </c>
      <c r="G101" s="86"/>
      <c r="H101" s="86"/>
    </row>
    <row r="102" spans="1:8" ht="30" customHeight="1" thickBot="1" x14ac:dyDescent="0.3">
      <c r="A102" s="83"/>
      <c r="B102" s="46"/>
      <c r="C102" s="182" t="s">
        <v>9799</v>
      </c>
      <c r="D102" s="183"/>
      <c r="E102" s="184"/>
      <c r="F102" s="46"/>
      <c r="G102" s="91"/>
      <c r="H102" s="91"/>
    </row>
    <row r="103" spans="1:8" ht="30" customHeight="1" x14ac:dyDescent="0.25">
      <c r="A103" s="76">
        <v>753</v>
      </c>
      <c r="B103" s="96" t="s">
        <v>2525</v>
      </c>
      <c r="C103" s="121" t="s">
        <v>9800</v>
      </c>
      <c r="D103" s="122"/>
      <c r="E103" s="123"/>
      <c r="F103" s="96" t="s">
        <v>2543</v>
      </c>
      <c r="G103" s="50" t="s">
        <v>2577</v>
      </c>
      <c r="H103" s="50" t="s">
        <v>1943</v>
      </c>
    </row>
    <row r="104" spans="1:8" ht="30" customHeight="1" x14ac:dyDescent="0.25">
      <c r="A104" s="312"/>
      <c r="B104" s="97">
        <v>43957</v>
      </c>
      <c r="C104" s="124"/>
      <c r="D104" s="143"/>
      <c r="E104" s="126"/>
      <c r="F104" s="96" t="s">
        <v>2578</v>
      </c>
      <c r="G104" s="86"/>
      <c r="H104" s="86"/>
    </row>
    <row r="105" spans="1:8" ht="30" customHeight="1" x14ac:dyDescent="0.25">
      <c r="A105" s="312"/>
      <c r="B105" s="45"/>
      <c r="C105" s="173" t="s">
        <v>9801</v>
      </c>
      <c r="D105" s="174"/>
      <c r="E105" s="175"/>
      <c r="F105" s="96" t="s">
        <v>2579</v>
      </c>
      <c r="G105" s="86"/>
      <c r="H105" s="86"/>
    </row>
    <row r="106" spans="1:8" ht="30" customHeight="1" x14ac:dyDescent="0.25">
      <c r="A106" s="312"/>
      <c r="B106" s="45"/>
      <c r="C106" s="124"/>
      <c r="D106" s="143"/>
      <c r="E106" s="126"/>
      <c r="F106" s="45"/>
      <c r="G106" s="86"/>
      <c r="H106" s="86"/>
    </row>
    <row r="107" spans="1:8" ht="30" customHeight="1" thickBot="1" x14ac:dyDescent="0.3">
      <c r="A107" s="83"/>
      <c r="B107" s="46"/>
      <c r="C107" s="127" t="s">
        <v>2580</v>
      </c>
      <c r="D107" s="128"/>
      <c r="E107" s="129"/>
      <c r="F107" s="46"/>
      <c r="G107" s="91"/>
      <c r="H107" s="91"/>
    </row>
    <row r="108" spans="1:8" ht="30" customHeight="1" x14ac:dyDescent="0.25">
      <c r="A108" s="76">
        <v>754</v>
      </c>
      <c r="B108" s="96" t="s">
        <v>2525</v>
      </c>
      <c r="C108" s="121" t="s">
        <v>2581</v>
      </c>
      <c r="D108" s="122"/>
      <c r="E108" s="123"/>
      <c r="F108" s="96" t="s">
        <v>2543</v>
      </c>
      <c r="G108" s="50" t="s">
        <v>2577</v>
      </c>
      <c r="H108" s="50" t="s">
        <v>7349</v>
      </c>
    </row>
    <row r="109" spans="1:8" ht="30" customHeight="1" x14ac:dyDescent="0.25">
      <c r="A109" s="312"/>
      <c r="B109" s="97">
        <v>43957</v>
      </c>
      <c r="C109" s="124"/>
      <c r="D109" s="143"/>
      <c r="E109" s="126"/>
      <c r="F109" s="96" t="s">
        <v>2578</v>
      </c>
      <c r="G109" s="86"/>
      <c r="H109" s="86"/>
    </row>
    <row r="110" spans="1:8" ht="30" customHeight="1" thickBot="1" x14ac:dyDescent="0.3">
      <c r="A110" s="83"/>
      <c r="B110" s="46"/>
      <c r="C110" s="182" t="s">
        <v>9802</v>
      </c>
      <c r="D110" s="183"/>
      <c r="E110" s="184"/>
      <c r="F110" s="52" t="s">
        <v>2581</v>
      </c>
      <c r="G110" s="91"/>
      <c r="H110" s="91"/>
    </row>
    <row r="111" spans="1:8" ht="30" customHeight="1" x14ac:dyDescent="0.25">
      <c r="A111" s="76">
        <v>755</v>
      </c>
      <c r="B111" s="96" t="s">
        <v>2525</v>
      </c>
      <c r="C111" s="121" t="s">
        <v>2582</v>
      </c>
      <c r="D111" s="122"/>
      <c r="E111" s="123"/>
      <c r="F111" s="50" t="s">
        <v>2543</v>
      </c>
      <c r="G111" s="50" t="s">
        <v>322</v>
      </c>
      <c r="H111" s="50" t="s">
        <v>2583</v>
      </c>
    </row>
    <row r="112" spans="1:8" ht="30" customHeight="1" x14ac:dyDescent="0.25">
      <c r="A112" s="312"/>
      <c r="B112" s="97">
        <v>43957</v>
      </c>
      <c r="C112" s="124"/>
      <c r="D112" s="143"/>
      <c r="E112" s="126"/>
      <c r="F112" s="86"/>
      <c r="G112" s="86"/>
      <c r="H112" s="86"/>
    </row>
    <row r="113" spans="1:8" ht="30" customHeight="1" thickBot="1" x14ac:dyDescent="0.3">
      <c r="A113" s="83"/>
      <c r="B113" s="46"/>
      <c r="C113" s="182" t="s">
        <v>9803</v>
      </c>
      <c r="D113" s="183"/>
      <c r="E113" s="184"/>
      <c r="F113" s="91"/>
      <c r="G113" s="91"/>
      <c r="H113" s="91"/>
    </row>
    <row r="114" spans="1:8" ht="30" customHeight="1" thickBot="1" x14ac:dyDescent="0.3">
      <c r="A114" s="313">
        <v>756</v>
      </c>
      <c r="B114" s="52" t="s">
        <v>2584</v>
      </c>
      <c r="C114" s="185" t="s">
        <v>2585</v>
      </c>
      <c r="D114" s="186"/>
      <c r="E114" s="187"/>
      <c r="F114" s="52" t="s">
        <v>2586</v>
      </c>
      <c r="G114" s="52" t="s">
        <v>1732</v>
      </c>
      <c r="H114" s="52" t="s">
        <v>8316</v>
      </c>
    </row>
    <row r="115" spans="1:8" ht="30" customHeight="1" thickBot="1" x14ac:dyDescent="0.3">
      <c r="A115" s="313">
        <v>757</v>
      </c>
      <c r="B115" s="52" t="s">
        <v>2584</v>
      </c>
      <c r="C115" s="185" t="s">
        <v>2587</v>
      </c>
      <c r="D115" s="186"/>
      <c r="E115" s="187"/>
      <c r="F115" s="52" t="s">
        <v>2586</v>
      </c>
      <c r="G115" s="52" t="s">
        <v>1732</v>
      </c>
      <c r="H115" s="52" t="s">
        <v>7334</v>
      </c>
    </row>
    <row r="116" spans="1:8" ht="30" customHeight="1" thickBot="1" x14ac:dyDescent="0.3">
      <c r="A116" s="313">
        <v>758</v>
      </c>
      <c r="B116" s="52" t="s">
        <v>2584</v>
      </c>
      <c r="C116" s="185" t="s">
        <v>2588</v>
      </c>
      <c r="D116" s="186"/>
      <c r="E116" s="187"/>
      <c r="F116" s="52" t="s">
        <v>2586</v>
      </c>
      <c r="G116" s="52" t="s">
        <v>1732</v>
      </c>
      <c r="H116" s="52" t="s">
        <v>8331</v>
      </c>
    </row>
    <row r="117" spans="1:8" ht="30" customHeight="1" thickBot="1" x14ac:dyDescent="0.3">
      <c r="A117" s="313">
        <v>759</v>
      </c>
      <c r="B117" s="52" t="s">
        <v>2584</v>
      </c>
      <c r="C117" s="185" t="s">
        <v>2589</v>
      </c>
      <c r="D117" s="186"/>
      <c r="E117" s="187"/>
      <c r="F117" s="52" t="s">
        <v>2590</v>
      </c>
      <c r="G117" s="52" t="s">
        <v>1732</v>
      </c>
      <c r="H117" s="52" t="s">
        <v>1743</v>
      </c>
    </row>
    <row r="118" spans="1:8" ht="30" customHeight="1" thickBot="1" x14ac:dyDescent="0.3">
      <c r="A118" s="313">
        <v>760</v>
      </c>
      <c r="B118" s="52" t="s">
        <v>2584</v>
      </c>
      <c r="C118" s="185" t="s">
        <v>2591</v>
      </c>
      <c r="D118" s="186"/>
      <c r="E118" s="187"/>
      <c r="F118" s="52" t="s">
        <v>2586</v>
      </c>
      <c r="G118" s="52" t="s">
        <v>1732</v>
      </c>
      <c r="H118" s="52" t="s">
        <v>7335</v>
      </c>
    </row>
    <row r="119" spans="1:8" ht="30" customHeight="1" thickBot="1" x14ac:dyDescent="0.3">
      <c r="A119" s="313">
        <v>761</v>
      </c>
      <c r="B119" s="188" t="s">
        <v>2584</v>
      </c>
      <c r="C119" s="185" t="s">
        <v>2592</v>
      </c>
      <c r="D119" s="186"/>
      <c r="E119" s="187"/>
      <c r="F119" s="188" t="s">
        <v>2586</v>
      </c>
      <c r="G119" s="188" t="s">
        <v>1732</v>
      </c>
      <c r="H119" s="188" t="s">
        <v>8332</v>
      </c>
    </row>
    <row r="120" spans="1:8" ht="30" customHeight="1" thickBot="1" x14ac:dyDescent="0.3">
      <c r="A120" s="313">
        <v>762</v>
      </c>
      <c r="B120" s="52" t="s">
        <v>2584</v>
      </c>
      <c r="C120" s="185" t="s">
        <v>2593</v>
      </c>
      <c r="D120" s="186"/>
      <c r="E120" s="187"/>
      <c r="F120" s="189" t="s">
        <v>2590</v>
      </c>
      <c r="G120" s="52" t="s">
        <v>1732</v>
      </c>
      <c r="H120" s="52" t="s">
        <v>8333</v>
      </c>
    </row>
    <row r="121" spans="1:8" ht="30" customHeight="1" thickBot="1" x14ac:dyDescent="0.3">
      <c r="A121" s="313">
        <v>763</v>
      </c>
      <c r="B121" s="52" t="s">
        <v>2584</v>
      </c>
      <c r="C121" s="185" t="s">
        <v>2594</v>
      </c>
      <c r="D121" s="186"/>
      <c r="E121" s="187"/>
      <c r="F121" s="190" t="s">
        <v>2590</v>
      </c>
      <c r="G121" s="52" t="s">
        <v>1732</v>
      </c>
      <c r="H121" s="52" t="s">
        <v>8334</v>
      </c>
    </row>
    <row r="122" spans="1:8" ht="30" customHeight="1" thickBot="1" x14ac:dyDescent="0.3">
      <c r="A122" s="313">
        <v>764</v>
      </c>
      <c r="B122" s="52" t="s">
        <v>2584</v>
      </c>
      <c r="C122" s="185" t="s">
        <v>2595</v>
      </c>
      <c r="D122" s="186"/>
      <c r="E122" s="187"/>
      <c r="F122" s="190" t="s">
        <v>2254</v>
      </c>
      <c r="G122" s="52" t="s">
        <v>1732</v>
      </c>
      <c r="H122" s="52" t="s">
        <v>678</v>
      </c>
    </row>
    <row r="123" spans="1:8" ht="30" customHeight="1" thickBot="1" x14ac:dyDescent="0.3">
      <c r="A123" s="313">
        <v>765</v>
      </c>
      <c r="B123" s="52" t="s">
        <v>2584</v>
      </c>
      <c r="C123" s="185" t="s">
        <v>2596</v>
      </c>
      <c r="D123" s="186"/>
      <c r="E123" s="187"/>
      <c r="F123" s="190" t="s">
        <v>1173</v>
      </c>
      <c r="G123" s="52" t="s">
        <v>1732</v>
      </c>
      <c r="H123" s="52" t="s">
        <v>359</v>
      </c>
    </row>
    <row r="124" spans="1:8" ht="30" customHeight="1" thickBot="1" x14ac:dyDescent="0.3">
      <c r="A124" s="313">
        <v>766</v>
      </c>
      <c r="B124" s="52" t="s">
        <v>2584</v>
      </c>
      <c r="C124" s="185" t="s">
        <v>2597</v>
      </c>
      <c r="D124" s="186"/>
      <c r="E124" s="187"/>
      <c r="F124" s="190" t="s">
        <v>2586</v>
      </c>
      <c r="G124" s="52" t="s">
        <v>1732</v>
      </c>
      <c r="H124" s="52" t="s">
        <v>8307</v>
      </c>
    </row>
    <row r="125" spans="1:8" ht="30" customHeight="1" thickBot="1" x14ac:dyDescent="0.3">
      <c r="A125" s="313">
        <v>767</v>
      </c>
      <c r="B125" s="52" t="s">
        <v>2584</v>
      </c>
      <c r="C125" s="185" t="s">
        <v>2598</v>
      </c>
      <c r="D125" s="186"/>
      <c r="E125" s="187"/>
      <c r="F125" s="190" t="s">
        <v>1173</v>
      </c>
      <c r="G125" s="52" t="s">
        <v>1732</v>
      </c>
      <c r="H125" s="52" t="s">
        <v>2599</v>
      </c>
    </row>
    <row r="126" spans="1:8" ht="30" customHeight="1" thickBot="1" x14ac:dyDescent="0.3">
      <c r="A126" s="313">
        <v>768</v>
      </c>
      <c r="B126" s="52" t="s">
        <v>2584</v>
      </c>
      <c r="C126" s="185" t="s">
        <v>2600</v>
      </c>
      <c r="D126" s="186"/>
      <c r="E126" s="187"/>
      <c r="F126" s="190" t="s">
        <v>2586</v>
      </c>
      <c r="G126" s="52" t="s">
        <v>1732</v>
      </c>
      <c r="H126" s="52" t="s">
        <v>8335</v>
      </c>
    </row>
    <row r="127" spans="1:8" ht="30" customHeight="1" thickBot="1" x14ac:dyDescent="0.3">
      <c r="A127" s="313">
        <v>769</v>
      </c>
      <c r="B127" s="52" t="s">
        <v>2584</v>
      </c>
      <c r="C127" s="185" t="s">
        <v>2601</v>
      </c>
      <c r="D127" s="186"/>
      <c r="E127" s="187"/>
      <c r="F127" s="190" t="s">
        <v>2254</v>
      </c>
      <c r="G127" s="52" t="s">
        <v>1732</v>
      </c>
      <c r="H127" s="52" t="s">
        <v>7347</v>
      </c>
    </row>
    <row r="128" spans="1:8" ht="30" customHeight="1" thickBot="1" x14ac:dyDescent="0.3">
      <c r="A128" s="313">
        <v>770</v>
      </c>
      <c r="B128" s="52" t="s">
        <v>2584</v>
      </c>
      <c r="C128" s="185" t="s">
        <v>2602</v>
      </c>
      <c r="D128" s="186"/>
      <c r="E128" s="187"/>
      <c r="F128" s="190" t="s">
        <v>2603</v>
      </c>
      <c r="G128" s="52" t="s">
        <v>1732</v>
      </c>
      <c r="H128" s="52" t="s">
        <v>1775</v>
      </c>
    </row>
    <row r="129" spans="1:8" ht="30" customHeight="1" x14ac:dyDescent="0.25">
      <c r="A129" s="76">
        <v>771</v>
      </c>
      <c r="B129" s="50" t="s">
        <v>2604</v>
      </c>
      <c r="C129" s="121" t="s">
        <v>9804</v>
      </c>
      <c r="D129" s="122"/>
      <c r="E129" s="123"/>
      <c r="F129" s="50" t="s">
        <v>1173</v>
      </c>
      <c r="G129" s="50" t="s">
        <v>2577</v>
      </c>
      <c r="H129" s="170" t="s">
        <v>359</v>
      </c>
    </row>
    <row r="130" spans="1:8" ht="30" customHeight="1" x14ac:dyDescent="0.25">
      <c r="A130" s="312"/>
      <c r="B130" s="86"/>
      <c r="C130" s="124" t="s">
        <v>9805</v>
      </c>
      <c r="D130" s="143"/>
      <c r="E130" s="126"/>
      <c r="F130" s="86"/>
      <c r="G130" s="86"/>
      <c r="H130" s="176"/>
    </row>
    <row r="131" spans="1:8" ht="30" customHeight="1" x14ac:dyDescent="0.25">
      <c r="A131" s="312"/>
      <c r="B131" s="86"/>
      <c r="C131" s="176"/>
      <c r="D131" s="177"/>
      <c r="E131" s="178"/>
      <c r="F131" s="86"/>
      <c r="G131" s="86"/>
      <c r="H131" s="176"/>
    </row>
    <row r="132" spans="1:8" ht="30" customHeight="1" x14ac:dyDescent="0.25">
      <c r="A132" s="312"/>
      <c r="B132" s="86"/>
      <c r="C132" s="191" t="s">
        <v>9806</v>
      </c>
      <c r="D132" s="192"/>
      <c r="E132" s="193"/>
      <c r="F132" s="86"/>
      <c r="G132" s="86"/>
      <c r="H132" s="176"/>
    </row>
    <row r="133" spans="1:8" ht="30" customHeight="1" x14ac:dyDescent="0.25">
      <c r="A133" s="312"/>
      <c r="B133" s="86"/>
      <c r="C133" s="124"/>
      <c r="D133" s="143"/>
      <c r="E133" s="126"/>
      <c r="F133" s="86"/>
      <c r="G133" s="86"/>
      <c r="H133" s="176"/>
    </row>
    <row r="134" spans="1:8" ht="30" customHeight="1" x14ac:dyDescent="0.25">
      <c r="A134" s="312"/>
      <c r="B134" s="86"/>
      <c r="C134" s="124" t="s">
        <v>2605</v>
      </c>
      <c r="D134" s="143"/>
      <c r="E134" s="126"/>
      <c r="F134" s="86"/>
      <c r="G134" s="86"/>
      <c r="H134" s="176"/>
    </row>
    <row r="135" spans="1:8" ht="30" customHeight="1" x14ac:dyDescent="0.25">
      <c r="A135" s="312"/>
      <c r="B135" s="86"/>
      <c r="C135" s="124" t="s">
        <v>2606</v>
      </c>
      <c r="D135" s="143"/>
      <c r="E135" s="126"/>
      <c r="F135" s="86"/>
      <c r="G135" s="86"/>
      <c r="H135" s="176"/>
    </row>
    <row r="136" spans="1:8" ht="30" customHeight="1" x14ac:dyDescent="0.25">
      <c r="A136" s="312"/>
      <c r="B136" s="86"/>
      <c r="C136" s="124" t="s">
        <v>2607</v>
      </c>
      <c r="D136" s="143"/>
      <c r="E136" s="126"/>
      <c r="F136" s="86"/>
      <c r="G136" s="86"/>
      <c r="H136" s="176"/>
    </row>
    <row r="137" spans="1:8" ht="30" customHeight="1" thickBot="1" x14ac:dyDescent="0.3">
      <c r="A137" s="312"/>
      <c r="B137" s="86"/>
      <c r="C137" s="124" t="s">
        <v>2608</v>
      </c>
      <c r="D137" s="143"/>
      <c r="E137" s="126"/>
      <c r="F137" s="91"/>
      <c r="G137" s="91"/>
      <c r="H137" s="176"/>
    </row>
    <row r="138" spans="1:8" ht="30" customHeight="1" thickBot="1" x14ac:dyDescent="0.3">
      <c r="A138" s="312"/>
      <c r="B138" s="86"/>
      <c r="C138" s="124" t="s">
        <v>2609</v>
      </c>
      <c r="D138" s="143"/>
      <c r="E138" s="126"/>
      <c r="F138" s="190"/>
      <c r="G138" s="52"/>
      <c r="H138" s="176"/>
    </row>
    <row r="139" spans="1:8" ht="30" customHeight="1" thickBot="1" x14ac:dyDescent="0.3">
      <c r="A139" s="83"/>
      <c r="B139" s="91"/>
      <c r="C139" s="194" t="s">
        <v>2610</v>
      </c>
      <c r="D139" s="195"/>
      <c r="E139" s="196"/>
      <c r="F139" s="190"/>
      <c r="G139" s="52"/>
      <c r="H139" s="325"/>
    </row>
    <row r="140" spans="1:8" ht="30" customHeight="1" x14ac:dyDescent="0.25">
      <c r="A140" s="76">
        <v>772</v>
      </c>
      <c r="B140" s="50" t="s">
        <v>2604</v>
      </c>
      <c r="C140" s="121" t="s">
        <v>9807</v>
      </c>
      <c r="D140" s="122"/>
      <c r="E140" s="123"/>
      <c r="F140" s="50" t="s">
        <v>2611</v>
      </c>
      <c r="G140" s="50" t="s">
        <v>2577</v>
      </c>
      <c r="H140" s="84" t="s">
        <v>8319</v>
      </c>
    </row>
    <row r="141" spans="1:8" ht="30" customHeight="1" x14ac:dyDescent="0.25">
      <c r="A141" s="312"/>
      <c r="B141" s="86"/>
      <c r="C141" s="124"/>
      <c r="D141" s="143"/>
      <c r="E141" s="126"/>
      <c r="F141" s="86"/>
      <c r="G141" s="86"/>
      <c r="H141" s="85"/>
    </row>
    <row r="142" spans="1:8" ht="30" customHeight="1" thickBot="1" x14ac:dyDescent="0.3">
      <c r="A142" s="83"/>
      <c r="B142" s="91"/>
      <c r="C142" s="194" t="s">
        <v>2612</v>
      </c>
      <c r="D142" s="195"/>
      <c r="E142" s="196"/>
      <c r="F142" s="91"/>
      <c r="G142" s="91"/>
      <c r="H142" s="77"/>
    </row>
    <row r="143" spans="1:8" ht="30" customHeight="1" x14ac:dyDescent="0.25">
      <c r="A143" s="76">
        <v>773</v>
      </c>
      <c r="B143" s="50" t="s">
        <v>2604</v>
      </c>
      <c r="C143" s="121" t="s">
        <v>9808</v>
      </c>
      <c r="D143" s="122"/>
      <c r="E143" s="123"/>
      <c r="F143" s="50" t="s">
        <v>1173</v>
      </c>
      <c r="G143" s="50" t="s">
        <v>148</v>
      </c>
      <c r="H143" s="84" t="s">
        <v>2599</v>
      </c>
    </row>
    <row r="144" spans="1:8" ht="30" customHeight="1" x14ac:dyDescent="0.25">
      <c r="A144" s="312"/>
      <c r="B144" s="86"/>
      <c r="C144" s="176"/>
      <c r="D144" s="177"/>
      <c r="E144" s="178"/>
      <c r="F144" s="86"/>
      <c r="G144" s="86"/>
      <c r="H144" s="85"/>
    </row>
    <row r="145" spans="1:8" ht="30" customHeight="1" thickBot="1" x14ac:dyDescent="0.3">
      <c r="A145" s="83"/>
      <c r="B145" s="91"/>
      <c r="C145" s="194" t="s">
        <v>2613</v>
      </c>
      <c r="D145" s="195"/>
      <c r="E145" s="196"/>
      <c r="F145" s="91"/>
      <c r="G145" s="91"/>
      <c r="H145" s="77"/>
    </row>
    <row r="146" spans="1:8" ht="30" customHeight="1" x14ac:dyDescent="0.25">
      <c r="A146" s="76">
        <v>774</v>
      </c>
      <c r="B146" s="50" t="s">
        <v>2604</v>
      </c>
      <c r="C146" s="121" t="s">
        <v>9809</v>
      </c>
      <c r="D146" s="122"/>
      <c r="E146" s="123"/>
      <c r="F146" s="50" t="s">
        <v>2614</v>
      </c>
      <c r="G146" s="50" t="s">
        <v>148</v>
      </c>
      <c r="H146" s="84" t="s">
        <v>8336</v>
      </c>
    </row>
    <row r="147" spans="1:8" ht="30" customHeight="1" x14ac:dyDescent="0.25">
      <c r="A147" s="312"/>
      <c r="B147" s="86"/>
      <c r="C147" s="176"/>
      <c r="D147" s="177"/>
      <c r="E147" s="178"/>
      <c r="F147" s="86"/>
      <c r="G147" s="86"/>
      <c r="H147" s="85"/>
    </row>
    <row r="148" spans="1:8" ht="30" customHeight="1" thickBot="1" x14ac:dyDescent="0.3">
      <c r="A148" s="312"/>
      <c r="B148" s="86"/>
      <c r="C148" s="191" t="s">
        <v>9810</v>
      </c>
      <c r="D148" s="192"/>
      <c r="E148" s="193"/>
      <c r="F148" s="91"/>
      <c r="G148" s="91"/>
      <c r="H148" s="85"/>
    </row>
    <row r="149" spans="1:8" ht="30" customHeight="1" thickBot="1" x14ac:dyDescent="0.3">
      <c r="A149" s="83"/>
      <c r="B149" s="91"/>
      <c r="C149" s="197" t="s">
        <v>9811</v>
      </c>
      <c r="D149" s="198"/>
      <c r="E149" s="199"/>
      <c r="F149" s="190"/>
      <c r="G149" s="52"/>
      <c r="H149" s="77"/>
    </row>
    <row r="150" spans="1:8" ht="30" customHeight="1" x14ac:dyDescent="0.25">
      <c r="A150" s="76">
        <v>775</v>
      </c>
      <c r="B150" s="50" t="s">
        <v>2604</v>
      </c>
      <c r="C150" s="200" t="s">
        <v>2615</v>
      </c>
      <c r="D150" s="201"/>
      <c r="E150" s="202"/>
      <c r="F150" s="50" t="s">
        <v>2614</v>
      </c>
      <c r="G150" s="50" t="s">
        <v>148</v>
      </c>
      <c r="H150" s="84" t="s">
        <v>8337</v>
      </c>
    </row>
    <row r="151" spans="1:8" ht="30" customHeight="1" x14ac:dyDescent="0.25">
      <c r="A151" s="312"/>
      <c r="B151" s="86"/>
      <c r="C151" s="176"/>
      <c r="D151" s="177"/>
      <c r="E151" s="178"/>
      <c r="F151" s="86"/>
      <c r="G151" s="86"/>
      <c r="H151" s="85"/>
    </row>
    <row r="152" spans="1:8" ht="30" customHeight="1" thickBot="1" x14ac:dyDescent="0.3">
      <c r="A152" s="83"/>
      <c r="B152" s="91"/>
      <c r="C152" s="197" t="s">
        <v>2616</v>
      </c>
      <c r="D152" s="198"/>
      <c r="E152" s="199"/>
      <c r="F152" s="91"/>
      <c r="G152" s="91"/>
      <c r="H152" s="77"/>
    </row>
    <row r="153" spans="1:8" ht="30" customHeight="1" x14ac:dyDescent="0.25">
      <c r="A153" s="76">
        <v>776</v>
      </c>
      <c r="B153" s="50" t="s">
        <v>2604</v>
      </c>
      <c r="C153" s="121" t="s">
        <v>2617</v>
      </c>
      <c r="D153" s="122"/>
      <c r="E153" s="123"/>
      <c r="F153" s="50" t="s">
        <v>2614</v>
      </c>
      <c r="G153" s="50" t="s">
        <v>148</v>
      </c>
      <c r="H153" s="84" t="s">
        <v>7350</v>
      </c>
    </row>
    <row r="154" spans="1:8" ht="30" customHeight="1" x14ac:dyDescent="0.25">
      <c r="A154" s="312"/>
      <c r="B154" s="86"/>
      <c r="C154" s="176"/>
      <c r="D154" s="177"/>
      <c r="E154" s="178"/>
      <c r="F154" s="86"/>
      <c r="G154" s="86"/>
      <c r="H154" s="85"/>
    </row>
    <row r="155" spans="1:8" ht="30" customHeight="1" x14ac:dyDescent="0.25">
      <c r="A155" s="312"/>
      <c r="B155" s="86"/>
      <c r="C155" s="124" t="s">
        <v>9812</v>
      </c>
      <c r="D155" s="143"/>
      <c r="E155" s="126"/>
      <c r="F155" s="86"/>
      <c r="G155" s="86"/>
      <c r="H155" s="85"/>
    </row>
    <row r="156" spans="1:8" ht="30" customHeight="1" x14ac:dyDescent="0.25">
      <c r="A156" s="312"/>
      <c r="B156" s="86"/>
      <c r="C156" s="176"/>
      <c r="D156" s="177"/>
      <c r="E156" s="178"/>
      <c r="F156" s="86"/>
      <c r="G156" s="86"/>
      <c r="H156" s="85"/>
    </row>
    <row r="157" spans="1:8" ht="30" customHeight="1" thickBot="1" x14ac:dyDescent="0.3">
      <c r="A157" s="83"/>
      <c r="B157" s="91"/>
      <c r="C157" s="203" t="s">
        <v>2618</v>
      </c>
      <c r="D157" s="204"/>
      <c r="E157" s="205"/>
      <c r="F157" s="91"/>
      <c r="G157" s="91"/>
      <c r="H157" s="77"/>
    </row>
    <row r="158" spans="1:8" ht="30" customHeight="1" x14ac:dyDescent="0.25">
      <c r="A158" s="76">
        <v>777</v>
      </c>
      <c r="B158" s="50" t="s">
        <v>2619</v>
      </c>
      <c r="C158" s="121" t="s">
        <v>2620</v>
      </c>
      <c r="D158" s="122"/>
      <c r="E158" s="123"/>
      <c r="F158" s="50" t="s">
        <v>2614</v>
      </c>
      <c r="G158" s="50" t="s">
        <v>148</v>
      </c>
      <c r="H158" s="84" t="s">
        <v>7347</v>
      </c>
    </row>
    <row r="159" spans="1:8" ht="30" customHeight="1" x14ac:dyDescent="0.25">
      <c r="A159" s="312"/>
      <c r="B159" s="86"/>
      <c r="C159" s="176"/>
      <c r="D159" s="177"/>
      <c r="E159" s="178"/>
      <c r="F159" s="86"/>
      <c r="G159" s="86"/>
      <c r="H159" s="85"/>
    </row>
    <row r="160" spans="1:8" ht="30" customHeight="1" thickBot="1" x14ac:dyDescent="0.3">
      <c r="A160" s="83"/>
      <c r="B160" s="91"/>
      <c r="C160" s="194" t="s">
        <v>2621</v>
      </c>
      <c r="D160" s="195"/>
      <c r="E160" s="196"/>
      <c r="F160" s="91"/>
      <c r="G160" s="91"/>
      <c r="H160" s="77"/>
    </row>
    <row r="161" spans="1:8" ht="30" customHeight="1" x14ac:dyDescent="0.25">
      <c r="A161" s="76">
        <v>778</v>
      </c>
      <c r="B161" s="50" t="s">
        <v>2604</v>
      </c>
      <c r="C161" s="200" t="s">
        <v>2622</v>
      </c>
      <c r="D161" s="201"/>
      <c r="E161" s="202"/>
      <c r="F161" s="50" t="s">
        <v>2614</v>
      </c>
      <c r="G161" s="50" t="s">
        <v>148</v>
      </c>
      <c r="H161" s="84" t="s">
        <v>1775</v>
      </c>
    </row>
    <row r="162" spans="1:8" ht="30" customHeight="1" x14ac:dyDescent="0.25">
      <c r="A162" s="312"/>
      <c r="B162" s="86"/>
      <c r="C162" s="176"/>
      <c r="D162" s="177"/>
      <c r="E162" s="178"/>
      <c r="F162" s="86"/>
      <c r="G162" s="86"/>
      <c r="H162" s="85"/>
    </row>
    <row r="163" spans="1:8" ht="30" customHeight="1" thickBot="1" x14ac:dyDescent="0.3">
      <c r="A163" s="83"/>
      <c r="B163" s="91"/>
      <c r="C163" s="127" t="s">
        <v>9813</v>
      </c>
      <c r="D163" s="128"/>
      <c r="E163" s="129"/>
      <c r="F163" s="91"/>
      <c r="G163" s="91"/>
      <c r="H163" s="77"/>
    </row>
    <row r="164" spans="1:8" ht="30" customHeight="1" thickBot="1" x14ac:dyDescent="0.3">
      <c r="A164" s="313">
        <v>779</v>
      </c>
      <c r="B164" s="52" t="s">
        <v>2623</v>
      </c>
      <c r="C164" s="185" t="s">
        <v>2624</v>
      </c>
      <c r="D164" s="186"/>
      <c r="E164" s="187"/>
      <c r="F164" s="190"/>
      <c r="G164" s="52" t="s">
        <v>8532</v>
      </c>
      <c r="H164" s="61" t="s">
        <v>21</v>
      </c>
    </row>
  </sheetData>
  <autoFilter ref="A15:H164" xr:uid="{00000000-0009-0000-0000-000001000000}">
    <filterColumn colId="2" showButton="0"/>
    <filterColumn colId="3" showButton="0"/>
  </autoFilter>
  <mergeCells count="265">
    <mergeCell ref="A12:H13"/>
    <mergeCell ref="A11:H11"/>
    <mergeCell ref="A1:F1"/>
    <mergeCell ref="A2:B4"/>
    <mergeCell ref="C2:E2"/>
    <mergeCell ref="D3:E3"/>
    <mergeCell ref="D4:E4"/>
    <mergeCell ref="A5:F5"/>
    <mergeCell ref="A8:F8"/>
    <mergeCell ref="B10:F10"/>
    <mergeCell ref="H15:H16"/>
    <mergeCell ref="A17:A27"/>
    <mergeCell ref="C17:E17"/>
    <mergeCell ref="F17:F27"/>
    <mergeCell ref="H17:H27"/>
    <mergeCell ref="A15:A16"/>
    <mergeCell ref="C15:E16"/>
    <mergeCell ref="F15:F16"/>
    <mergeCell ref="G15:G16"/>
    <mergeCell ref="C25:E25"/>
    <mergeCell ref="C26:E26"/>
    <mergeCell ref="C27:E27"/>
    <mergeCell ref="A28:A35"/>
    <mergeCell ref="C28:E28"/>
    <mergeCell ref="C29:E29"/>
    <mergeCell ref="C30:E30"/>
    <mergeCell ref="C31:E31"/>
    <mergeCell ref="C32:E32"/>
    <mergeCell ref="C18:E18"/>
    <mergeCell ref="C19:E19"/>
    <mergeCell ref="C20:E20"/>
    <mergeCell ref="C21:E21"/>
    <mergeCell ref="C22:E22"/>
    <mergeCell ref="C23:E23"/>
    <mergeCell ref="C24:E24"/>
    <mergeCell ref="C33:E33"/>
    <mergeCell ref="C34:E34"/>
    <mergeCell ref="C35:E35"/>
    <mergeCell ref="A36:A38"/>
    <mergeCell ref="C36:E36"/>
    <mergeCell ref="F28:F35"/>
    <mergeCell ref="H28:H35"/>
    <mergeCell ref="C37:E37"/>
    <mergeCell ref="C38:E38"/>
    <mergeCell ref="A39:A43"/>
    <mergeCell ref="C39:E39"/>
    <mergeCell ref="F39:F43"/>
    <mergeCell ref="G39:G43"/>
    <mergeCell ref="F36:F38"/>
    <mergeCell ref="G36:G38"/>
    <mergeCell ref="H36:H38"/>
    <mergeCell ref="H39:H43"/>
    <mergeCell ref="C40:E40"/>
    <mergeCell ref="C41:E41"/>
    <mergeCell ref="C42:E42"/>
    <mergeCell ref="C43:E43"/>
    <mergeCell ref="H44:H47"/>
    <mergeCell ref="C45:E45"/>
    <mergeCell ref="C46:E46"/>
    <mergeCell ref="C47:E47"/>
    <mergeCell ref="A44:A47"/>
    <mergeCell ref="C44:E44"/>
    <mergeCell ref="F44:F47"/>
    <mergeCell ref="G44:G47"/>
    <mergeCell ref="A48:A56"/>
    <mergeCell ref="C48:E48"/>
    <mergeCell ref="G48:G56"/>
    <mergeCell ref="C55:E55"/>
    <mergeCell ref="C56:E56"/>
    <mergeCell ref="H48:H56"/>
    <mergeCell ref="C49:E49"/>
    <mergeCell ref="C50:E50"/>
    <mergeCell ref="C51:E51"/>
    <mergeCell ref="C52:E52"/>
    <mergeCell ref="C53:E53"/>
    <mergeCell ref="C54:E54"/>
    <mergeCell ref="C58:E58"/>
    <mergeCell ref="C59:E59"/>
    <mergeCell ref="C60:E60"/>
    <mergeCell ref="C61:E61"/>
    <mergeCell ref="A57:A61"/>
    <mergeCell ref="C57:E57"/>
    <mergeCell ref="G57:G61"/>
    <mergeCell ref="A62:A69"/>
    <mergeCell ref="C62:E62"/>
    <mergeCell ref="G62:G69"/>
    <mergeCell ref="C69:E69"/>
    <mergeCell ref="H57:H61"/>
    <mergeCell ref="H62:H69"/>
    <mergeCell ref="C74:E74"/>
    <mergeCell ref="C75:E75"/>
    <mergeCell ref="C63:E63"/>
    <mergeCell ref="C64:E64"/>
    <mergeCell ref="C65:E65"/>
    <mergeCell ref="C66:E66"/>
    <mergeCell ref="C67:E67"/>
    <mergeCell ref="C68:E68"/>
    <mergeCell ref="H70:H72"/>
    <mergeCell ref="C71:E71"/>
    <mergeCell ref="C72:E72"/>
    <mergeCell ref="A73:A75"/>
    <mergeCell ref="C73:E73"/>
    <mergeCell ref="H73:H75"/>
    <mergeCell ref="A70:A72"/>
    <mergeCell ref="C70:E70"/>
    <mergeCell ref="G70:G72"/>
    <mergeCell ref="C83:E83"/>
    <mergeCell ref="C84:E84"/>
    <mergeCell ref="C77:E77"/>
    <mergeCell ref="C78:E78"/>
    <mergeCell ref="A79:A81"/>
    <mergeCell ref="C79:E79"/>
    <mergeCell ref="H79:H81"/>
    <mergeCell ref="C80:E80"/>
    <mergeCell ref="C81:E81"/>
    <mergeCell ref="A76:A78"/>
    <mergeCell ref="C76:E76"/>
    <mergeCell ref="H76:H78"/>
    <mergeCell ref="A91:A93"/>
    <mergeCell ref="C91:E91"/>
    <mergeCell ref="G91:G93"/>
    <mergeCell ref="H91:H93"/>
    <mergeCell ref="A82:A84"/>
    <mergeCell ref="C82:E82"/>
    <mergeCell ref="H82:H84"/>
    <mergeCell ref="C86:E86"/>
    <mergeCell ref="C87:E87"/>
    <mergeCell ref="A88:A90"/>
    <mergeCell ref="C88:E88"/>
    <mergeCell ref="H88:H90"/>
    <mergeCell ref="A85:A87"/>
    <mergeCell ref="C85:E85"/>
    <mergeCell ref="H85:H87"/>
    <mergeCell ref="C92:E92"/>
    <mergeCell ref="C93:E93"/>
    <mergeCell ref="C89:E89"/>
    <mergeCell ref="C90:E90"/>
    <mergeCell ref="A100:A102"/>
    <mergeCell ref="C100:E100"/>
    <mergeCell ref="G100:G102"/>
    <mergeCell ref="C95:E95"/>
    <mergeCell ref="C96:E96"/>
    <mergeCell ref="A97:A99"/>
    <mergeCell ref="C97:E97"/>
    <mergeCell ref="H97:H99"/>
    <mergeCell ref="A94:A96"/>
    <mergeCell ref="C94:E94"/>
    <mergeCell ref="H94:H96"/>
    <mergeCell ref="H100:H102"/>
    <mergeCell ref="C101:E101"/>
    <mergeCell ref="C102:E102"/>
    <mergeCell ref="C98:E98"/>
    <mergeCell ref="C99:E99"/>
    <mergeCell ref="H103:H107"/>
    <mergeCell ref="C104:E104"/>
    <mergeCell ref="C105:E105"/>
    <mergeCell ref="C106:E106"/>
    <mergeCell ref="C107:E107"/>
    <mergeCell ref="A103:A107"/>
    <mergeCell ref="C103:E103"/>
    <mergeCell ref="G103:G107"/>
    <mergeCell ref="H108:H110"/>
    <mergeCell ref="C109:E109"/>
    <mergeCell ref="C110:E110"/>
    <mergeCell ref="A108:A110"/>
    <mergeCell ref="C108:E108"/>
    <mergeCell ref="G108:G110"/>
    <mergeCell ref="H111:H113"/>
    <mergeCell ref="C112:E112"/>
    <mergeCell ref="C113:E113"/>
    <mergeCell ref="A111:A113"/>
    <mergeCell ref="C111:E111"/>
    <mergeCell ref="F111:F113"/>
    <mergeCell ref="G111:G113"/>
    <mergeCell ref="C120:E120"/>
    <mergeCell ref="C121:E121"/>
    <mergeCell ref="C122:E122"/>
    <mergeCell ref="C123:E123"/>
    <mergeCell ref="C124:E124"/>
    <mergeCell ref="C125:E125"/>
    <mergeCell ref="C114:E114"/>
    <mergeCell ref="C115:E115"/>
    <mergeCell ref="C116:E116"/>
    <mergeCell ref="C117:E117"/>
    <mergeCell ref="C118:E118"/>
    <mergeCell ref="C119:E119"/>
    <mergeCell ref="C126:E126"/>
    <mergeCell ref="C127:E127"/>
    <mergeCell ref="C128:E128"/>
    <mergeCell ref="A129:A139"/>
    <mergeCell ref="B129:B139"/>
    <mergeCell ref="C129:E129"/>
    <mergeCell ref="C130:E130"/>
    <mergeCell ref="C131:E131"/>
    <mergeCell ref="C132:E132"/>
    <mergeCell ref="C133:E133"/>
    <mergeCell ref="C134:E134"/>
    <mergeCell ref="C135:E135"/>
    <mergeCell ref="C136:E136"/>
    <mergeCell ref="C137:E137"/>
    <mergeCell ref="C138:E138"/>
    <mergeCell ref="F129:F137"/>
    <mergeCell ref="G129:G137"/>
    <mergeCell ref="G140:G142"/>
    <mergeCell ref="C141:E141"/>
    <mergeCell ref="C142:E142"/>
    <mergeCell ref="C139:E139"/>
    <mergeCell ref="H140:H142"/>
    <mergeCell ref="A140:A142"/>
    <mergeCell ref="B140:B142"/>
    <mergeCell ref="C140:E140"/>
    <mergeCell ref="F140:F142"/>
    <mergeCell ref="H129:H139"/>
    <mergeCell ref="A146:A149"/>
    <mergeCell ref="B146:B149"/>
    <mergeCell ref="C146:E146"/>
    <mergeCell ref="F146:F148"/>
    <mergeCell ref="A143:A145"/>
    <mergeCell ref="B143:B145"/>
    <mergeCell ref="C143:E143"/>
    <mergeCell ref="F143:F145"/>
    <mergeCell ref="G146:G148"/>
    <mergeCell ref="C147:E147"/>
    <mergeCell ref="C148:E148"/>
    <mergeCell ref="C149:E149"/>
    <mergeCell ref="C144:E144"/>
    <mergeCell ref="C145:E145"/>
    <mergeCell ref="G143:G145"/>
    <mergeCell ref="C151:E151"/>
    <mergeCell ref="C152:E152"/>
    <mergeCell ref="G150:G152"/>
    <mergeCell ref="H143:H145"/>
    <mergeCell ref="H146:H149"/>
    <mergeCell ref="H150:H152"/>
    <mergeCell ref="A153:A157"/>
    <mergeCell ref="B153:B157"/>
    <mergeCell ref="C153:E153"/>
    <mergeCell ref="F153:F157"/>
    <mergeCell ref="A150:A152"/>
    <mergeCell ref="B150:B152"/>
    <mergeCell ref="C150:E150"/>
    <mergeCell ref="F150:F152"/>
    <mergeCell ref="G153:G157"/>
    <mergeCell ref="H153:H157"/>
    <mergeCell ref="C154:E154"/>
    <mergeCell ref="C155:E155"/>
    <mergeCell ref="C156:E156"/>
    <mergeCell ref="C157:E157"/>
    <mergeCell ref="H158:H160"/>
    <mergeCell ref="C159:E159"/>
    <mergeCell ref="C160:E160"/>
    <mergeCell ref="A158:A160"/>
    <mergeCell ref="B158:B160"/>
    <mergeCell ref="C158:E158"/>
    <mergeCell ref="F158:F160"/>
    <mergeCell ref="G158:G160"/>
    <mergeCell ref="C164:E164"/>
    <mergeCell ref="H161:H163"/>
    <mergeCell ref="C162:E162"/>
    <mergeCell ref="C163:E163"/>
    <mergeCell ref="A161:A163"/>
    <mergeCell ref="B161:B163"/>
    <mergeCell ref="C161:E161"/>
    <mergeCell ref="F161:F163"/>
    <mergeCell ref="G161:G16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L2516"/>
  <sheetViews>
    <sheetView showGridLines="0" zoomScale="70" zoomScaleNormal="70" workbookViewId="0">
      <selection activeCell="B9" sqref="B9:G9"/>
    </sheetView>
  </sheetViews>
  <sheetFormatPr baseColWidth="10" defaultColWidth="9.140625" defaultRowHeight="15.75" x14ac:dyDescent="0.25"/>
  <cols>
    <col min="1" max="1" width="9.140625" style="217"/>
    <col min="2" max="2" width="7" style="211" customWidth="1"/>
    <col min="3" max="3" width="15.85546875" style="215" customWidth="1"/>
    <col min="4" max="4" width="62.42578125" style="211" customWidth="1"/>
    <col min="5" max="5" width="61.85546875" style="215" customWidth="1"/>
    <col min="6" max="6" width="18.7109375" style="215" customWidth="1"/>
    <col min="7" max="7" width="16.28515625" style="215" customWidth="1"/>
    <col min="8" max="248" width="9.140625" style="217"/>
    <col min="249" max="249" width="50.42578125" style="217" customWidth="1"/>
    <col min="250" max="250" width="33.28515625" style="217" customWidth="1"/>
    <col min="251" max="251" width="31.42578125" style="217" customWidth="1"/>
    <col min="252" max="253" width="28.7109375" style="217" customWidth="1"/>
    <col min="254" max="254" width="35.140625" style="217" customWidth="1"/>
    <col min="255" max="255" width="28.7109375" style="217" customWidth="1"/>
    <col min="256" max="504" width="9.140625" style="217"/>
    <col min="505" max="505" width="50.42578125" style="217" customWidth="1"/>
    <col min="506" max="506" width="33.28515625" style="217" customWidth="1"/>
    <col min="507" max="507" width="31.42578125" style="217" customWidth="1"/>
    <col min="508" max="509" width="28.7109375" style="217" customWidth="1"/>
    <col min="510" max="510" width="35.140625" style="217" customWidth="1"/>
    <col min="511" max="511" width="28.7109375" style="217" customWidth="1"/>
    <col min="512" max="760" width="9.140625" style="217"/>
    <col min="761" max="761" width="50.42578125" style="217" customWidth="1"/>
    <col min="762" max="762" width="33.28515625" style="217" customWidth="1"/>
    <col min="763" max="763" width="31.42578125" style="217" customWidth="1"/>
    <col min="764" max="765" width="28.7109375" style="217" customWidth="1"/>
    <col min="766" max="766" width="35.140625" style="217" customWidth="1"/>
    <col min="767" max="767" width="28.7109375" style="217" customWidth="1"/>
    <col min="768" max="1016" width="9.140625" style="217"/>
    <col min="1017" max="1017" width="50.42578125" style="217" customWidth="1"/>
    <col min="1018" max="1018" width="33.28515625" style="217" customWidth="1"/>
    <col min="1019" max="1019" width="31.42578125" style="217" customWidth="1"/>
    <col min="1020" max="1021" width="28.7109375" style="217" customWidth="1"/>
    <col min="1022" max="1022" width="35.140625" style="217" customWidth="1"/>
    <col min="1023" max="1023" width="28.7109375" style="217" customWidth="1"/>
    <col min="1024" max="1272" width="9.140625" style="217"/>
    <col min="1273" max="1273" width="50.42578125" style="217" customWidth="1"/>
    <col min="1274" max="1274" width="33.28515625" style="217" customWidth="1"/>
    <col min="1275" max="1275" width="31.42578125" style="217" customWidth="1"/>
    <col min="1276" max="1277" width="28.7109375" style="217" customWidth="1"/>
    <col min="1278" max="1278" width="35.140625" style="217" customWidth="1"/>
    <col min="1279" max="1279" width="28.7109375" style="217" customWidth="1"/>
    <col min="1280" max="1528" width="9.140625" style="217"/>
    <col min="1529" max="1529" width="50.42578125" style="217" customWidth="1"/>
    <col min="1530" max="1530" width="33.28515625" style="217" customWidth="1"/>
    <col min="1531" max="1531" width="31.42578125" style="217" customWidth="1"/>
    <col min="1532" max="1533" width="28.7109375" style="217" customWidth="1"/>
    <col min="1534" max="1534" width="35.140625" style="217" customWidth="1"/>
    <col min="1535" max="1535" width="28.7109375" style="217" customWidth="1"/>
    <col min="1536" max="1784" width="9.140625" style="217"/>
    <col min="1785" max="1785" width="50.42578125" style="217" customWidth="1"/>
    <col min="1786" max="1786" width="33.28515625" style="217" customWidth="1"/>
    <col min="1787" max="1787" width="31.42578125" style="217" customWidth="1"/>
    <col min="1788" max="1789" width="28.7109375" style="217" customWidth="1"/>
    <col min="1790" max="1790" width="35.140625" style="217" customWidth="1"/>
    <col min="1791" max="1791" width="28.7109375" style="217" customWidth="1"/>
    <col min="1792" max="2040" width="9.140625" style="217"/>
    <col min="2041" max="2041" width="50.42578125" style="217" customWidth="1"/>
    <col min="2042" max="2042" width="33.28515625" style="217" customWidth="1"/>
    <col min="2043" max="2043" width="31.42578125" style="217" customWidth="1"/>
    <col min="2044" max="2045" width="28.7109375" style="217" customWidth="1"/>
    <col min="2046" max="2046" width="35.140625" style="217" customWidth="1"/>
    <col min="2047" max="2047" width="28.7109375" style="217" customWidth="1"/>
    <col min="2048" max="2296" width="9.140625" style="217"/>
    <col min="2297" max="2297" width="50.42578125" style="217" customWidth="1"/>
    <col min="2298" max="2298" width="33.28515625" style="217" customWidth="1"/>
    <col min="2299" max="2299" width="31.42578125" style="217" customWidth="1"/>
    <col min="2300" max="2301" width="28.7109375" style="217" customWidth="1"/>
    <col min="2302" max="2302" width="35.140625" style="217" customWidth="1"/>
    <col min="2303" max="2303" width="28.7109375" style="217" customWidth="1"/>
    <col min="2304" max="2552" width="9.140625" style="217"/>
    <col min="2553" max="2553" width="50.42578125" style="217" customWidth="1"/>
    <col min="2554" max="2554" width="33.28515625" style="217" customWidth="1"/>
    <col min="2555" max="2555" width="31.42578125" style="217" customWidth="1"/>
    <col min="2556" max="2557" width="28.7109375" style="217" customWidth="1"/>
    <col min="2558" max="2558" width="35.140625" style="217" customWidth="1"/>
    <col min="2559" max="2559" width="28.7109375" style="217" customWidth="1"/>
    <col min="2560" max="2808" width="9.140625" style="217"/>
    <col min="2809" max="2809" width="50.42578125" style="217" customWidth="1"/>
    <col min="2810" max="2810" width="33.28515625" style="217" customWidth="1"/>
    <col min="2811" max="2811" width="31.42578125" style="217" customWidth="1"/>
    <col min="2812" max="2813" width="28.7109375" style="217" customWidth="1"/>
    <col min="2814" max="2814" width="35.140625" style="217" customWidth="1"/>
    <col min="2815" max="2815" width="28.7109375" style="217" customWidth="1"/>
    <col min="2816" max="3064" width="9.140625" style="217"/>
    <col min="3065" max="3065" width="50.42578125" style="217" customWidth="1"/>
    <col min="3066" max="3066" width="33.28515625" style="217" customWidth="1"/>
    <col min="3067" max="3067" width="31.42578125" style="217" customWidth="1"/>
    <col min="3068" max="3069" width="28.7109375" style="217" customWidth="1"/>
    <col min="3070" max="3070" width="35.140625" style="217" customWidth="1"/>
    <col min="3071" max="3071" width="28.7109375" style="217" customWidth="1"/>
    <col min="3072" max="3320" width="9.140625" style="217"/>
    <col min="3321" max="3321" width="50.42578125" style="217" customWidth="1"/>
    <col min="3322" max="3322" width="33.28515625" style="217" customWidth="1"/>
    <col min="3323" max="3323" width="31.42578125" style="217" customWidth="1"/>
    <col min="3324" max="3325" width="28.7109375" style="217" customWidth="1"/>
    <col min="3326" max="3326" width="35.140625" style="217" customWidth="1"/>
    <col min="3327" max="3327" width="28.7109375" style="217" customWidth="1"/>
    <col min="3328" max="3576" width="9.140625" style="217"/>
    <col min="3577" max="3577" width="50.42578125" style="217" customWidth="1"/>
    <col min="3578" max="3578" width="33.28515625" style="217" customWidth="1"/>
    <col min="3579" max="3579" width="31.42578125" style="217" customWidth="1"/>
    <col min="3580" max="3581" width="28.7109375" style="217" customWidth="1"/>
    <col min="3582" max="3582" width="35.140625" style="217" customWidth="1"/>
    <col min="3583" max="3583" width="28.7109375" style="217" customWidth="1"/>
    <col min="3584" max="3832" width="9.140625" style="217"/>
    <col min="3833" max="3833" width="50.42578125" style="217" customWidth="1"/>
    <col min="3834" max="3834" width="33.28515625" style="217" customWidth="1"/>
    <col min="3835" max="3835" width="31.42578125" style="217" customWidth="1"/>
    <col min="3836" max="3837" width="28.7109375" style="217" customWidth="1"/>
    <col min="3838" max="3838" width="35.140625" style="217" customWidth="1"/>
    <col min="3839" max="3839" width="28.7109375" style="217" customWidth="1"/>
    <col min="3840" max="4088" width="9.140625" style="217"/>
    <col min="4089" max="4089" width="50.42578125" style="217" customWidth="1"/>
    <col min="4090" max="4090" width="33.28515625" style="217" customWidth="1"/>
    <col min="4091" max="4091" width="31.42578125" style="217" customWidth="1"/>
    <col min="4092" max="4093" width="28.7109375" style="217" customWidth="1"/>
    <col min="4094" max="4094" width="35.140625" style="217" customWidth="1"/>
    <col min="4095" max="4095" width="28.7109375" style="217" customWidth="1"/>
    <col min="4096" max="4344" width="9.140625" style="217"/>
    <col min="4345" max="4345" width="50.42578125" style="217" customWidth="1"/>
    <col min="4346" max="4346" width="33.28515625" style="217" customWidth="1"/>
    <col min="4347" max="4347" width="31.42578125" style="217" customWidth="1"/>
    <col min="4348" max="4349" width="28.7109375" style="217" customWidth="1"/>
    <col min="4350" max="4350" width="35.140625" style="217" customWidth="1"/>
    <col min="4351" max="4351" width="28.7109375" style="217" customWidth="1"/>
    <col min="4352" max="4600" width="9.140625" style="217"/>
    <col min="4601" max="4601" width="50.42578125" style="217" customWidth="1"/>
    <col min="4602" max="4602" width="33.28515625" style="217" customWidth="1"/>
    <col min="4603" max="4603" width="31.42578125" style="217" customWidth="1"/>
    <col min="4604" max="4605" width="28.7109375" style="217" customWidth="1"/>
    <col min="4606" max="4606" width="35.140625" style="217" customWidth="1"/>
    <col min="4607" max="4607" width="28.7109375" style="217" customWidth="1"/>
    <col min="4608" max="4856" width="9.140625" style="217"/>
    <col min="4857" max="4857" width="50.42578125" style="217" customWidth="1"/>
    <col min="4858" max="4858" width="33.28515625" style="217" customWidth="1"/>
    <col min="4859" max="4859" width="31.42578125" style="217" customWidth="1"/>
    <col min="4860" max="4861" width="28.7109375" style="217" customWidth="1"/>
    <col min="4862" max="4862" width="35.140625" style="217" customWidth="1"/>
    <col min="4863" max="4863" width="28.7109375" style="217" customWidth="1"/>
    <col min="4864" max="5112" width="9.140625" style="217"/>
    <col min="5113" max="5113" width="50.42578125" style="217" customWidth="1"/>
    <col min="5114" max="5114" width="33.28515625" style="217" customWidth="1"/>
    <col min="5115" max="5115" width="31.42578125" style="217" customWidth="1"/>
    <col min="5116" max="5117" width="28.7109375" style="217" customWidth="1"/>
    <col min="5118" max="5118" width="35.140625" style="217" customWidth="1"/>
    <col min="5119" max="5119" width="28.7109375" style="217" customWidth="1"/>
    <col min="5120" max="5368" width="9.140625" style="217"/>
    <col min="5369" max="5369" width="50.42578125" style="217" customWidth="1"/>
    <col min="5370" max="5370" width="33.28515625" style="217" customWidth="1"/>
    <col min="5371" max="5371" width="31.42578125" style="217" customWidth="1"/>
    <col min="5372" max="5373" width="28.7109375" style="217" customWidth="1"/>
    <col min="5374" max="5374" width="35.140625" style="217" customWidth="1"/>
    <col min="5375" max="5375" width="28.7109375" style="217" customWidth="1"/>
    <col min="5376" max="5624" width="9.140625" style="217"/>
    <col min="5625" max="5625" width="50.42578125" style="217" customWidth="1"/>
    <col min="5626" max="5626" width="33.28515625" style="217" customWidth="1"/>
    <col min="5627" max="5627" width="31.42578125" style="217" customWidth="1"/>
    <col min="5628" max="5629" width="28.7109375" style="217" customWidth="1"/>
    <col min="5630" max="5630" width="35.140625" style="217" customWidth="1"/>
    <col min="5631" max="5631" width="28.7109375" style="217" customWidth="1"/>
    <col min="5632" max="5880" width="9.140625" style="217"/>
    <col min="5881" max="5881" width="50.42578125" style="217" customWidth="1"/>
    <col min="5882" max="5882" width="33.28515625" style="217" customWidth="1"/>
    <col min="5883" max="5883" width="31.42578125" style="217" customWidth="1"/>
    <col min="5884" max="5885" width="28.7109375" style="217" customWidth="1"/>
    <col min="5886" max="5886" width="35.140625" style="217" customWidth="1"/>
    <col min="5887" max="5887" width="28.7109375" style="217" customWidth="1"/>
    <col min="5888" max="6136" width="9.140625" style="217"/>
    <col min="6137" max="6137" width="50.42578125" style="217" customWidth="1"/>
    <col min="6138" max="6138" width="33.28515625" style="217" customWidth="1"/>
    <col min="6139" max="6139" width="31.42578125" style="217" customWidth="1"/>
    <col min="6140" max="6141" width="28.7109375" style="217" customWidth="1"/>
    <col min="6142" max="6142" width="35.140625" style="217" customWidth="1"/>
    <col min="6143" max="6143" width="28.7109375" style="217" customWidth="1"/>
    <col min="6144" max="6392" width="9.140625" style="217"/>
    <col min="6393" max="6393" width="50.42578125" style="217" customWidth="1"/>
    <col min="6394" max="6394" width="33.28515625" style="217" customWidth="1"/>
    <col min="6395" max="6395" width="31.42578125" style="217" customWidth="1"/>
    <col min="6396" max="6397" width="28.7109375" style="217" customWidth="1"/>
    <col min="6398" max="6398" width="35.140625" style="217" customWidth="1"/>
    <col min="6399" max="6399" width="28.7109375" style="217" customWidth="1"/>
    <col min="6400" max="6648" width="9.140625" style="217"/>
    <col min="6649" max="6649" width="50.42578125" style="217" customWidth="1"/>
    <col min="6650" max="6650" width="33.28515625" style="217" customWidth="1"/>
    <col min="6651" max="6651" width="31.42578125" style="217" customWidth="1"/>
    <col min="6652" max="6653" width="28.7109375" style="217" customWidth="1"/>
    <col min="6654" max="6654" width="35.140625" style="217" customWidth="1"/>
    <col min="6655" max="6655" width="28.7109375" style="217" customWidth="1"/>
    <col min="6656" max="6904" width="9.140625" style="217"/>
    <col min="6905" max="6905" width="50.42578125" style="217" customWidth="1"/>
    <col min="6906" max="6906" width="33.28515625" style="217" customWidth="1"/>
    <col min="6907" max="6907" width="31.42578125" style="217" customWidth="1"/>
    <col min="6908" max="6909" width="28.7109375" style="217" customWidth="1"/>
    <col min="6910" max="6910" width="35.140625" style="217" customWidth="1"/>
    <col min="6911" max="6911" width="28.7109375" style="217" customWidth="1"/>
    <col min="6912" max="7160" width="9.140625" style="217"/>
    <col min="7161" max="7161" width="50.42578125" style="217" customWidth="1"/>
    <col min="7162" max="7162" width="33.28515625" style="217" customWidth="1"/>
    <col min="7163" max="7163" width="31.42578125" style="217" customWidth="1"/>
    <col min="7164" max="7165" width="28.7109375" style="217" customWidth="1"/>
    <col min="7166" max="7166" width="35.140625" style="217" customWidth="1"/>
    <col min="7167" max="7167" width="28.7109375" style="217" customWidth="1"/>
    <col min="7168" max="7416" width="9.140625" style="217"/>
    <col min="7417" max="7417" width="50.42578125" style="217" customWidth="1"/>
    <col min="7418" max="7418" width="33.28515625" style="217" customWidth="1"/>
    <col min="7419" max="7419" width="31.42578125" style="217" customWidth="1"/>
    <col min="7420" max="7421" width="28.7109375" style="217" customWidth="1"/>
    <col min="7422" max="7422" width="35.140625" style="217" customWidth="1"/>
    <col min="7423" max="7423" width="28.7109375" style="217" customWidth="1"/>
    <col min="7424" max="7672" width="9.140625" style="217"/>
    <col min="7673" max="7673" width="50.42578125" style="217" customWidth="1"/>
    <col min="7674" max="7674" width="33.28515625" style="217" customWidth="1"/>
    <col min="7675" max="7675" width="31.42578125" style="217" customWidth="1"/>
    <col min="7676" max="7677" width="28.7109375" style="217" customWidth="1"/>
    <col min="7678" max="7678" width="35.140625" style="217" customWidth="1"/>
    <col min="7679" max="7679" width="28.7109375" style="217" customWidth="1"/>
    <col min="7680" max="7928" width="9.140625" style="217"/>
    <col min="7929" max="7929" width="50.42578125" style="217" customWidth="1"/>
    <col min="7930" max="7930" width="33.28515625" style="217" customWidth="1"/>
    <col min="7931" max="7931" width="31.42578125" style="217" customWidth="1"/>
    <col min="7932" max="7933" width="28.7109375" style="217" customWidth="1"/>
    <col min="7934" max="7934" width="35.140625" style="217" customWidth="1"/>
    <col min="7935" max="7935" width="28.7109375" style="217" customWidth="1"/>
    <col min="7936" max="8184" width="9.140625" style="217"/>
    <col min="8185" max="8185" width="50.42578125" style="217" customWidth="1"/>
    <col min="8186" max="8186" width="33.28515625" style="217" customWidth="1"/>
    <col min="8187" max="8187" width="31.42578125" style="217" customWidth="1"/>
    <col min="8188" max="8189" width="28.7109375" style="217" customWidth="1"/>
    <col min="8190" max="8190" width="35.140625" style="217" customWidth="1"/>
    <col min="8191" max="8191" width="28.7109375" style="217" customWidth="1"/>
    <col min="8192" max="8440" width="9.140625" style="217"/>
    <col min="8441" max="8441" width="50.42578125" style="217" customWidth="1"/>
    <col min="8442" max="8442" width="33.28515625" style="217" customWidth="1"/>
    <col min="8443" max="8443" width="31.42578125" style="217" customWidth="1"/>
    <col min="8444" max="8445" width="28.7109375" style="217" customWidth="1"/>
    <col min="8446" max="8446" width="35.140625" style="217" customWidth="1"/>
    <col min="8447" max="8447" width="28.7109375" style="217" customWidth="1"/>
    <col min="8448" max="8696" width="9.140625" style="217"/>
    <col min="8697" max="8697" width="50.42578125" style="217" customWidth="1"/>
    <col min="8698" max="8698" width="33.28515625" style="217" customWidth="1"/>
    <col min="8699" max="8699" width="31.42578125" style="217" customWidth="1"/>
    <col min="8700" max="8701" width="28.7109375" style="217" customWidth="1"/>
    <col min="8702" max="8702" width="35.140625" style="217" customWidth="1"/>
    <col min="8703" max="8703" width="28.7109375" style="217" customWidth="1"/>
    <col min="8704" max="8952" width="9.140625" style="217"/>
    <col min="8953" max="8953" width="50.42578125" style="217" customWidth="1"/>
    <col min="8954" max="8954" width="33.28515625" style="217" customWidth="1"/>
    <col min="8955" max="8955" width="31.42578125" style="217" customWidth="1"/>
    <col min="8956" max="8957" width="28.7109375" style="217" customWidth="1"/>
    <col min="8958" max="8958" width="35.140625" style="217" customWidth="1"/>
    <col min="8959" max="8959" width="28.7109375" style="217" customWidth="1"/>
    <col min="8960" max="9208" width="9.140625" style="217"/>
    <col min="9209" max="9209" width="50.42578125" style="217" customWidth="1"/>
    <col min="9210" max="9210" width="33.28515625" style="217" customWidth="1"/>
    <col min="9211" max="9211" width="31.42578125" style="217" customWidth="1"/>
    <col min="9212" max="9213" width="28.7109375" style="217" customWidth="1"/>
    <col min="9214" max="9214" width="35.140625" style="217" customWidth="1"/>
    <col min="9215" max="9215" width="28.7109375" style="217" customWidth="1"/>
    <col min="9216" max="9464" width="9.140625" style="217"/>
    <col min="9465" max="9465" width="50.42578125" style="217" customWidth="1"/>
    <col min="9466" max="9466" width="33.28515625" style="217" customWidth="1"/>
    <col min="9467" max="9467" width="31.42578125" style="217" customWidth="1"/>
    <col min="9468" max="9469" width="28.7109375" style="217" customWidth="1"/>
    <col min="9470" max="9470" width="35.140625" style="217" customWidth="1"/>
    <col min="9471" max="9471" width="28.7109375" style="217" customWidth="1"/>
    <col min="9472" max="9720" width="9.140625" style="217"/>
    <col min="9721" max="9721" width="50.42578125" style="217" customWidth="1"/>
    <col min="9722" max="9722" width="33.28515625" style="217" customWidth="1"/>
    <col min="9723" max="9723" width="31.42578125" style="217" customWidth="1"/>
    <col min="9724" max="9725" width="28.7109375" style="217" customWidth="1"/>
    <col min="9726" max="9726" width="35.140625" style="217" customWidth="1"/>
    <col min="9727" max="9727" width="28.7109375" style="217" customWidth="1"/>
    <col min="9728" max="9976" width="9.140625" style="217"/>
    <col min="9977" max="9977" width="50.42578125" style="217" customWidth="1"/>
    <col min="9978" max="9978" width="33.28515625" style="217" customWidth="1"/>
    <col min="9979" max="9979" width="31.42578125" style="217" customWidth="1"/>
    <col min="9980" max="9981" width="28.7109375" style="217" customWidth="1"/>
    <col min="9982" max="9982" width="35.140625" style="217" customWidth="1"/>
    <col min="9983" max="9983" width="28.7109375" style="217" customWidth="1"/>
    <col min="9984" max="10232" width="9.140625" style="217"/>
    <col min="10233" max="10233" width="50.42578125" style="217" customWidth="1"/>
    <col min="10234" max="10234" width="33.28515625" style="217" customWidth="1"/>
    <col min="10235" max="10235" width="31.42578125" style="217" customWidth="1"/>
    <col min="10236" max="10237" width="28.7109375" style="217" customWidth="1"/>
    <col min="10238" max="10238" width="35.140625" style="217" customWidth="1"/>
    <col min="10239" max="10239" width="28.7109375" style="217" customWidth="1"/>
    <col min="10240" max="10488" width="9.140625" style="217"/>
    <col min="10489" max="10489" width="50.42578125" style="217" customWidth="1"/>
    <col min="10490" max="10490" width="33.28515625" style="217" customWidth="1"/>
    <col min="10491" max="10491" width="31.42578125" style="217" customWidth="1"/>
    <col min="10492" max="10493" width="28.7109375" style="217" customWidth="1"/>
    <col min="10494" max="10494" width="35.140625" style="217" customWidth="1"/>
    <col min="10495" max="10495" width="28.7109375" style="217" customWidth="1"/>
    <col min="10496" max="10744" width="9.140625" style="217"/>
    <col min="10745" max="10745" width="50.42578125" style="217" customWidth="1"/>
    <col min="10746" max="10746" width="33.28515625" style="217" customWidth="1"/>
    <col min="10747" max="10747" width="31.42578125" style="217" customWidth="1"/>
    <col min="10748" max="10749" width="28.7109375" style="217" customWidth="1"/>
    <col min="10750" max="10750" width="35.140625" style="217" customWidth="1"/>
    <col min="10751" max="10751" width="28.7109375" style="217" customWidth="1"/>
    <col min="10752" max="11000" width="9.140625" style="217"/>
    <col min="11001" max="11001" width="50.42578125" style="217" customWidth="1"/>
    <col min="11002" max="11002" width="33.28515625" style="217" customWidth="1"/>
    <col min="11003" max="11003" width="31.42578125" style="217" customWidth="1"/>
    <col min="11004" max="11005" width="28.7109375" style="217" customWidth="1"/>
    <col min="11006" max="11006" width="35.140625" style="217" customWidth="1"/>
    <col min="11007" max="11007" width="28.7109375" style="217" customWidth="1"/>
    <col min="11008" max="11256" width="9.140625" style="217"/>
    <col min="11257" max="11257" width="50.42578125" style="217" customWidth="1"/>
    <col min="11258" max="11258" width="33.28515625" style="217" customWidth="1"/>
    <col min="11259" max="11259" width="31.42578125" style="217" customWidth="1"/>
    <col min="11260" max="11261" width="28.7109375" style="217" customWidth="1"/>
    <col min="11262" max="11262" width="35.140625" style="217" customWidth="1"/>
    <col min="11263" max="11263" width="28.7109375" style="217" customWidth="1"/>
    <col min="11264" max="11512" width="9.140625" style="217"/>
    <col min="11513" max="11513" width="50.42578125" style="217" customWidth="1"/>
    <col min="11514" max="11514" width="33.28515625" style="217" customWidth="1"/>
    <col min="11515" max="11515" width="31.42578125" style="217" customWidth="1"/>
    <col min="11516" max="11517" width="28.7109375" style="217" customWidth="1"/>
    <col min="11518" max="11518" width="35.140625" style="217" customWidth="1"/>
    <col min="11519" max="11519" width="28.7109375" style="217" customWidth="1"/>
    <col min="11520" max="11768" width="9.140625" style="217"/>
    <col min="11769" max="11769" width="50.42578125" style="217" customWidth="1"/>
    <col min="11770" max="11770" width="33.28515625" style="217" customWidth="1"/>
    <col min="11771" max="11771" width="31.42578125" style="217" customWidth="1"/>
    <col min="11772" max="11773" width="28.7109375" style="217" customWidth="1"/>
    <col min="11774" max="11774" width="35.140625" style="217" customWidth="1"/>
    <col min="11775" max="11775" width="28.7109375" style="217" customWidth="1"/>
    <col min="11776" max="12024" width="9.140625" style="217"/>
    <col min="12025" max="12025" width="50.42578125" style="217" customWidth="1"/>
    <col min="12026" max="12026" width="33.28515625" style="217" customWidth="1"/>
    <col min="12027" max="12027" width="31.42578125" style="217" customWidth="1"/>
    <col min="12028" max="12029" width="28.7109375" style="217" customWidth="1"/>
    <col min="12030" max="12030" width="35.140625" style="217" customWidth="1"/>
    <col min="12031" max="12031" width="28.7109375" style="217" customWidth="1"/>
    <col min="12032" max="12280" width="9.140625" style="217"/>
    <col min="12281" max="12281" width="50.42578125" style="217" customWidth="1"/>
    <col min="12282" max="12282" width="33.28515625" style="217" customWidth="1"/>
    <col min="12283" max="12283" width="31.42578125" style="217" customWidth="1"/>
    <col min="12284" max="12285" width="28.7109375" style="217" customWidth="1"/>
    <col min="12286" max="12286" width="35.140625" style="217" customWidth="1"/>
    <col min="12287" max="12287" width="28.7109375" style="217" customWidth="1"/>
    <col min="12288" max="12536" width="9.140625" style="217"/>
    <col min="12537" max="12537" width="50.42578125" style="217" customWidth="1"/>
    <col min="12538" max="12538" width="33.28515625" style="217" customWidth="1"/>
    <col min="12539" max="12539" width="31.42578125" style="217" customWidth="1"/>
    <col min="12540" max="12541" width="28.7109375" style="217" customWidth="1"/>
    <col min="12542" max="12542" width="35.140625" style="217" customWidth="1"/>
    <col min="12543" max="12543" width="28.7109375" style="217" customWidth="1"/>
    <col min="12544" max="12792" width="9.140625" style="217"/>
    <col min="12793" max="12793" width="50.42578125" style="217" customWidth="1"/>
    <col min="12794" max="12794" width="33.28515625" style="217" customWidth="1"/>
    <col min="12795" max="12795" width="31.42578125" style="217" customWidth="1"/>
    <col min="12796" max="12797" width="28.7109375" style="217" customWidth="1"/>
    <col min="12798" max="12798" width="35.140625" style="217" customWidth="1"/>
    <col min="12799" max="12799" width="28.7109375" style="217" customWidth="1"/>
    <col min="12800" max="13048" width="9.140625" style="217"/>
    <col min="13049" max="13049" width="50.42578125" style="217" customWidth="1"/>
    <col min="13050" max="13050" width="33.28515625" style="217" customWidth="1"/>
    <col min="13051" max="13051" width="31.42578125" style="217" customWidth="1"/>
    <col min="13052" max="13053" width="28.7109375" style="217" customWidth="1"/>
    <col min="13054" max="13054" width="35.140625" style="217" customWidth="1"/>
    <col min="13055" max="13055" width="28.7109375" style="217" customWidth="1"/>
    <col min="13056" max="13304" width="9.140625" style="217"/>
    <col min="13305" max="13305" width="50.42578125" style="217" customWidth="1"/>
    <col min="13306" max="13306" width="33.28515625" style="217" customWidth="1"/>
    <col min="13307" max="13307" width="31.42578125" style="217" customWidth="1"/>
    <col min="13308" max="13309" width="28.7109375" style="217" customWidth="1"/>
    <col min="13310" max="13310" width="35.140625" style="217" customWidth="1"/>
    <col min="13311" max="13311" width="28.7109375" style="217" customWidth="1"/>
    <col min="13312" max="13560" width="9.140625" style="217"/>
    <col min="13561" max="13561" width="50.42578125" style="217" customWidth="1"/>
    <col min="13562" max="13562" width="33.28515625" style="217" customWidth="1"/>
    <col min="13563" max="13563" width="31.42578125" style="217" customWidth="1"/>
    <col min="13564" max="13565" width="28.7109375" style="217" customWidth="1"/>
    <col min="13566" max="13566" width="35.140625" style="217" customWidth="1"/>
    <col min="13567" max="13567" width="28.7109375" style="217" customWidth="1"/>
    <col min="13568" max="13816" width="9.140625" style="217"/>
    <col min="13817" max="13817" width="50.42578125" style="217" customWidth="1"/>
    <col min="13818" max="13818" width="33.28515625" style="217" customWidth="1"/>
    <col min="13819" max="13819" width="31.42578125" style="217" customWidth="1"/>
    <col min="13820" max="13821" width="28.7109375" style="217" customWidth="1"/>
    <col min="13822" max="13822" width="35.140625" style="217" customWidth="1"/>
    <col min="13823" max="13823" width="28.7109375" style="217" customWidth="1"/>
    <col min="13824" max="14072" width="9.140625" style="217"/>
    <col min="14073" max="14073" width="50.42578125" style="217" customWidth="1"/>
    <col min="14074" max="14074" width="33.28515625" style="217" customWidth="1"/>
    <col min="14075" max="14075" width="31.42578125" style="217" customWidth="1"/>
    <col min="14076" max="14077" width="28.7109375" style="217" customWidth="1"/>
    <col min="14078" max="14078" width="35.140625" style="217" customWidth="1"/>
    <col min="14079" max="14079" width="28.7109375" style="217" customWidth="1"/>
    <col min="14080" max="14328" width="9.140625" style="217"/>
    <col min="14329" max="14329" width="50.42578125" style="217" customWidth="1"/>
    <col min="14330" max="14330" width="33.28515625" style="217" customWidth="1"/>
    <col min="14331" max="14331" width="31.42578125" style="217" customWidth="1"/>
    <col min="14332" max="14333" width="28.7109375" style="217" customWidth="1"/>
    <col min="14334" max="14334" width="35.140625" style="217" customWidth="1"/>
    <col min="14335" max="14335" width="28.7109375" style="217" customWidth="1"/>
    <col min="14336" max="14584" width="9.140625" style="217"/>
    <col min="14585" max="14585" width="50.42578125" style="217" customWidth="1"/>
    <col min="14586" max="14586" width="33.28515625" style="217" customWidth="1"/>
    <col min="14587" max="14587" width="31.42578125" style="217" customWidth="1"/>
    <col min="14588" max="14589" width="28.7109375" style="217" customWidth="1"/>
    <col min="14590" max="14590" width="35.140625" style="217" customWidth="1"/>
    <col min="14591" max="14591" width="28.7109375" style="217" customWidth="1"/>
    <col min="14592" max="14840" width="9.140625" style="217"/>
    <col min="14841" max="14841" width="50.42578125" style="217" customWidth="1"/>
    <col min="14842" max="14842" width="33.28515625" style="217" customWidth="1"/>
    <col min="14843" max="14843" width="31.42578125" style="217" customWidth="1"/>
    <col min="14844" max="14845" width="28.7109375" style="217" customWidth="1"/>
    <col min="14846" max="14846" width="35.140625" style="217" customWidth="1"/>
    <col min="14847" max="14847" width="28.7109375" style="217" customWidth="1"/>
    <col min="14848" max="15096" width="9.140625" style="217"/>
    <col min="15097" max="15097" width="50.42578125" style="217" customWidth="1"/>
    <col min="15098" max="15098" width="33.28515625" style="217" customWidth="1"/>
    <col min="15099" max="15099" width="31.42578125" style="217" customWidth="1"/>
    <col min="15100" max="15101" width="28.7109375" style="217" customWidth="1"/>
    <col min="15102" max="15102" width="35.140625" style="217" customWidth="1"/>
    <col min="15103" max="15103" width="28.7109375" style="217" customWidth="1"/>
    <col min="15104" max="15352" width="9.140625" style="217"/>
    <col min="15353" max="15353" width="50.42578125" style="217" customWidth="1"/>
    <col min="15354" max="15354" width="33.28515625" style="217" customWidth="1"/>
    <col min="15355" max="15355" width="31.42578125" style="217" customWidth="1"/>
    <col min="15356" max="15357" width="28.7109375" style="217" customWidth="1"/>
    <col min="15358" max="15358" width="35.140625" style="217" customWidth="1"/>
    <col min="15359" max="15359" width="28.7109375" style="217" customWidth="1"/>
    <col min="15360" max="15608" width="9.140625" style="217"/>
    <col min="15609" max="15609" width="50.42578125" style="217" customWidth="1"/>
    <col min="15610" max="15610" width="33.28515625" style="217" customWidth="1"/>
    <col min="15611" max="15611" width="31.42578125" style="217" customWidth="1"/>
    <col min="15612" max="15613" width="28.7109375" style="217" customWidth="1"/>
    <col min="15614" max="15614" width="35.140625" style="217" customWidth="1"/>
    <col min="15615" max="15615" width="28.7109375" style="217" customWidth="1"/>
    <col min="15616" max="15864" width="9.140625" style="217"/>
    <col min="15865" max="15865" width="50.42578125" style="217" customWidth="1"/>
    <col min="15866" max="15866" width="33.28515625" style="217" customWidth="1"/>
    <col min="15867" max="15867" width="31.42578125" style="217" customWidth="1"/>
    <col min="15868" max="15869" width="28.7109375" style="217" customWidth="1"/>
    <col min="15870" max="15870" width="35.140625" style="217" customWidth="1"/>
    <col min="15871" max="15871" width="28.7109375" style="217" customWidth="1"/>
    <col min="15872" max="16120" width="9.140625" style="217"/>
    <col min="16121" max="16121" width="50.42578125" style="217" customWidth="1"/>
    <col min="16122" max="16122" width="33.28515625" style="217" customWidth="1"/>
    <col min="16123" max="16123" width="31.42578125" style="217" customWidth="1"/>
    <col min="16124" max="16125" width="28.7109375" style="217" customWidth="1"/>
    <col min="16126" max="16126" width="35.140625" style="217" customWidth="1"/>
    <col min="16127" max="16127" width="28.7109375" style="217" customWidth="1"/>
    <col min="16128" max="16384" width="9.140625" style="217"/>
  </cols>
  <sheetData>
    <row r="1" spans="2:7" x14ac:dyDescent="0.25">
      <c r="C1" s="212"/>
      <c r="D1" s="217"/>
      <c r="E1" s="212"/>
      <c r="F1" s="212"/>
      <c r="G1" s="212"/>
    </row>
    <row r="2" spans="2:7" x14ac:dyDescent="0.25">
      <c r="B2" s="206"/>
      <c r="C2" s="206"/>
      <c r="D2" s="206"/>
      <c r="E2" s="206"/>
      <c r="F2" s="206"/>
      <c r="G2" s="206"/>
    </row>
    <row r="3" spans="2:7" ht="38.1" customHeight="1" x14ac:dyDescent="0.25">
      <c r="B3" s="207"/>
      <c r="C3" s="207"/>
      <c r="D3" s="207" t="s">
        <v>2625</v>
      </c>
      <c r="E3" s="207"/>
      <c r="F3" s="207"/>
      <c r="G3" s="208" t="s">
        <v>9814</v>
      </c>
    </row>
    <row r="4" spans="2:7" ht="38.1" customHeight="1" x14ac:dyDescent="0.25">
      <c r="B4" s="207"/>
      <c r="C4" s="207"/>
      <c r="D4" s="209" t="s">
        <v>2626</v>
      </c>
      <c r="E4" s="210" t="s">
        <v>2627</v>
      </c>
      <c r="F4" s="210"/>
      <c r="G4" s="208" t="s">
        <v>9815</v>
      </c>
    </row>
    <row r="5" spans="2:7" ht="38.1" customHeight="1" x14ac:dyDescent="0.25">
      <c r="B5" s="207"/>
      <c r="C5" s="207"/>
      <c r="D5" s="209" t="s">
        <v>2628</v>
      </c>
      <c r="E5" s="210" t="s">
        <v>2629</v>
      </c>
      <c r="F5" s="210"/>
      <c r="G5" s="208" t="s">
        <v>9816</v>
      </c>
    </row>
    <row r="6" spans="2:7" x14ac:dyDescent="0.25">
      <c r="B6" s="216" t="s">
        <v>2630</v>
      </c>
      <c r="C6" s="216"/>
      <c r="D6" s="216"/>
      <c r="E6" s="216"/>
      <c r="F6" s="216"/>
      <c r="G6" s="216"/>
    </row>
    <row r="7" spans="2:7" x14ac:dyDescent="0.25">
      <c r="B7" s="215"/>
      <c r="D7" s="213"/>
      <c r="E7" s="214"/>
      <c r="F7" s="214"/>
      <c r="G7" s="214"/>
    </row>
    <row r="8" spans="2:7" ht="30" customHeight="1" x14ac:dyDescent="0.25">
      <c r="B8" s="215"/>
      <c r="C8" s="206" t="s">
        <v>10278</v>
      </c>
      <c r="D8" s="206"/>
      <c r="E8" s="206"/>
      <c r="F8" s="206"/>
      <c r="G8" s="206"/>
    </row>
    <row r="9" spans="2:7" ht="59.45" customHeight="1" x14ac:dyDescent="0.25">
      <c r="B9" s="295" t="s">
        <v>10277</v>
      </c>
      <c r="C9" s="295"/>
      <c r="D9" s="295"/>
      <c r="E9" s="295"/>
      <c r="F9" s="295"/>
      <c r="G9" s="295"/>
    </row>
    <row r="10" spans="2:7" ht="59.45" customHeight="1" x14ac:dyDescent="0.25">
      <c r="B10" s="295" t="s">
        <v>10276</v>
      </c>
      <c r="C10" s="295"/>
      <c r="D10" s="295"/>
      <c r="E10" s="295"/>
      <c r="F10" s="295"/>
    </row>
    <row r="11" spans="2:7" ht="16.5" thickBot="1" x14ac:dyDescent="0.3">
      <c r="C11" s="212"/>
      <c r="D11" s="217"/>
      <c r="E11" s="212"/>
      <c r="F11" s="212"/>
      <c r="G11" s="212"/>
    </row>
    <row r="12" spans="2:7" s="237" customFormat="1" ht="18.75" customHeight="1" thickBot="1" x14ac:dyDescent="0.3">
      <c r="B12" s="223" t="s">
        <v>2631</v>
      </c>
      <c r="C12" s="218" t="s">
        <v>2632</v>
      </c>
      <c r="D12" s="218" t="s">
        <v>1</v>
      </c>
      <c r="E12" s="218" t="s">
        <v>4</v>
      </c>
      <c r="F12" s="218" t="s">
        <v>2</v>
      </c>
      <c r="G12" s="218" t="s">
        <v>2633</v>
      </c>
    </row>
    <row r="13" spans="2:7" ht="30" customHeight="1" thickBot="1" x14ac:dyDescent="0.3">
      <c r="B13" s="219">
        <v>780</v>
      </c>
      <c r="C13" s="220" t="s">
        <v>2634</v>
      </c>
      <c r="D13" s="220" t="s">
        <v>9817</v>
      </c>
      <c r="E13" s="220" t="s">
        <v>7132</v>
      </c>
      <c r="F13" s="220" t="s">
        <v>2635</v>
      </c>
      <c r="G13" s="220" t="s">
        <v>2636</v>
      </c>
    </row>
    <row r="14" spans="2:7" ht="30" customHeight="1" thickBot="1" x14ac:dyDescent="0.3">
      <c r="B14" s="219">
        <v>781</v>
      </c>
      <c r="C14" s="220" t="s">
        <v>2634</v>
      </c>
      <c r="D14" s="220" t="s">
        <v>9818</v>
      </c>
      <c r="E14" s="220" t="s">
        <v>2637</v>
      </c>
      <c r="F14" s="220" t="s">
        <v>2638</v>
      </c>
      <c r="G14" s="220" t="s">
        <v>2636</v>
      </c>
    </row>
    <row r="15" spans="2:7" ht="30" customHeight="1" thickBot="1" x14ac:dyDescent="0.3">
      <c r="B15" s="219">
        <v>782</v>
      </c>
      <c r="C15" s="220" t="s">
        <v>2634</v>
      </c>
      <c r="D15" s="220" t="s">
        <v>9819</v>
      </c>
      <c r="E15" s="220" t="s">
        <v>7122</v>
      </c>
      <c r="F15" s="220" t="s">
        <v>1006</v>
      </c>
      <c r="G15" s="220" t="s">
        <v>1065</v>
      </c>
    </row>
    <row r="16" spans="2:7" ht="30" customHeight="1" thickBot="1" x14ac:dyDescent="0.3">
      <c r="B16" s="219">
        <v>783</v>
      </c>
      <c r="C16" s="220" t="s">
        <v>2634</v>
      </c>
      <c r="D16" s="220" t="s">
        <v>2639</v>
      </c>
      <c r="E16" s="220" t="s">
        <v>8620</v>
      </c>
      <c r="F16" s="220" t="s">
        <v>1074</v>
      </c>
      <c r="G16" s="220" t="s">
        <v>108</v>
      </c>
    </row>
    <row r="17" spans="2:7" ht="30" customHeight="1" thickBot="1" x14ac:dyDescent="0.3">
      <c r="B17" s="219">
        <v>784</v>
      </c>
      <c r="C17" s="220" t="s">
        <v>2634</v>
      </c>
      <c r="D17" s="220" t="s">
        <v>9820</v>
      </c>
      <c r="E17" s="220" t="s">
        <v>9184</v>
      </c>
      <c r="F17" s="220" t="s">
        <v>1006</v>
      </c>
      <c r="G17" s="220" t="s">
        <v>1065</v>
      </c>
    </row>
    <row r="18" spans="2:7" ht="30" customHeight="1" thickBot="1" x14ac:dyDescent="0.3">
      <c r="B18" s="219">
        <v>785</v>
      </c>
      <c r="C18" s="220" t="s">
        <v>2634</v>
      </c>
      <c r="D18" s="220" t="s">
        <v>9821</v>
      </c>
      <c r="E18" s="220" t="s">
        <v>8645</v>
      </c>
      <c r="F18" s="220" t="s">
        <v>2640</v>
      </c>
      <c r="G18" s="220" t="s">
        <v>1065</v>
      </c>
    </row>
    <row r="19" spans="2:7" ht="30" customHeight="1" thickBot="1" x14ac:dyDescent="0.3">
      <c r="B19" s="219">
        <v>786</v>
      </c>
      <c r="C19" s="220" t="s">
        <v>2634</v>
      </c>
      <c r="D19" s="220" t="s">
        <v>2641</v>
      </c>
      <c r="E19" s="220" t="s">
        <v>7133</v>
      </c>
      <c r="F19" s="220" t="s">
        <v>2642</v>
      </c>
      <c r="G19" s="220" t="s">
        <v>120</v>
      </c>
    </row>
    <row r="20" spans="2:7" ht="30" customHeight="1" thickBot="1" x14ac:dyDescent="0.3">
      <c r="B20" s="219">
        <v>787</v>
      </c>
      <c r="C20" s="220" t="s">
        <v>2634</v>
      </c>
      <c r="D20" s="220" t="s">
        <v>2643</v>
      </c>
      <c r="E20" s="220" t="s">
        <v>7134</v>
      </c>
      <c r="F20" s="220" t="s">
        <v>2644</v>
      </c>
      <c r="G20" s="220" t="s">
        <v>120</v>
      </c>
    </row>
    <row r="21" spans="2:7" ht="30" customHeight="1" thickBot="1" x14ac:dyDescent="0.3">
      <c r="B21" s="219">
        <v>788</v>
      </c>
      <c r="C21" s="220" t="s">
        <v>2634</v>
      </c>
      <c r="D21" s="220" t="s">
        <v>2645</v>
      </c>
      <c r="E21" s="220" t="s">
        <v>9037</v>
      </c>
      <c r="F21" s="220" t="s">
        <v>2646</v>
      </c>
      <c r="G21" s="220" t="s">
        <v>108</v>
      </c>
    </row>
    <row r="22" spans="2:7" ht="30" customHeight="1" thickBot="1" x14ac:dyDescent="0.3">
      <c r="B22" s="219">
        <v>789</v>
      </c>
      <c r="C22" s="220" t="s">
        <v>2634</v>
      </c>
      <c r="D22" s="220" t="s">
        <v>2647</v>
      </c>
      <c r="E22" s="220" t="s">
        <v>8621</v>
      </c>
      <c r="F22" s="220" t="s">
        <v>1083</v>
      </c>
      <c r="G22" s="220" t="s">
        <v>2648</v>
      </c>
    </row>
    <row r="23" spans="2:7" ht="30" customHeight="1" thickBot="1" x14ac:dyDescent="0.3">
      <c r="B23" s="219">
        <v>790</v>
      </c>
      <c r="C23" s="220" t="s">
        <v>2649</v>
      </c>
      <c r="D23" s="220" t="s">
        <v>9822</v>
      </c>
      <c r="E23" s="220" t="s">
        <v>8680</v>
      </c>
      <c r="F23" s="220" t="s">
        <v>1173</v>
      </c>
      <c r="G23" s="220" t="s">
        <v>84</v>
      </c>
    </row>
    <row r="24" spans="2:7" ht="30" customHeight="1" thickBot="1" x14ac:dyDescent="0.3">
      <c r="B24" s="219">
        <v>791</v>
      </c>
      <c r="C24" s="220" t="s">
        <v>2649</v>
      </c>
      <c r="D24" s="220" t="s">
        <v>9823</v>
      </c>
      <c r="E24" s="220" t="s">
        <v>9095</v>
      </c>
      <c r="F24" s="220" t="s">
        <v>1173</v>
      </c>
      <c r="G24" s="220" t="s">
        <v>84</v>
      </c>
    </row>
    <row r="25" spans="2:7" ht="30" customHeight="1" thickBot="1" x14ac:dyDescent="0.3">
      <c r="B25" s="219">
        <v>792</v>
      </c>
      <c r="C25" s="220" t="s">
        <v>2649</v>
      </c>
      <c r="D25" s="220" t="s">
        <v>2650</v>
      </c>
      <c r="E25" s="220" t="s">
        <v>2651</v>
      </c>
      <c r="F25" s="220" t="s">
        <v>1173</v>
      </c>
      <c r="G25" s="220" t="s">
        <v>322</v>
      </c>
    </row>
    <row r="26" spans="2:7" ht="30" customHeight="1" thickBot="1" x14ac:dyDescent="0.3">
      <c r="B26" s="219">
        <v>793</v>
      </c>
      <c r="C26" s="220" t="s">
        <v>2649</v>
      </c>
      <c r="D26" s="220" t="s">
        <v>9824</v>
      </c>
      <c r="E26" s="220" t="s">
        <v>7208</v>
      </c>
      <c r="F26" s="220" t="s">
        <v>1173</v>
      </c>
      <c r="G26" s="220" t="s">
        <v>322</v>
      </c>
    </row>
    <row r="27" spans="2:7" ht="30" customHeight="1" thickBot="1" x14ac:dyDescent="0.3">
      <c r="B27" s="219">
        <v>794</v>
      </c>
      <c r="C27" s="220" t="s">
        <v>2649</v>
      </c>
      <c r="D27" s="220" t="s">
        <v>2652</v>
      </c>
      <c r="E27" s="220" t="s">
        <v>6022</v>
      </c>
      <c r="F27" s="220" t="s">
        <v>1173</v>
      </c>
      <c r="G27" s="220" t="s">
        <v>322</v>
      </c>
    </row>
    <row r="28" spans="2:7" ht="30" customHeight="1" thickBot="1" x14ac:dyDescent="0.3">
      <c r="B28" s="221">
        <v>794.1</v>
      </c>
      <c r="C28" s="221" t="s">
        <v>2654</v>
      </c>
      <c r="D28" s="222" t="s">
        <v>2655</v>
      </c>
      <c r="E28" s="221" t="s">
        <v>9079</v>
      </c>
      <c r="F28" s="223"/>
      <c r="G28" s="223" t="s">
        <v>322</v>
      </c>
    </row>
    <row r="29" spans="2:7" ht="30" customHeight="1" thickBot="1" x14ac:dyDescent="0.3">
      <c r="B29" s="221"/>
      <c r="C29" s="221"/>
      <c r="D29" s="223"/>
      <c r="E29" s="221"/>
      <c r="F29" s="223" t="s">
        <v>2656</v>
      </c>
      <c r="G29" s="223"/>
    </row>
    <row r="30" spans="2:7" ht="30" customHeight="1" thickBot="1" x14ac:dyDescent="0.3">
      <c r="B30" s="221"/>
      <c r="C30" s="221"/>
      <c r="D30" s="223" t="s">
        <v>9825</v>
      </c>
      <c r="E30" s="221"/>
      <c r="F30" s="223"/>
      <c r="G30" s="223"/>
    </row>
    <row r="31" spans="2:7" ht="30" customHeight="1" thickBot="1" x14ac:dyDescent="0.3">
      <c r="B31" s="221"/>
      <c r="C31" s="221"/>
      <c r="D31" s="223"/>
      <c r="E31" s="221"/>
      <c r="F31" s="223"/>
      <c r="G31" s="223"/>
    </row>
    <row r="32" spans="2:7" ht="30" customHeight="1" thickBot="1" x14ac:dyDescent="0.3">
      <c r="B32" s="221"/>
      <c r="C32" s="221"/>
      <c r="D32" s="223" t="s">
        <v>2657</v>
      </c>
      <c r="E32" s="221"/>
      <c r="F32" s="223"/>
      <c r="G32" s="223"/>
    </row>
    <row r="33" spans="2:7" ht="30" customHeight="1" thickBot="1" x14ac:dyDescent="0.3">
      <c r="B33" s="221"/>
      <c r="C33" s="221"/>
      <c r="D33" s="223"/>
      <c r="E33" s="221"/>
      <c r="F33" s="223"/>
      <c r="G33" s="223"/>
    </row>
    <row r="34" spans="2:7" ht="30" customHeight="1" thickBot="1" x14ac:dyDescent="0.3">
      <c r="B34" s="221" t="s">
        <v>2658</v>
      </c>
      <c r="C34" s="221" t="s">
        <v>2654</v>
      </c>
      <c r="D34" s="222" t="s">
        <v>2659</v>
      </c>
      <c r="E34" s="221" t="s">
        <v>8903</v>
      </c>
      <c r="F34" s="223"/>
      <c r="G34" s="221" t="s">
        <v>108</v>
      </c>
    </row>
    <row r="35" spans="2:7" ht="30" customHeight="1" thickBot="1" x14ac:dyDescent="0.3">
      <c r="B35" s="221"/>
      <c r="C35" s="221"/>
      <c r="D35" s="223"/>
      <c r="E35" s="221"/>
      <c r="F35" s="223" t="s">
        <v>2660</v>
      </c>
      <c r="G35" s="221"/>
    </row>
    <row r="36" spans="2:7" ht="30" customHeight="1" thickBot="1" x14ac:dyDescent="0.3">
      <c r="B36" s="221"/>
      <c r="C36" s="221"/>
      <c r="D36" s="223" t="s">
        <v>9826</v>
      </c>
      <c r="E36" s="221"/>
      <c r="F36" s="223" t="s">
        <v>2661</v>
      </c>
      <c r="G36" s="221"/>
    </row>
    <row r="37" spans="2:7" ht="30" customHeight="1" thickBot="1" x14ac:dyDescent="0.3">
      <c r="B37" s="221"/>
      <c r="C37" s="221"/>
      <c r="D37" s="223"/>
      <c r="E37" s="221"/>
      <c r="F37" s="223"/>
      <c r="G37" s="221"/>
    </row>
    <row r="38" spans="2:7" ht="30" customHeight="1" thickBot="1" x14ac:dyDescent="0.3">
      <c r="B38" s="221"/>
      <c r="C38" s="221"/>
      <c r="D38" s="223" t="s">
        <v>2662</v>
      </c>
      <c r="E38" s="221"/>
      <c r="F38" s="223"/>
      <c r="G38" s="221"/>
    </row>
    <row r="39" spans="2:7" ht="30" customHeight="1" thickBot="1" x14ac:dyDescent="0.3">
      <c r="B39" s="221"/>
      <c r="C39" s="221"/>
      <c r="D39" s="223"/>
      <c r="E39" s="221"/>
      <c r="F39" s="223"/>
      <c r="G39" s="221"/>
    </row>
    <row r="40" spans="2:7" ht="30" customHeight="1" thickBot="1" x14ac:dyDescent="0.3">
      <c r="B40" s="221"/>
      <c r="C40" s="221"/>
      <c r="D40" s="223" t="s">
        <v>2663</v>
      </c>
      <c r="E40" s="221"/>
      <c r="F40" s="223"/>
      <c r="G40" s="221"/>
    </row>
    <row r="41" spans="2:7" ht="30" customHeight="1" thickBot="1" x14ac:dyDescent="0.3">
      <c r="B41" s="221"/>
      <c r="C41" s="221"/>
      <c r="D41" s="223"/>
      <c r="E41" s="221"/>
      <c r="F41" s="223"/>
      <c r="G41" s="221"/>
    </row>
    <row r="42" spans="2:7" ht="30" customHeight="1" thickBot="1" x14ac:dyDescent="0.3">
      <c r="B42" s="221"/>
      <c r="C42" s="221"/>
      <c r="D42" s="223" t="s">
        <v>2664</v>
      </c>
      <c r="E42" s="221"/>
      <c r="F42" s="223"/>
      <c r="G42" s="221"/>
    </row>
    <row r="43" spans="2:7" ht="30" customHeight="1" thickBot="1" x14ac:dyDescent="0.3">
      <c r="B43" s="221"/>
      <c r="C43" s="221"/>
      <c r="D43" s="223"/>
      <c r="E43" s="221"/>
      <c r="F43" s="223"/>
      <c r="G43" s="221"/>
    </row>
    <row r="44" spans="2:7" ht="30" customHeight="1" thickBot="1" x14ac:dyDescent="0.3">
      <c r="B44" s="221"/>
      <c r="C44" s="221"/>
      <c r="D44" s="223" t="s">
        <v>2665</v>
      </c>
      <c r="E44" s="221"/>
      <c r="F44" s="223"/>
      <c r="G44" s="221"/>
    </row>
    <row r="45" spans="2:7" ht="30" customHeight="1" thickBot="1" x14ac:dyDescent="0.3">
      <c r="B45" s="221"/>
      <c r="C45" s="221"/>
      <c r="D45" s="223"/>
      <c r="E45" s="221"/>
      <c r="F45" s="223"/>
      <c r="G45" s="221"/>
    </row>
    <row r="46" spans="2:7" ht="30" customHeight="1" thickBot="1" x14ac:dyDescent="0.3">
      <c r="B46" s="221"/>
      <c r="C46" s="221"/>
      <c r="D46" s="223"/>
      <c r="E46" s="221"/>
      <c r="F46" s="223"/>
      <c r="G46" s="221"/>
    </row>
    <row r="47" spans="2:7" ht="30" customHeight="1" thickBot="1" x14ac:dyDescent="0.3">
      <c r="B47" s="221" t="s">
        <v>2666</v>
      </c>
      <c r="C47" s="221" t="s">
        <v>2654</v>
      </c>
      <c r="D47" s="222" t="s">
        <v>2667</v>
      </c>
      <c r="E47" s="221" t="s">
        <v>8622</v>
      </c>
      <c r="F47" s="223"/>
      <c r="G47" s="221" t="s">
        <v>108</v>
      </c>
    </row>
    <row r="48" spans="2:7" ht="30" customHeight="1" thickBot="1" x14ac:dyDescent="0.3">
      <c r="B48" s="221"/>
      <c r="C48" s="221"/>
      <c r="D48" s="223"/>
      <c r="E48" s="221"/>
      <c r="F48" s="223" t="s">
        <v>2668</v>
      </c>
      <c r="G48" s="221"/>
    </row>
    <row r="49" spans="2:7" ht="30" customHeight="1" thickBot="1" x14ac:dyDescent="0.3">
      <c r="B49" s="221"/>
      <c r="C49" s="221"/>
      <c r="D49" s="223" t="s">
        <v>9827</v>
      </c>
      <c r="E49" s="221"/>
      <c r="F49" s="223"/>
      <c r="G49" s="221"/>
    </row>
    <row r="50" spans="2:7" ht="30" customHeight="1" thickBot="1" x14ac:dyDescent="0.3">
      <c r="B50" s="221"/>
      <c r="C50" s="221"/>
      <c r="D50" s="223"/>
      <c r="E50" s="221"/>
      <c r="F50" s="223"/>
      <c r="G50" s="221"/>
    </row>
    <row r="51" spans="2:7" ht="30" customHeight="1" thickBot="1" x14ac:dyDescent="0.3">
      <c r="B51" s="221"/>
      <c r="C51" s="221"/>
      <c r="D51" s="223" t="s">
        <v>9828</v>
      </c>
      <c r="E51" s="221"/>
      <c r="F51" s="223"/>
      <c r="G51" s="221"/>
    </row>
    <row r="52" spans="2:7" ht="30" customHeight="1" thickBot="1" x14ac:dyDescent="0.3">
      <c r="B52" s="221"/>
      <c r="C52" s="221"/>
      <c r="D52" s="223"/>
      <c r="E52" s="221"/>
      <c r="F52" s="223"/>
      <c r="G52" s="221"/>
    </row>
    <row r="53" spans="2:7" ht="30" customHeight="1" thickBot="1" x14ac:dyDescent="0.3">
      <c r="B53" s="221"/>
      <c r="C53" s="221"/>
      <c r="D53" s="223" t="s">
        <v>2669</v>
      </c>
      <c r="E53" s="221"/>
      <c r="F53" s="223"/>
      <c r="G53" s="221"/>
    </row>
    <row r="54" spans="2:7" ht="30" customHeight="1" thickBot="1" x14ac:dyDescent="0.3">
      <c r="B54" s="221"/>
      <c r="C54" s="221"/>
      <c r="D54" s="223"/>
      <c r="E54" s="221"/>
      <c r="F54" s="223"/>
      <c r="G54" s="221"/>
    </row>
    <row r="55" spans="2:7" ht="30" customHeight="1" thickBot="1" x14ac:dyDescent="0.3">
      <c r="B55" s="221"/>
      <c r="C55" s="221"/>
      <c r="D55" s="223" t="s">
        <v>2670</v>
      </c>
      <c r="E55" s="221"/>
      <c r="F55" s="223"/>
      <c r="G55" s="221"/>
    </row>
    <row r="56" spans="2:7" ht="30" customHeight="1" thickBot="1" x14ac:dyDescent="0.3">
      <c r="B56" s="221"/>
      <c r="C56" s="221"/>
      <c r="D56" s="223"/>
      <c r="E56" s="221"/>
      <c r="F56" s="223"/>
      <c r="G56" s="221"/>
    </row>
    <row r="57" spans="2:7" ht="30" customHeight="1" thickBot="1" x14ac:dyDescent="0.3">
      <c r="B57" s="221"/>
      <c r="C57" s="221"/>
      <c r="D57" s="223" t="s">
        <v>2671</v>
      </c>
      <c r="E57" s="221"/>
      <c r="F57" s="223"/>
      <c r="G57" s="221"/>
    </row>
    <row r="58" spans="2:7" ht="30" customHeight="1" thickBot="1" x14ac:dyDescent="0.3">
      <c r="B58" s="221"/>
      <c r="C58" s="221"/>
      <c r="D58" s="223"/>
      <c r="E58" s="221"/>
      <c r="F58" s="223"/>
      <c r="G58" s="221"/>
    </row>
    <row r="59" spans="2:7" ht="30" customHeight="1" thickBot="1" x14ac:dyDescent="0.3">
      <c r="B59" s="221"/>
      <c r="C59" s="221"/>
      <c r="D59" s="223" t="s">
        <v>9829</v>
      </c>
      <c r="E59" s="221"/>
      <c r="F59" s="223"/>
      <c r="G59" s="221"/>
    </row>
    <row r="60" spans="2:7" ht="30" customHeight="1" thickBot="1" x14ac:dyDescent="0.3">
      <c r="B60" s="221"/>
      <c r="C60" s="221"/>
      <c r="D60" s="223"/>
      <c r="E60" s="221"/>
      <c r="F60" s="223"/>
      <c r="G60" s="221"/>
    </row>
    <row r="61" spans="2:7" ht="30" customHeight="1" thickBot="1" x14ac:dyDescent="0.3">
      <c r="B61" s="221" t="s">
        <v>2672</v>
      </c>
      <c r="C61" s="221" t="s">
        <v>2654</v>
      </c>
      <c r="D61" s="222" t="s">
        <v>2673</v>
      </c>
      <c r="E61" s="221" t="s">
        <v>7209</v>
      </c>
      <c r="F61" s="223"/>
      <c r="G61" s="221" t="s">
        <v>322</v>
      </c>
    </row>
    <row r="62" spans="2:7" ht="30" customHeight="1" thickBot="1" x14ac:dyDescent="0.3">
      <c r="B62" s="221"/>
      <c r="C62" s="221"/>
      <c r="D62" s="223"/>
      <c r="E62" s="221"/>
      <c r="F62" s="223" t="s">
        <v>2674</v>
      </c>
      <c r="G62" s="221"/>
    </row>
    <row r="63" spans="2:7" ht="30" customHeight="1" thickBot="1" x14ac:dyDescent="0.3">
      <c r="B63" s="221"/>
      <c r="C63" s="221"/>
      <c r="D63" s="223" t="s">
        <v>2675</v>
      </c>
      <c r="E63" s="221"/>
      <c r="F63" s="223"/>
      <c r="G63" s="221"/>
    </row>
    <row r="64" spans="2:7" ht="30" customHeight="1" thickBot="1" x14ac:dyDescent="0.3">
      <c r="B64" s="221"/>
      <c r="C64" s="221"/>
      <c r="D64" s="223"/>
      <c r="E64" s="221"/>
      <c r="F64" s="223"/>
      <c r="G64" s="221"/>
    </row>
    <row r="65" spans="2:7" ht="30" customHeight="1" thickBot="1" x14ac:dyDescent="0.3">
      <c r="B65" s="221" t="s">
        <v>2676</v>
      </c>
      <c r="C65" s="221" t="s">
        <v>2654</v>
      </c>
      <c r="D65" s="222" t="s">
        <v>2677</v>
      </c>
      <c r="E65" s="221" t="s">
        <v>7210</v>
      </c>
      <c r="F65" s="223"/>
      <c r="G65" s="221" t="s">
        <v>322</v>
      </c>
    </row>
    <row r="66" spans="2:7" ht="30" customHeight="1" thickBot="1" x14ac:dyDescent="0.3">
      <c r="B66" s="221"/>
      <c r="C66" s="221"/>
      <c r="D66" s="223"/>
      <c r="E66" s="221"/>
      <c r="F66" s="223" t="s">
        <v>2678</v>
      </c>
      <c r="G66" s="221"/>
    </row>
    <row r="67" spans="2:7" ht="30" customHeight="1" thickBot="1" x14ac:dyDescent="0.3">
      <c r="B67" s="221"/>
      <c r="C67" s="221"/>
      <c r="D67" s="223" t="s">
        <v>9830</v>
      </c>
      <c r="E67" s="221"/>
      <c r="F67" s="223"/>
      <c r="G67" s="221"/>
    </row>
    <row r="68" spans="2:7" ht="30" customHeight="1" thickBot="1" x14ac:dyDescent="0.3">
      <c r="B68" s="221"/>
      <c r="C68" s="221"/>
      <c r="D68" s="223"/>
      <c r="E68" s="221"/>
      <c r="F68" s="223"/>
      <c r="G68" s="221"/>
    </row>
    <row r="69" spans="2:7" ht="30" customHeight="1" thickBot="1" x14ac:dyDescent="0.3">
      <c r="B69" s="221"/>
      <c r="C69" s="221"/>
      <c r="D69" s="223" t="s">
        <v>2679</v>
      </c>
      <c r="E69" s="221"/>
      <c r="F69" s="223"/>
      <c r="G69" s="221"/>
    </row>
    <row r="70" spans="2:7" ht="30" customHeight="1" thickBot="1" x14ac:dyDescent="0.3">
      <c r="B70" s="221"/>
      <c r="C70" s="221"/>
      <c r="D70" s="223"/>
      <c r="E70" s="221"/>
      <c r="F70" s="223"/>
      <c r="G70" s="221"/>
    </row>
    <row r="71" spans="2:7" ht="30" customHeight="1" thickBot="1" x14ac:dyDescent="0.3">
      <c r="B71" s="221"/>
      <c r="C71" s="221"/>
      <c r="D71" s="223" t="s">
        <v>2680</v>
      </c>
      <c r="E71" s="221"/>
      <c r="F71" s="223"/>
      <c r="G71" s="221"/>
    </row>
    <row r="72" spans="2:7" ht="30" customHeight="1" thickBot="1" x14ac:dyDescent="0.3">
      <c r="B72" s="221"/>
      <c r="C72" s="221"/>
      <c r="D72" s="223"/>
      <c r="E72" s="221"/>
      <c r="F72" s="223"/>
      <c r="G72" s="221"/>
    </row>
    <row r="73" spans="2:7" ht="30" customHeight="1" thickBot="1" x14ac:dyDescent="0.3">
      <c r="B73" s="221"/>
      <c r="C73" s="221"/>
      <c r="D73" s="223" t="s">
        <v>2681</v>
      </c>
      <c r="E73" s="221"/>
      <c r="F73" s="223"/>
      <c r="G73" s="221"/>
    </row>
    <row r="74" spans="2:7" ht="30" customHeight="1" thickBot="1" x14ac:dyDescent="0.3">
      <c r="B74" s="221" t="s">
        <v>2682</v>
      </c>
      <c r="C74" s="221" t="s">
        <v>2654</v>
      </c>
      <c r="D74" s="222" t="s">
        <v>2683</v>
      </c>
      <c r="E74" s="221" t="s">
        <v>8644</v>
      </c>
      <c r="F74" s="221" t="s">
        <v>2684</v>
      </c>
      <c r="G74" s="221" t="s">
        <v>84</v>
      </c>
    </row>
    <row r="75" spans="2:7" ht="30" customHeight="1" thickBot="1" x14ac:dyDescent="0.3">
      <c r="B75" s="221"/>
      <c r="C75" s="221"/>
      <c r="D75" s="223"/>
      <c r="E75" s="221"/>
      <c r="F75" s="221"/>
      <c r="G75" s="221"/>
    </row>
    <row r="76" spans="2:7" ht="30" customHeight="1" thickBot="1" x14ac:dyDescent="0.3">
      <c r="B76" s="221"/>
      <c r="C76" s="221"/>
      <c r="D76" s="223" t="s">
        <v>2685</v>
      </c>
      <c r="E76" s="221"/>
      <c r="F76" s="221"/>
      <c r="G76" s="221"/>
    </row>
    <row r="77" spans="2:7" ht="30" customHeight="1" thickBot="1" x14ac:dyDescent="0.3">
      <c r="B77" s="221"/>
      <c r="C77" s="221"/>
      <c r="D77" s="223"/>
      <c r="E77" s="221"/>
      <c r="F77" s="221"/>
      <c r="G77" s="221"/>
    </row>
    <row r="78" spans="2:7" ht="30" customHeight="1" thickBot="1" x14ac:dyDescent="0.3">
      <c r="B78" s="221"/>
      <c r="C78" s="221"/>
      <c r="D78" s="223" t="s">
        <v>2686</v>
      </c>
      <c r="E78" s="221"/>
      <c r="F78" s="221"/>
      <c r="G78" s="221"/>
    </row>
    <row r="79" spans="2:7" ht="30" customHeight="1" thickBot="1" x14ac:dyDescent="0.3">
      <c r="B79" s="221"/>
      <c r="C79" s="221"/>
      <c r="D79" s="223"/>
      <c r="E79" s="221"/>
      <c r="F79" s="221"/>
      <c r="G79" s="221"/>
    </row>
    <row r="80" spans="2:7" ht="30" customHeight="1" thickBot="1" x14ac:dyDescent="0.3">
      <c r="B80" s="221"/>
      <c r="C80" s="221"/>
      <c r="D80" s="223" t="s">
        <v>2687</v>
      </c>
      <c r="E80" s="221"/>
      <c r="F80" s="221"/>
      <c r="G80" s="221"/>
    </row>
    <row r="81" spans="2:7" ht="30" customHeight="1" thickBot="1" x14ac:dyDescent="0.3">
      <c r="B81" s="221"/>
      <c r="C81" s="221"/>
      <c r="D81" s="223"/>
      <c r="E81" s="221"/>
      <c r="F81" s="221"/>
      <c r="G81" s="221"/>
    </row>
    <row r="82" spans="2:7" ht="30" customHeight="1" thickBot="1" x14ac:dyDescent="0.3">
      <c r="B82" s="221"/>
      <c r="C82" s="221"/>
      <c r="D82" s="223" t="s">
        <v>2688</v>
      </c>
      <c r="E82" s="221"/>
      <c r="F82" s="221"/>
      <c r="G82" s="221"/>
    </row>
    <row r="83" spans="2:7" ht="30" customHeight="1" thickBot="1" x14ac:dyDescent="0.3">
      <c r="B83" s="221"/>
      <c r="C83" s="221"/>
      <c r="D83" s="223"/>
      <c r="E83" s="221"/>
      <c r="F83" s="221"/>
      <c r="G83" s="221"/>
    </row>
    <row r="84" spans="2:7" ht="30" customHeight="1" thickBot="1" x14ac:dyDescent="0.3">
      <c r="B84" s="221" t="s">
        <v>2689</v>
      </c>
      <c r="C84" s="221" t="s">
        <v>2654</v>
      </c>
      <c r="D84" s="222" t="s">
        <v>2690</v>
      </c>
      <c r="E84" s="221" t="s">
        <v>8646</v>
      </c>
      <c r="F84" s="223" t="s">
        <v>2691</v>
      </c>
      <c r="G84" s="221" t="s">
        <v>108</v>
      </c>
    </row>
    <row r="85" spans="2:7" ht="30" customHeight="1" thickBot="1" x14ac:dyDescent="0.3">
      <c r="B85" s="221"/>
      <c r="C85" s="221"/>
      <c r="D85" s="223"/>
      <c r="E85" s="221"/>
      <c r="F85" s="223"/>
      <c r="G85" s="221"/>
    </row>
    <row r="86" spans="2:7" ht="30" customHeight="1" thickBot="1" x14ac:dyDescent="0.3">
      <c r="B86" s="221"/>
      <c r="C86" s="221"/>
      <c r="D86" s="223" t="s">
        <v>2692</v>
      </c>
      <c r="E86" s="221"/>
      <c r="F86" s="223" t="s">
        <v>2693</v>
      </c>
      <c r="G86" s="221"/>
    </row>
    <row r="87" spans="2:7" ht="30" customHeight="1" thickBot="1" x14ac:dyDescent="0.3">
      <c r="B87" s="221"/>
      <c r="C87" s="221"/>
      <c r="D87" s="223"/>
      <c r="E87" s="221"/>
      <c r="F87" s="223"/>
      <c r="G87" s="221"/>
    </row>
    <row r="88" spans="2:7" ht="30" customHeight="1" thickBot="1" x14ac:dyDescent="0.3">
      <c r="B88" s="221"/>
      <c r="C88" s="221"/>
      <c r="D88" s="223" t="s">
        <v>2694</v>
      </c>
      <c r="E88" s="221"/>
      <c r="F88" s="223"/>
      <c r="G88" s="221"/>
    </row>
    <row r="89" spans="2:7" ht="30" customHeight="1" thickBot="1" x14ac:dyDescent="0.3">
      <c r="B89" s="221"/>
      <c r="C89" s="221"/>
      <c r="D89" s="223"/>
      <c r="E89" s="221"/>
      <c r="F89" s="223"/>
      <c r="G89" s="221"/>
    </row>
    <row r="90" spans="2:7" ht="30" customHeight="1" thickBot="1" x14ac:dyDescent="0.3">
      <c r="B90" s="221"/>
      <c r="C90" s="221"/>
      <c r="D90" s="223" t="s">
        <v>2695</v>
      </c>
      <c r="E90" s="221"/>
      <c r="F90" s="223"/>
      <c r="G90" s="221"/>
    </row>
    <row r="91" spans="2:7" ht="30" customHeight="1" thickBot="1" x14ac:dyDescent="0.3">
      <c r="B91" s="221"/>
      <c r="C91" s="221"/>
      <c r="D91" s="223"/>
      <c r="E91" s="221"/>
      <c r="F91" s="223"/>
      <c r="G91" s="221"/>
    </row>
    <row r="92" spans="2:7" ht="30" customHeight="1" thickBot="1" x14ac:dyDescent="0.3">
      <c r="B92" s="221"/>
      <c r="C92" s="221"/>
      <c r="D92" s="223" t="s">
        <v>9831</v>
      </c>
      <c r="E92" s="221"/>
      <c r="F92" s="223"/>
      <c r="G92" s="221"/>
    </row>
    <row r="93" spans="2:7" ht="30" customHeight="1" thickBot="1" x14ac:dyDescent="0.3">
      <c r="B93" s="221"/>
      <c r="C93" s="221"/>
      <c r="D93" s="223"/>
      <c r="E93" s="221"/>
      <c r="F93" s="223"/>
      <c r="G93" s="221"/>
    </row>
    <row r="94" spans="2:7" ht="30" customHeight="1" thickBot="1" x14ac:dyDescent="0.3">
      <c r="B94" s="221"/>
      <c r="C94" s="221"/>
      <c r="D94" s="223" t="s">
        <v>9832</v>
      </c>
      <c r="E94" s="221"/>
      <c r="F94" s="223"/>
      <c r="G94" s="221"/>
    </row>
    <row r="95" spans="2:7" ht="30" customHeight="1" thickBot="1" x14ac:dyDescent="0.3">
      <c r="B95" s="221" t="s">
        <v>2696</v>
      </c>
      <c r="C95" s="221" t="s">
        <v>2654</v>
      </c>
      <c r="D95" s="223"/>
      <c r="E95" s="221" t="s">
        <v>9089</v>
      </c>
      <c r="F95" s="223" t="s">
        <v>2697</v>
      </c>
      <c r="G95" s="221" t="s">
        <v>120</v>
      </c>
    </row>
    <row r="96" spans="2:7" ht="30" customHeight="1" thickBot="1" x14ac:dyDescent="0.3">
      <c r="B96" s="221"/>
      <c r="C96" s="221"/>
      <c r="D96" s="222" t="s">
        <v>9833</v>
      </c>
      <c r="E96" s="221"/>
      <c r="F96" s="223" t="s">
        <v>2698</v>
      </c>
      <c r="G96" s="221"/>
    </row>
    <row r="97" spans="2:7" ht="30" customHeight="1" thickBot="1" x14ac:dyDescent="0.3">
      <c r="B97" s="221"/>
      <c r="C97" s="221"/>
      <c r="D97" s="223"/>
      <c r="E97" s="221"/>
      <c r="F97" s="223"/>
      <c r="G97" s="221"/>
    </row>
    <row r="98" spans="2:7" ht="30" customHeight="1" thickBot="1" x14ac:dyDescent="0.3">
      <c r="B98" s="221"/>
      <c r="C98" s="221"/>
      <c r="D98" s="223" t="s">
        <v>2699</v>
      </c>
      <c r="E98" s="221"/>
      <c r="F98" s="223" t="s">
        <v>2700</v>
      </c>
      <c r="G98" s="221"/>
    </row>
    <row r="99" spans="2:7" ht="30" customHeight="1" thickBot="1" x14ac:dyDescent="0.3">
      <c r="B99" s="221"/>
      <c r="C99" s="221"/>
      <c r="D99" s="223"/>
      <c r="E99" s="221"/>
      <c r="F99" s="223"/>
      <c r="G99" s="221"/>
    </row>
    <row r="100" spans="2:7" ht="30" customHeight="1" thickBot="1" x14ac:dyDescent="0.3">
      <c r="B100" s="221"/>
      <c r="C100" s="221"/>
      <c r="D100" s="223" t="s">
        <v>9834</v>
      </c>
      <c r="E100" s="221"/>
      <c r="F100" s="223"/>
      <c r="G100" s="221"/>
    </row>
    <row r="101" spans="2:7" ht="30" customHeight="1" thickBot="1" x14ac:dyDescent="0.3">
      <c r="B101" s="221"/>
      <c r="C101" s="221"/>
      <c r="D101" s="223"/>
      <c r="E101" s="221"/>
      <c r="F101" s="223"/>
      <c r="G101" s="221"/>
    </row>
    <row r="102" spans="2:7" ht="30" customHeight="1" thickBot="1" x14ac:dyDescent="0.3">
      <c r="B102" s="221"/>
      <c r="C102" s="221"/>
      <c r="D102" s="223" t="s">
        <v>9835</v>
      </c>
      <c r="E102" s="221"/>
      <c r="F102" s="223"/>
      <c r="G102" s="221"/>
    </row>
    <row r="103" spans="2:7" ht="30" customHeight="1" thickBot="1" x14ac:dyDescent="0.3">
      <c r="B103" s="221"/>
      <c r="C103" s="221"/>
      <c r="D103" s="223"/>
      <c r="E103" s="221"/>
      <c r="F103" s="223"/>
      <c r="G103" s="221"/>
    </row>
    <row r="104" spans="2:7" ht="30" customHeight="1" thickBot="1" x14ac:dyDescent="0.3">
      <c r="B104" s="221"/>
      <c r="C104" s="221"/>
      <c r="D104" s="223" t="s">
        <v>2662</v>
      </c>
      <c r="E104" s="221"/>
      <c r="F104" s="223"/>
      <c r="G104" s="221"/>
    </row>
    <row r="105" spans="2:7" ht="30" customHeight="1" thickBot="1" x14ac:dyDescent="0.3">
      <c r="B105" s="221"/>
      <c r="C105" s="221"/>
      <c r="D105" s="223"/>
      <c r="E105" s="221"/>
      <c r="F105" s="223"/>
      <c r="G105" s="221"/>
    </row>
    <row r="106" spans="2:7" ht="30" customHeight="1" thickBot="1" x14ac:dyDescent="0.3">
      <c r="B106" s="221"/>
      <c r="C106" s="221"/>
      <c r="D106" s="223" t="s">
        <v>2701</v>
      </c>
      <c r="E106" s="221"/>
      <c r="F106" s="223"/>
      <c r="G106" s="221"/>
    </row>
    <row r="107" spans="2:7" ht="30" customHeight="1" thickBot="1" x14ac:dyDescent="0.3">
      <c r="B107" s="221"/>
      <c r="C107" s="221"/>
      <c r="D107" s="223"/>
      <c r="E107" s="221"/>
      <c r="F107" s="223"/>
      <c r="G107" s="221"/>
    </row>
    <row r="108" spans="2:7" ht="30" customHeight="1" thickBot="1" x14ac:dyDescent="0.3">
      <c r="B108" s="221"/>
      <c r="C108" s="221"/>
      <c r="D108" s="223" t="s">
        <v>9143</v>
      </c>
      <c r="E108" s="221"/>
      <c r="F108" s="223"/>
      <c r="G108" s="221"/>
    </row>
    <row r="109" spans="2:7" ht="30" customHeight="1" thickBot="1" x14ac:dyDescent="0.3">
      <c r="B109" s="221"/>
      <c r="C109" s="221"/>
      <c r="D109" s="223"/>
      <c r="E109" s="221"/>
      <c r="F109" s="223"/>
      <c r="G109" s="221"/>
    </row>
    <row r="110" spans="2:7" ht="30" customHeight="1" thickBot="1" x14ac:dyDescent="0.3">
      <c r="B110" s="221"/>
      <c r="C110" s="221"/>
      <c r="D110" s="223" t="s">
        <v>2702</v>
      </c>
      <c r="E110" s="221"/>
      <c r="F110" s="223"/>
      <c r="G110" s="221"/>
    </row>
    <row r="111" spans="2:7" ht="30" customHeight="1" thickBot="1" x14ac:dyDescent="0.3">
      <c r="B111" s="221"/>
      <c r="C111" s="221"/>
      <c r="D111" s="223"/>
      <c r="E111" s="221"/>
      <c r="F111" s="223"/>
      <c r="G111" s="221"/>
    </row>
    <row r="112" spans="2:7" ht="30" customHeight="1" thickBot="1" x14ac:dyDescent="0.3">
      <c r="B112" s="221"/>
      <c r="C112" s="221"/>
      <c r="D112" s="223" t="s">
        <v>9836</v>
      </c>
      <c r="E112" s="221"/>
      <c r="F112" s="223"/>
      <c r="G112" s="221"/>
    </row>
    <row r="113" spans="2:7" ht="30" customHeight="1" thickBot="1" x14ac:dyDescent="0.3">
      <c r="B113" s="221"/>
      <c r="C113" s="221"/>
      <c r="D113" s="223"/>
      <c r="E113" s="221"/>
      <c r="F113" s="223"/>
      <c r="G113" s="221"/>
    </row>
    <row r="114" spans="2:7" ht="30" customHeight="1" thickBot="1" x14ac:dyDescent="0.3">
      <c r="B114" s="221" t="s">
        <v>2703</v>
      </c>
      <c r="C114" s="221" t="s">
        <v>2654</v>
      </c>
      <c r="D114" s="222" t="s">
        <v>2704</v>
      </c>
      <c r="E114" s="221" t="s">
        <v>7308</v>
      </c>
      <c r="F114" s="223"/>
      <c r="G114" s="221" t="s">
        <v>322</v>
      </c>
    </row>
    <row r="115" spans="2:7" ht="30" customHeight="1" thickBot="1" x14ac:dyDescent="0.3">
      <c r="B115" s="221"/>
      <c r="C115" s="221"/>
      <c r="D115" s="223"/>
      <c r="E115" s="221"/>
      <c r="F115" s="223"/>
      <c r="G115" s="221"/>
    </row>
    <row r="116" spans="2:7" ht="30" customHeight="1" thickBot="1" x14ac:dyDescent="0.3">
      <c r="B116" s="221"/>
      <c r="C116" s="221"/>
      <c r="D116" s="223" t="s">
        <v>9837</v>
      </c>
      <c r="E116" s="221"/>
      <c r="F116" s="223"/>
      <c r="G116" s="221"/>
    </row>
    <row r="117" spans="2:7" ht="30" customHeight="1" thickBot="1" x14ac:dyDescent="0.3">
      <c r="B117" s="221"/>
      <c r="C117" s="221"/>
      <c r="D117" s="223"/>
      <c r="E117" s="221"/>
      <c r="F117" s="223" t="s">
        <v>2705</v>
      </c>
      <c r="G117" s="221"/>
    </row>
    <row r="118" spans="2:7" ht="30" customHeight="1" thickBot="1" x14ac:dyDescent="0.3">
      <c r="B118" s="221"/>
      <c r="C118" s="221"/>
      <c r="D118" s="223" t="s">
        <v>9838</v>
      </c>
      <c r="E118" s="221"/>
      <c r="F118" s="223" t="s">
        <v>2706</v>
      </c>
      <c r="G118" s="221"/>
    </row>
    <row r="119" spans="2:7" ht="30" customHeight="1" thickBot="1" x14ac:dyDescent="0.3">
      <c r="B119" s="221"/>
      <c r="C119" s="221"/>
      <c r="D119" s="223"/>
      <c r="E119" s="221"/>
      <c r="F119" s="223"/>
      <c r="G119" s="221"/>
    </row>
    <row r="120" spans="2:7" ht="30" customHeight="1" thickBot="1" x14ac:dyDescent="0.3">
      <c r="B120" s="221"/>
      <c r="C120" s="221"/>
      <c r="D120" s="223" t="s">
        <v>9839</v>
      </c>
      <c r="E120" s="221"/>
      <c r="F120" s="223" t="s">
        <v>2707</v>
      </c>
      <c r="G120" s="221"/>
    </row>
    <row r="121" spans="2:7" ht="30" customHeight="1" thickBot="1" x14ac:dyDescent="0.3">
      <c r="B121" s="221"/>
      <c r="C121" s="221"/>
      <c r="D121" s="223"/>
      <c r="E121" s="221"/>
      <c r="F121" s="223"/>
      <c r="G121" s="221"/>
    </row>
    <row r="122" spans="2:7" ht="30" customHeight="1" thickBot="1" x14ac:dyDescent="0.3">
      <c r="B122" s="221"/>
      <c r="C122" s="221"/>
      <c r="D122" s="223" t="s">
        <v>2708</v>
      </c>
      <c r="E122" s="221"/>
      <c r="F122" s="223"/>
      <c r="G122" s="221"/>
    </row>
    <row r="123" spans="2:7" ht="30" customHeight="1" thickBot="1" x14ac:dyDescent="0.3">
      <c r="B123" s="221"/>
      <c r="C123" s="221"/>
      <c r="D123" s="223"/>
      <c r="E123" s="221"/>
      <c r="F123" s="223"/>
      <c r="G123" s="221"/>
    </row>
    <row r="124" spans="2:7" ht="30" customHeight="1" thickBot="1" x14ac:dyDescent="0.3">
      <c r="B124" s="221"/>
      <c r="C124" s="221"/>
      <c r="D124" s="223" t="s">
        <v>2709</v>
      </c>
      <c r="E124" s="221"/>
      <c r="F124" s="223"/>
      <c r="G124" s="221"/>
    </row>
    <row r="125" spans="2:7" ht="30" customHeight="1" thickBot="1" x14ac:dyDescent="0.3">
      <c r="B125" s="221"/>
      <c r="C125" s="221"/>
      <c r="D125" s="223"/>
      <c r="E125" s="221"/>
      <c r="F125" s="223"/>
      <c r="G125" s="221"/>
    </row>
    <row r="126" spans="2:7" ht="30" customHeight="1" thickBot="1" x14ac:dyDescent="0.3">
      <c r="B126" s="221" t="s">
        <v>2710</v>
      </c>
      <c r="C126" s="221" t="s">
        <v>2654</v>
      </c>
      <c r="D126" s="222" t="s">
        <v>2704</v>
      </c>
      <c r="E126" s="221" t="s">
        <v>7529</v>
      </c>
      <c r="F126" s="223"/>
      <c r="G126" s="221" t="s">
        <v>322</v>
      </c>
    </row>
    <row r="127" spans="2:7" ht="30" customHeight="1" thickBot="1" x14ac:dyDescent="0.3">
      <c r="B127" s="221"/>
      <c r="C127" s="221"/>
      <c r="D127" s="223"/>
      <c r="E127" s="221"/>
      <c r="F127" s="223" t="s">
        <v>2711</v>
      </c>
      <c r="G127" s="221"/>
    </row>
    <row r="128" spans="2:7" ht="30" customHeight="1" thickBot="1" x14ac:dyDescent="0.3">
      <c r="B128" s="221"/>
      <c r="C128" s="221"/>
      <c r="D128" s="223" t="s">
        <v>9840</v>
      </c>
      <c r="E128" s="221"/>
      <c r="F128" s="223"/>
      <c r="G128" s="221"/>
    </row>
    <row r="129" spans="2:7" ht="30" customHeight="1" thickBot="1" x14ac:dyDescent="0.3">
      <c r="B129" s="221"/>
      <c r="C129" s="221"/>
      <c r="D129" s="223"/>
      <c r="E129" s="221"/>
      <c r="F129" s="223"/>
      <c r="G129" s="221"/>
    </row>
    <row r="130" spans="2:7" ht="30" customHeight="1" thickBot="1" x14ac:dyDescent="0.3">
      <c r="B130" s="221"/>
      <c r="C130" s="221"/>
      <c r="D130" s="223" t="s">
        <v>2679</v>
      </c>
      <c r="E130" s="221"/>
      <c r="F130" s="223"/>
      <c r="G130" s="221"/>
    </row>
    <row r="131" spans="2:7" ht="30" customHeight="1" thickBot="1" x14ac:dyDescent="0.3">
      <c r="B131" s="221"/>
      <c r="C131" s="221"/>
      <c r="D131" s="223"/>
      <c r="E131" s="221"/>
      <c r="F131" s="223"/>
      <c r="G131" s="221"/>
    </row>
    <row r="132" spans="2:7" ht="30" customHeight="1" thickBot="1" x14ac:dyDescent="0.3">
      <c r="B132" s="221"/>
      <c r="C132" s="221"/>
      <c r="D132" s="223" t="s">
        <v>2712</v>
      </c>
      <c r="E132" s="221"/>
      <c r="F132" s="223"/>
      <c r="G132" s="221"/>
    </row>
    <row r="133" spans="2:7" ht="30" customHeight="1" thickBot="1" x14ac:dyDescent="0.3">
      <c r="B133" s="221" t="s">
        <v>2713</v>
      </c>
      <c r="C133" s="221" t="s">
        <v>2654</v>
      </c>
      <c r="D133" s="223"/>
      <c r="E133" s="221" t="s">
        <v>8681</v>
      </c>
      <c r="F133" s="221" t="s">
        <v>2714</v>
      </c>
      <c r="G133" s="221" t="s">
        <v>322</v>
      </c>
    </row>
    <row r="134" spans="2:7" ht="30" customHeight="1" thickBot="1" x14ac:dyDescent="0.3">
      <c r="B134" s="221"/>
      <c r="C134" s="221"/>
      <c r="D134" s="222" t="s">
        <v>2715</v>
      </c>
      <c r="E134" s="221"/>
      <c r="F134" s="221"/>
      <c r="G134" s="221"/>
    </row>
    <row r="135" spans="2:7" ht="30" customHeight="1" thickBot="1" x14ac:dyDescent="0.3">
      <c r="B135" s="221"/>
      <c r="C135" s="221"/>
      <c r="D135" s="223"/>
      <c r="E135" s="221"/>
      <c r="F135" s="221"/>
      <c r="G135" s="221"/>
    </row>
    <row r="136" spans="2:7" ht="30" customHeight="1" thickBot="1" x14ac:dyDescent="0.3">
      <c r="B136" s="221"/>
      <c r="C136" s="221"/>
      <c r="D136" s="223" t="s">
        <v>2716</v>
      </c>
      <c r="E136" s="221"/>
      <c r="F136" s="221"/>
      <c r="G136" s="221"/>
    </row>
    <row r="137" spans="2:7" ht="30" customHeight="1" thickBot="1" x14ac:dyDescent="0.3">
      <c r="B137" s="221"/>
      <c r="C137" s="221"/>
      <c r="D137" s="223"/>
      <c r="E137" s="221"/>
      <c r="F137" s="221"/>
      <c r="G137" s="221"/>
    </row>
    <row r="138" spans="2:7" ht="30" customHeight="1" thickBot="1" x14ac:dyDescent="0.3">
      <c r="B138" s="221"/>
      <c r="C138" s="221"/>
      <c r="D138" s="223" t="s">
        <v>2717</v>
      </c>
      <c r="E138" s="221"/>
      <c r="F138" s="221"/>
      <c r="G138" s="221"/>
    </row>
    <row r="139" spans="2:7" ht="30" customHeight="1" thickBot="1" x14ac:dyDescent="0.3">
      <c r="B139" s="221"/>
      <c r="C139" s="221"/>
      <c r="D139" s="223" t="s">
        <v>2718</v>
      </c>
      <c r="E139" s="221"/>
      <c r="F139" s="221"/>
      <c r="G139" s="221"/>
    </row>
    <row r="140" spans="2:7" ht="30" customHeight="1" thickBot="1" x14ac:dyDescent="0.3">
      <c r="B140" s="221"/>
      <c r="C140" s="221"/>
      <c r="D140" s="223" t="s">
        <v>2719</v>
      </c>
      <c r="E140" s="221"/>
      <c r="F140" s="221"/>
      <c r="G140" s="221"/>
    </row>
    <row r="141" spans="2:7" ht="30" customHeight="1" thickBot="1" x14ac:dyDescent="0.3">
      <c r="B141" s="221"/>
      <c r="C141" s="221"/>
      <c r="D141" s="223"/>
      <c r="E141" s="221"/>
      <c r="F141" s="221"/>
      <c r="G141" s="221"/>
    </row>
    <row r="142" spans="2:7" ht="30" customHeight="1" thickBot="1" x14ac:dyDescent="0.3">
      <c r="B142" s="221"/>
      <c r="C142" s="221"/>
      <c r="D142" s="223" t="s">
        <v>2708</v>
      </c>
      <c r="E142" s="221"/>
      <c r="F142" s="221"/>
      <c r="G142" s="221"/>
    </row>
    <row r="143" spans="2:7" ht="30" customHeight="1" thickBot="1" x14ac:dyDescent="0.3">
      <c r="B143" s="221"/>
      <c r="C143" s="221"/>
      <c r="D143" s="223"/>
      <c r="E143" s="221"/>
      <c r="F143" s="221"/>
      <c r="G143" s="221"/>
    </row>
    <row r="144" spans="2:7" ht="30" customHeight="1" thickBot="1" x14ac:dyDescent="0.3">
      <c r="B144" s="221"/>
      <c r="C144" s="221"/>
      <c r="D144" s="223" t="s">
        <v>2720</v>
      </c>
      <c r="E144" s="221"/>
      <c r="F144" s="221"/>
      <c r="G144" s="221"/>
    </row>
    <row r="145" spans="2:7" ht="30" customHeight="1" thickBot="1" x14ac:dyDescent="0.3">
      <c r="B145" s="221"/>
      <c r="C145" s="221"/>
      <c r="D145" s="223"/>
      <c r="E145" s="221"/>
      <c r="F145" s="221"/>
      <c r="G145" s="221"/>
    </row>
    <row r="146" spans="2:7" ht="30" customHeight="1" thickBot="1" x14ac:dyDescent="0.3">
      <c r="B146" s="221"/>
      <c r="C146" s="221"/>
      <c r="D146" s="223" t="s">
        <v>2721</v>
      </c>
      <c r="E146" s="221"/>
      <c r="F146" s="221"/>
      <c r="G146" s="221"/>
    </row>
    <row r="147" spans="2:7" ht="30" customHeight="1" thickBot="1" x14ac:dyDescent="0.3">
      <c r="B147" s="221"/>
      <c r="C147" s="221"/>
      <c r="D147" s="223"/>
      <c r="E147" s="221"/>
      <c r="F147" s="221"/>
      <c r="G147" s="221"/>
    </row>
    <row r="148" spans="2:7" ht="30" customHeight="1" thickBot="1" x14ac:dyDescent="0.3">
      <c r="B148" s="221" t="s">
        <v>2722</v>
      </c>
      <c r="C148" s="221" t="s">
        <v>2654</v>
      </c>
      <c r="D148" s="223"/>
      <c r="E148" s="221" t="s">
        <v>8682</v>
      </c>
      <c r="F148" s="223" t="s">
        <v>2723</v>
      </c>
      <c r="G148" s="221" t="s">
        <v>322</v>
      </c>
    </row>
    <row r="149" spans="2:7" ht="30" customHeight="1" thickBot="1" x14ac:dyDescent="0.3">
      <c r="B149" s="221"/>
      <c r="C149" s="221"/>
      <c r="D149" s="222" t="s">
        <v>2724</v>
      </c>
      <c r="E149" s="221"/>
      <c r="F149" s="223"/>
      <c r="G149" s="221"/>
    </row>
    <row r="150" spans="2:7" ht="30" customHeight="1" thickBot="1" x14ac:dyDescent="0.3">
      <c r="B150" s="221"/>
      <c r="C150" s="221"/>
      <c r="D150" s="223"/>
      <c r="E150" s="221"/>
      <c r="F150" s="223"/>
      <c r="G150" s="221"/>
    </row>
    <row r="151" spans="2:7" ht="30" customHeight="1" thickBot="1" x14ac:dyDescent="0.3">
      <c r="B151" s="221"/>
      <c r="C151" s="221"/>
      <c r="D151" s="223" t="s">
        <v>9841</v>
      </c>
      <c r="E151" s="221"/>
      <c r="F151" s="223" t="s">
        <v>2725</v>
      </c>
      <c r="G151" s="221"/>
    </row>
    <row r="152" spans="2:7" ht="30" customHeight="1" thickBot="1" x14ac:dyDescent="0.3">
      <c r="B152" s="221"/>
      <c r="C152" s="221"/>
      <c r="D152" s="223"/>
      <c r="E152" s="221"/>
      <c r="F152" s="223"/>
      <c r="G152" s="221"/>
    </row>
    <row r="153" spans="2:7" ht="30" customHeight="1" thickBot="1" x14ac:dyDescent="0.3">
      <c r="B153" s="221"/>
      <c r="C153" s="221"/>
      <c r="D153" s="223" t="s">
        <v>9842</v>
      </c>
      <c r="E153" s="221"/>
      <c r="F153" s="223"/>
      <c r="G153" s="221"/>
    </row>
    <row r="154" spans="2:7" ht="30" customHeight="1" thickBot="1" x14ac:dyDescent="0.3">
      <c r="B154" s="221"/>
      <c r="C154" s="221"/>
      <c r="D154" s="223"/>
      <c r="E154" s="221"/>
      <c r="F154" s="223"/>
      <c r="G154" s="221"/>
    </row>
    <row r="155" spans="2:7" ht="30" customHeight="1" thickBot="1" x14ac:dyDescent="0.3">
      <c r="B155" s="221"/>
      <c r="C155" s="221"/>
      <c r="D155" s="223" t="s">
        <v>2708</v>
      </c>
      <c r="E155" s="221"/>
      <c r="F155" s="223"/>
      <c r="G155" s="221"/>
    </row>
    <row r="156" spans="2:7" ht="30" customHeight="1" thickBot="1" x14ac:dyDescent="0.3">
      <c r="B156" s="221"/>
      <c r="C156" s="221"/>
      <c r="D156" s="223"/>
      <c r="E156" s="221"/>
      <c r="F156" s="223"/>
      <c r="G156" s="221"/>
    </row>
    <row r="157" spans="2:7" ht="30" customHeight="1" thickBot="1" x14ac:dyDescent="0.3">
      <c r="B157" s="221"/>
      <c r="C157" s="221"/>
      <c r="D157" s="223" t="s">
        <v>9843</v>
      </c>
      <c r="E157" s="221"/>
      <c r="F157" s="223"/>
      <c r="G157" s="221"/>
    </row>
    <row r="158" spans="2:7" ht="30" customHeight="1" thickBot="1" x14ac:dyDescent="0.3">
      <c r="B158" s="221"/>
      <c r="C158" s="221"/>
      <c r="D158" s="223" t="s">
        <v>575</v>
      </c>
      <c r="E158" s="221"/>
      <c r="F158" s="223"/>
      <c r="G158" s="221"/>
    </row>
    <row r="159" spans="2:7" ht="30" customHeight="1" thickBot="1" x14ac:dyDescent="0.3">
      <c r="B159" s="221"/>
      <c r="C159" s="221"/>
      <c r="D159" s="223" t="s">
        <v>2679</v>
      </c>
      <c r="E159" s="221"/>
      <c r="F159" s="223"/>
      <c r="G159" s="221"/>
    </row>
    <row r="160" spans="2:7" ht="30" customHeight="1" thickBot="1" x14ac:dyDescent="0.3">
      <c r="B160" s="221"/>
      <c r="C160" s="221"/>
      <c r="D160" s="223"/>
      <c r="E160" s="221"/>
      <c r="F160" s="223"/>
      <c r="G160" s="221"/>
    </row>
    <row r="161" spans="2:7" ht="30" customHeight="1" thickBot="1" x14ac:dyDescent="0.3">
      <c r="B161" s="221"/>
      <c r="C161" s="221"/>
      <c r="D161" s="223" t="s">
        <v>2726</v>
      </c>
      <c r="E161" s="221"/>
      <c r="F161" s="223"/>
      <c r="G161" s="221"/>
    </row>
    <row r="162" spans="2:7" ht="30" customHeight="1" thickBot="1" x14ac:dyDescent="0.3">
      <c r="B162" s="221"/>
      <c r="C162" s="221"/>
      <c r="D162" s="223"/>
      <c r="E162" s="221"/>
      <c r="F162" s="223"/>
      <c r="G162" s="221"/>
    </row>
    <row r="163" spans="2:7" ht="30" customHeight="1" thickBot="1" x14ac:dyDescent="0.3">
      <c r="B163" s="221"/>
      <c r="C163" s="221"/>
      <c r="D163" s="223" t="s">
        <v>2727</v>
      </c>
      <c r="E163" s="221"/>
      <c r="F163" s="223"/>
      <c r="G163" s="221"/>
    </row>
    <row r="164" spans="2:7" ht="30" customHeight="1" thickBot="1" x14ac:dyDescent="0.3">
      <c r="B164" s="221"/>
      <c r="C164" s="221"/>
      <c r="D164" s="223"/>
      <c r="E164" s="221"/>
      <c r="F164" s="223"/>
      <c r="G164" s="221"/>
    </row>
    <row r="165" spans="2:7" ht="30" customHeight="1" thickBot="1" x14ac:dyDescent="0.3">
      <c r="B165" s="221"/>
      <c r="C165" s="221"/>
      <c r="D165" s="223" t="s">
        <v>2728</v>
      </c>
      <c r="E165" s="221"/>
      <c r="F165" s="223"/>
      <c r="G165" s="221"/>
    </row>
    <row r="166" spans="2:7" ht="30" customHeight="1" thickBot="1" x14ac:dyDescent="0.3">
      <c r="B166" s="221"/>
      <c r="C166" s="221"/>
      <c r="D166" s="223"/>
      <c r="E166" s="221"/>
      <c r="F166" s="223"/>
      <c r="G166" s="221"/>
    </row>
    <row r="167" spans="2:7" ht="30" customHeight="1" thickBot="1" x14ac:dyDescent="0.3">
      <c r="B167" s="221"/>
      <c r="C167" s="221"/>
      <c r="D167" s="223" t="s">
        <v>2729</v>
      </c>
      <c r="E167" s="221"/>
      <c r="F167" s="223"/>
      <c r="G167" s="221"/>
    </row>
    <row r="168" spans="2:7" ht="30" customHeight="1" thickBot="1" x14ac:dyDescent="0.3">
      <c r="B168" s="221"/>
      <c r="C168" s="221"/>
      <c r="D168" s="223"/>
      <c r="E168" s="221"/>
      <c r="F168" s="223"/>
      <c r="G168" s="221"/>
    </row>
    <row r="169" spans="2:7" ht="30" customHeight="1" thickBot="1" x14ac:dyDescent="0.3">
      <c r="B169" s="221"/>
      <c r="C169" s="221"/>
      <c r="D169" s="223" t="s">
        <v>2730</v>
      </c>
      <c r="E169" s="221"/>
      <c r="F169" s="223"/>
      <c r="G169" s="221"/>
    </row>
    <row r="170" spans="2:7" ht="30" customHeight="1" thickBot="1" x14ac:dyDescent="0.3">
      <c r="B170" s="221"/>
      <c r="C170" s="221"/>
      <c r="D170" s="223"/>
      <c r="E170" s="221"/>
      <c r="F170" s="223"/>
      <c r="G170" s="221"/>
    </row>
    <row r="171" spans="2:7" ht="30" customHeight="1" thickBot="1" x14ac:dyDescent="0.3">
      <c r="B171" s="221" t="s">
        <v>2731</v>
      </c>
      <c r="C171" s="221" t="s">
        <v>2654</v>
      </c>
      <c r="D171" s="223"/>
      <c r="E171" s="221" t="s">
        <v>7135</v>
      </c>
      <c r="F171" s="221" t="s">
        <v>2732</v>
      </c>
      <c r="G171" s="221" t="s">
        <v>322</v>
      </c>
    </row>
    <row r="172" spans="2:7" ht="30" customHeight="1" thickBot="1" x14ac:dyDescent="0.3">
      <c r="B172" s="221"/>
      <c r="C172" s="221"/>
      <c r="D172" s="222" t="s">
        <v>2733</v>
      </c>
      <c r="E172" s="221"/>
      <c r="F172" s="221"/>
      <c r="G172" s="221"/>
    </row>
    <row r="173" spans="2:7" ht="30" customHeight="1" thickBot="1" x14ac:dyDescent="0.3">
      <c r="B173" s="221"/>
      <c r="C173" s="221"/>
      <c r="D173" s="223"/>
      <c r="E173" s="221"/>
      <c r="F173" s="221"/>
      <c r="G173" s="221"/>
    </row>
    <row r="174" spans="2:7" ht="30" customHeight="1" thickBot="1" x14ac:dyDescent="0.3">
      <c r="B174" s="221"/>
      <c r="C174" s="221"/>
      <c r="D174" s="223" t="s">
        <v>9844</v>
      </c>
      <c r="E174" s="221"/>
      <c r="F174" s="221"/>
      <c r="G174" s="221"/>
    </row>
    <row r="175" spans="2:7" ht="30" customHeight="1" thickBot="1" x14ac:dyDescent="0.3">
      <c r="B175" s="221"/>
      <c r="C175" s="221"/>
      <c r="D175" s="223"/>
      <c r="E175" s="221"/>
      <c r="F175" s="221"/>
      <c r="G175" s="221"/>
    </row>
    <row r="176" spans="2:7" ht="30" customHeight="1" thickBot="1" x14ac:dyDescent="0.3">
      <c r="B176" s="221"/>
      <c r="C176" s="221"/>
      <c r="D176" s="223" t="s">
        <v>2734</v>
      </c>
      <c r="E176" s="221"/>
      <c r="F176" s="221"/>
      <c r="G176" s="221"/>
    </row>
    <row r="177" spans="2:7" ht="30" customHeight="1" thickBot="1" x14ac:dyDescent="0.3">
      <c r="B177" s="221"/>
      <c r="C177" s="221"/>
      <c r="D177" s="223"/>
      <c r="E177" s="221"/>
      <c r="F177" s="221"/>
      <c r="G177" s="221"/>
    </row>
    <row r="178" spans="2:7" ht="30" customHeight="1" thickBot="1" x14ac:dyDescent="0.3">
      <c r="B178" s="221" t="s">
        <v>2735</v>
      </c>
      <c r="C178" s="221" t="s">
        <v>2654</v>
      </c>
      <c r="D178" s="222" t="s">
        <v>2736</v>
      </c>
      <c r="E178" s="221" t="s">
        <v>7211</v>
      </c>
      <c r="F178" s="221" t="s">
        <v>2737</v>
      </c>
      <c r="G178" s="221" t="s">
        <v>322</v>
      </c>
    </row>
    <row r="179" spans="2:7" ht="30" customHeight="1" thickBot="1" x14ac:dyDescent="0.3">
      <c r="B179" s="221"/>
      <c r="C179" s="221"/>
      <c r="D179" s="223"/>
      <c r="E179" s="221"/>
      <c r="F179" s="221"/>
      <c r="G179" s="221"/>
    </row>
    <row r="180" spans="2:7" ht="30" customHeight="1" thickBot="1" x14ac:dyDescent="0.3">
      <c r="B180" s="221"/>
      <c r="C180" s="221"/>
      <c r="D180" s="223" t="s">
        <v>2738</v>
      </c>
      <c r="E180" s="221"/>
      <c r="F180" s="221"/>
      <c r="G180" s="221"/>
    </row>
    <row r="181" spans="2:7" ht="30" customHeight="1" thickBot="1" x14ac:dyDescent="0.3">
      <c r="B181" s="221"/>
      <c r="C181" s="221"/>
      <c r="D181" s="223"/>
      <c r="E181" s="221"/>
      <c r="F181" s="221"/>
      <c r="G181" s="221"/>
    </row>
    <row r="182" spans="2:7" ht="30" customHeight="1" thickBot="1" x14ac:dyDescent="0.3">
      <c r="B182" s="221"/>
      <c r="C182" s="221"/>
      <c r="D182" s="223" t="s">
        <v>9845</v>
      </c>
      <c r="E182" s="221"/>
      <c r="F182" s="221"/>
      <c r="G182" s="221"/>
    </row>
    <row r="183" spans="2:7" ht="30" customHeight="1" thickBot="1" x14ac:dyDescent="0.3">
      <c r="B183" s="221"/>
      <c r="C183" s="221"/>
      <c r="D183" s="223"/>
      <c r="E183" s="221"/>
      <c r="F183" s="221"/>
      <c r="G183" s="221"/>
    </row>
    <row r="184" spans="2:7" ht="30" customHeight="1" thickBot="1" x14ac:dyDescent="0.3">
      <c r="B184" s="221"/>
      <c r="C184" s="221"/>
      <c r="D184" s="223" t="s">
        <v>2739</v>
      </c>
      <c r="E184" s="221"/>
      <c r="F184" s="221"/>
      <c r="G184" s="221"/>
    </row>
    <row r="185" spans="2:7" ht="30" customHeight="1" thickBot="1" x14ac:dyDescent="0.3">
      <c r="B185" s="221"/>
      <c r="C185" s="221"/>
      <c r="D185" s="223"/>
      <c r="E185" s="221"/>
      <c r="F185" s="221"/>
      <c r="G185" s="221"/>
    </row>
    <row r="186" spans="2:7" ht="30" customHeight="1" thickBot="1" x14ac:dyDescent="0.3">
      <c r="B186" s="221"/>
      <c r="C186" s="221"/>
      <c r="D186" s="225" t="s">
        <v>9846</v>
      </c>
      <c r="E186" s="221"/>
      <c r="F186" s="221"/>
      <c r="G186" s="221"/>
    </row>
    <row r="187" spans="2:7" ht="30" customHeight="1" thickBot="1" x14ac:dyDescent="0.3">
      <c r="B187" s="221"/>
      <c r="C187" s="221"/>
      <c r="D187" s="225"/>
      <c r="E187" s="221"/>
      <c r="F187" s="221"/>
      <c r="G187" s="221"/>
    </row>
    <row r="188" spans="2:7" ht="30" customHeight="1" thickBot="1" x14ac:dyDescent="0.3">
      <c r="B188" s="221"/>
      <c r="C188" s="221"/>
      <c r="D188" s="225" t="s">
        <v>9847</v>
      </c>
      <c r="E188" s="221"/>
      <c r="F188" s="221"/>
      <c r="G188" s="221"/>
    </row>
    <row r="189" spans="2:7" ht="30" customHeight="1" thickBot="1" x14ac:dyDescent="0.3">
      <c r="B189" s="221" t="s">
        <v>2740</v>
      </c>
      <c r="C189" s="221" t="s">
        <v>2654</v>
      </c>
      <c r="D189" s="222" t="s">
        <v>2741</v>
      </c>
      <c r="E189" s="221" t="s">
        <v>8683</v>
      </c>
      <c r="F189" s="223" t="s">
        <v>2742</v>
      </c>
      <c r="G189" s="221" t="s">
        <v>322</v>
      </c>
    </row>
    <row r="190" spans="2:7" ht="30" customHeight="1" thickBot="1" x14ac:dyDescent="0.3">
      <c r="B190" s="221"/>
      <c r="C190" s="221"/>
      <c r="D190" s="223"/>
      <c r="E190" s="221"/>
      <c r="F190" s="223" t="s">
        <v>2743</v>
      </c>
      <c r="G190" s="221"/>
    </row>
    <row r="191" spans="2:7" ht="30" customHeight="1" thickBot="1" x14ac:dyDescent="0.3">
      <c r="B191" s="221"/>
      <c r="C191" s="221"/>
      <c r="D191" s="223" t="s">
        <v>2744</v>
      </c>
      <c r="E191" s="221"/>
      <c r="F191" s="223"/>
      <c r="G191" s="221"/>
    </row>
    <row r="192" spans="2:7" ht="30" customHeight="1" thickBot="1" x14ac:dyDescent="0.3">
      <c r="B192" s="221"/>
      <c r="C192" s="221"/>
      <c r="D192" s="223"/>
      <c r="E192" s="221"/>
      <c r="F192" s="223"/>
      <c r="G192" s="221"/>
    </row>
    <row r="193" spans="2:7" ht="30" customHeight="1" thickBot="1" x14ac:dyDescent="0.3">
      <c r="B193" s="221"/>
      <c r="C193" s="221"/>
      <c r="D193" s="223" t="s">
        <v>2745</v>
      </c>
      <c r="E193" s="221"/>
      <c r="F193" s="223"/>
      <c r="G193" s="221"/>
    </row>
    <row r="194" spans="2:7" ht="30" customHeight="1" thickBot="1" x14ac:dyDescent="0.3">
      <c r="B194" s="221"/>
      <c r="C194" s="221"/>
      <c r="D194" s="223"/>
      <c r="E194" s="221"/>
      <c r="F194" s="223"/>
      <c r="G194" s="221"/>
    </row>
    <row r="195" spans="2:7" ht="30" customHeight="1" thickBot="1" x14ac:dyDescent="0.3">
      <c r="B195" s="221"/>
      <c r="C195" s="221"/>
      <c r="D195" s="223" t="s">
        <v>9848</v>
      </c>
      <c r="E195" s="221"/>
      <c r="F195" s="223"/>
      <c r="G195" s="221"/>
    </row>
    <row r="196" spans="2:7" ht="30" customHeight="1" thickBot="1" x14ac:dyDescent="0.3">
      <c r="B196" s="221"/>
      <c r="C196" s="221"/>
      <c r="D196" s="223"/>
      <c r="E196" s="221"/>
      <c r="F196" s="223"/>
      <c r="G196" s="221"/>
    </row>
    <row r="197" spans="2:7" ht="30" customHeight="1" thickBot="1" x14ac:dyDescent="0.3">
      <c r="B197" s="221"/>
      <c r="C197" s="221"/>
      <c r="D197" s="223" t="s">
        <v>2746</v>
      </c>
      <c r="E197" s="221"/>
      <c r="F197" s="223"/>
      <c r="G197" s="221"/>
    </row>
    <row r="198" spans="2:7" ht="30" customHeight="1" thickBot="1" x14ac:dyDescent="0.3">
      <c r="B198" s="221"/>
      <c r="C198" s="221"/>
      <c r="D198" s="223"/>
      <c r="E198" s="221"/>
      <c r="F198" s="223"/>
      <c r="G198" s="221"/>
    </row>
    <row r="199" spans="2:7" ht="30" customHeight="1" thickBot="1" x14ac:dyDescent="0.3">
      <c r="B199" s="221"/>
      <c r="C199" s="221"/>
      <c r="D199" s="223" t="s">
        <v>2747</v>
      </c>
      <c r="E199" s="221"/>
      <c r="F199" s="223"/>
      <c r="G199" s="221"/>
    </row>
    <row r="200" spans="2:7" ht="30" customHeight="1" thickBot="1" x14ac:dyDescent="0.3">
      <c r="B200" s="221"/>
      <c r="C200" s="221"/>
      <c r="D200" s="223"/>
      <c r="E200" s="221"/>
      <c r="F200" s="223"/>
      <c r="G200" s="221"/>
    </row>
    <row r="201" spans="2:7" ht="30" customHeight="1" thickBot="1" x14ac:dyDescent="0.3">
      <c r="B201" s="221"/>
      <c r="C201" s="221"/>
      <c r="D201" s="223" t="s">
        <v>2748</v>
      </c>
      <c r="E201" s="221"/>
      <c r="F201" s="223"/>
      <c r="G201" s="221"/>
    </row>
    <row r="202" spans="2:7" ht="30" customHeight="1" thickBot="1" x14ac:dyDescent="0.3">
      <c r="B202" s="221"/>
      <c r="C202" s="221"/>
      <c r="D202" s="223"/>
      <c r="E202" s="221"/>
      <c r="F202" s="223"/>
      <c r="G202" s="221"/>
    </row>
    <row r="203" spans="2:7" ht="30" customHeight="1" thickBot="1" x14ac:dyDescent="0.3">
      <c r="B203" s="221" t="s">
        <v>2749</v>
      </c>
      <c r="C203" s="221" t="s">
        <v>2654</v>
      </c>
      <c r="D203" s="222" t="s">
        <v>2750</v>
      </c>
      <c r="E203" s="221" t="s">
        <v>8253</v>
      </c>
      <c r="F203" s="221" t="s">
        <v>2751</v>
      </c>
      <c r="G203" s="221" t="s">
        <v>120</v>
      </c>
    </row>
    <row r="204" spans="2:7" ht="30" customHeight="1" thickBot="1" x14ac:dyDescent="0.3">
      <c r="B204" s="221"/>
      <c r="C204" s="221"/>
      <c r="D204" s="223"/>
      <c r="E204" s="221"/>
      <c r="F204" s="221"/>
      <c r="G204" s="221"/>
    </row>
    <row r="205" spans="2:7" ht="30" customHeight="1" thickBot="1" x14ac:dyDescent="0.3">
      <c r="B205" s="221"/>
      <c r="C205" s="221"/>
      <c r="D205" s="223" t="s">
        <v>9849</v>
      </c>
      <c r="E205" s="221"/>
      <c r="F205" s="221"/>
      <c r="G205" s="221"/>
    </row>
    <row r="206" spans="2:7" ht="30" customHeight="1" thickBot="1" x14ac:dyDescent="0.3">
      <c r="B206" s="221"/>
      <c r="C206" s="221"/>
      <c r="D206" s="223"/>
      <c r="E206" s="221"/>
      <c r="F206" s="221"/>
      <c r="G206" s="221"/>
    </row>
    <row r="207" spans="2:7" ht="30" customHeight="1" thickBot="1" x14ac:dyDescent="0.3">
      <c r="B207" s="221"/>
      <c r="C207" s="221"/>
      <c r="D207" s="223" t="s">
        <v>2752</v>
      </c>
      <c r="E207" s="221"/>
      <c r="F207" s="221"/>
      <c r="G207" s="221"/>
    </row>
    <row r="208" spans="2:7" ht="30" customHeight="1" thickBot="1" x14ac:dyDescent="0.3">
      <c r="B208" s="221"/>
      <c r="C208" s="221"/>
      <c r="D208" s="223"/>
      <c r="E208" s="221"/>
      <c r="F208" s="221"/>
      <c r="G208" s="221"/>
    </row>
    <row r="209" spans="2:7" ht="30" customHeight="1" thickBot="1" x14ac:dyDescent="0.3">
      <c r="B209" s="221"/>
      <c r="C209" s="221"/>
      <c r="D209" s="223" t="s">
        <v>9850</v>
      </c>
      <c r="E209" s="221"/>
      <c r="F209" s="221"/>
      <c r="G209" s="221"/>
    </row>
    <row r="210" spans="2:7" ht="30" customHeight="1" thickBot="1" x14ac:dyDescent="0.3">
      <c r="B210" s="221"/>
      <c r="C210" s="221"/>
      <c r="D210" s="223"/>
      <c r="E210" s="221"/>
      <c r="F210" s="221"/>
      <c r="G210" s="221"/>
    </row>
    <row r="211" spans="2:7" ht="30" customHeight="1" thickBot="1" x14ac:dyDescent="0.3">
      <c r="B211" s="221"/>
      <c r="C211" s="221"/>
      <c r="D211" s="223" t="s">
        <v>2753</v>
      </c>
      <c r="E211" s="221"/>
      <c r="F211" s="221"/>
      <c r="G211" s="221"/>
    </row>
    <row r="212" spans="2:7" ht="30" customHeight="1" thickBot="1" x14ac:dyDescent="0.3">
      <c r="B212" s="221"/>
      <c r="C212" s="221"/>
      <c r="D212" s="223"/>
      <c r="E212" s="221"/>
      <c r="F212" s="221"/>
      <c r="G212" s="221"/>
    </row>
    <row r="213" spans="2:7" ht="30" customHeight="1" thickBot="1" x14ac:dyDescent="0.3">
      <c r="B213" s="221"/>
      <c r="C213" s="221"/>
      <c r="D213" s="223" t="s">
        <v>9851</v>
      </c>
      <c r="E213" s="221"/>
      <c r="F213" s="221"/>
      <c r="G213" s="221"/>
    </row>
    <row r="214" spans="2:7" ht="30" customHeight="1" thickBot="1" x14ac:dyDescent="0.3">
      <c r="B214" s="221"/>
      <c r="C214" s="221"/>
      <c r="D214" s="223"/>
      <c r="E214" s="221"/>
      <c r="F214" s="221"/>
      <c r="G214" s="221"/>
    </row>
    <row r="215" spans="2:7" ht="30" customHeight="1" thickBot="1" x14ac:dyDescent="0.3">
      <c r="B215" s="221" t="s">
        <v>2754</v>
      </c>
      <c r="C215" s="221" t="s">
        <v>2654</v>
      </c>
      <c r="D215" s="222" t="s">
        <v>2755</v>
      </c>
      <c r="E215" s="221" t="s">
        <v>8684</v>
      </c>
      <c r="F215" s="221" t="s">
        <v>2756</v>
      </c>
      <c r="G215" s="221" t="s">
        <v>322</v>
      </c>
    </row>
    <row r="216" spans="2:7" ht="30" customHeight="1" thickBot="1" x14ac:dyDescent="0.3">
      <c r="B216" s="221"/>
      <c r="C216" s="221"/>
      <c r="D216" s="223"/>
      <c r="E216" s="221"/>
      <c r="F216" s="221"/>
      <c r="G216" s="221"/>
    </row>
    <row r="217" spans="2:7" ht="30" customHeight="1" thickBot="1" x14ac:dyDescent="0.3">
      <c r="B217" s="221"/>
      <c r="C217" s="221"/>
      <c r="D217" s="223" t="s">
        <v>2757</v>
      </c>
      <c r="E217" s="221"/>
      <c r="F217" s="221"/>
      <c r="G217" s="221"/>
    </row>
    <row r="218" spans="2:7" ht="30" customHeight="1" thickBot="1" x14ac:dyDescent="0.3">
      <c r="B218" s="221" t="s">
        <v>2758</v>
      </c>
      <c r="C218" s="221" t="s">
        <v>2654</v>
      </c>
      <c r="D218" s="222" t="s">
        <v>2759</v>
      </c>
      <c r="E218" s="221" t="s">
        <v>8059</v>
      </c>
      <c r="F218" s="223"/>
      <c r="G218" s="221" t="s">
        <v>322</v>
      </c>
    </row>
    <row r="219" spans="2:7" ht="30" customHeight="1" thickBot="1" x14ac:dyDescent="0.3">
      <c r="B219" s="221"/>
      <c r="C219" s="221"/>
      <c r="D219" s="223"/>
      <c r="E219" s="221"/>
      <c r="F219" s="223" t="s">
        <v>2760</v>
      </c>
      <c r="G219" s="221"/>
    </row>
    <row r="220" spans="2:7" ht="30" customHeight="1" thickBot="1" x14ac:dyDescent="0.3">
      <c r="B220" s="221"/>
      <c r="C220" s="221"/>
      <c r="D220" s="223" t="s">
        <v>2761</v>
      </c>
      <c r="E220" s="221"/>
      <c r="F220" s="223"/>
      <c r="G220" s="221"/>
    </row>
    <row r="221" spans="2:7" ht="30" customHeight="1" thickBot="1" x14ac:dyDescent="0.3">
      <c r="B221" s="221"/>
      <c r="C221" s="221"/>
      <c r="D221" s="223"/>
      <c r="E221" s="221"/>
      <c r="F221" s="223"/>
      <c r="G221" s="221"/>
    </row>
    <row r="222" spans="2:7" ht="30" customHeight="1" thickBot="1" x14ac:dyDescent="0.3">
      <c r="B222" s="221"/>
      <c r="C222" s="221"/>
      <c r="D222" s="223" t="s">
        <v>2762</v>
      </c>
      <c r="E222" s="221"/>
      <c r="F222" s="223"/>
      <c r="G222" s="221"/>
    </row>
    <row r="223" spans="2:7" ht="30" customHeight="1" thickBot="1" x14ac:dyDescent="0.3">
      <c r="B223" s="221" t="s">
        <v>2763</v>
      </c>
      <c r="C223" s="221" t="s">
        <v>2654</v>
      </c>
      <c r="D223" s="223"/>
      <c r="E223" s="221" t="s">
        <v>7212</v>
      </c>
      <c r="F223" s="221" t="s">
        <v>2764</v>
      </c>
      <c r="G223" s="221" t="s">
        <v>322</v>
      </c>
    </row>
    <row r="224" spans="2:7" ht="30" customHeight="1" thickBot="1" x14ac:dyDescent="0.3">
      <c r="B224" s="221"/>
      <c r="C224" s="221"/>
      <c r="D224" s="222" t="s">
        <v>2765</v>
      </c>
      <c r="E224" s="221"/>
      <c r="F224" s="221"/>
      <c r="G224" s="221"/>
    </row>
    <row r="225" spans="2:7" ht="30" customHeight="1" thickBot="1" x14ac:dyDescent="0.3">
      <c r="B225" s="221"/>
      <c r="C225" s="221"/>
      <c r="D225" s="223"/>
      <c r="E225" s="221"/>
      <c r="F225" s="221"/>
      <c r="G225" s="221"/>
    </row>
    <row r="226" spans="2:7" ht="30" customHeight="1" thickBot="1" x14ac:dyDescent="0.3">
      <c r="B226" s="221"/>
      <c r="C226" s="221"/>
      <c r="D226" s="223" t="s">
        <v>9852</v>
      </c>
      <c r="E226" s="221"/>
      <c r="F226" s="221"/>
      <c r="G226" s="221"/>
    </row>
    <row r="227" spans="2:7" ht="30" customHeight="1" thickBot="1" x14ac:dyDescent="0.3">
      <c r="B227" s="221"/>
      <c r="C227" s="221"/>
      <c r="D227" s="223"/>
      <c r="E227" s="221"/>
      <c r="F227" s="221"/>
      <c r="G227" s="221"/>
    </row>
    <row r="228" spans="2:7" ht="30" customHeight="1" thickBot="1" x14ac:dyDescent="0.3">
      <c r="B228" s="221"/>
      <c r="C228" s="221"/>
      <c r="D228" s="223" t="s">
        <v>2766</v>
      </c>
      <c r="E228" s="221"/>
      <c r="F228" s="221"/>
      <c r="G228" s="221"/>
    </row>
    <row r="229" spans="2:7" ht="30" customHeight="1" thickBot="1" x14ac:dyDescent="0.3">
      <c r="B229" s="221"/>
      <c r="C229" s="221"/>
      <c r="D229" s="223"/>
      <c r="E229" s="221"/>
      <c r="F229" s="221"/>
      <c r="G229" s="221"/>
    </row>
    <row r="230" spans="2:7" ht="30" customHeight="1" thickBot="1" x14ac:dyDescent="0.3">
      <c r="B230" s="221"/>
      <c r="C230" s="221"/>
      <c r="D230" s="223" t="s">
        <v>2767</v>
      </c>
      <c r="E230" s="221"/>
      <c r="F230" s="221"/>
      <c r="G230" s="221"/>
    </row>
    <row r="231" spans="2:7" ht="30" customHeight="1" thickBot="1" x14ac:dyDescent="0.3">
      <c r="B231" s="221" t="s">
        <v>2768</v>
      </c>
      <c r="C231" s="221" t="s">
        <v>2654</v>
      </c>
      <c r="D231" s="222" t="s">
        <v>2769</v>
      </c>
      <c r="E231" s="221" t="s">
        <v>7983</v>
      </c>
      <c r="F231" s="223"/>
      <c r="G231" s="221" t="s">
        <v>4041</v>
      </c>
    </row>
    <row r="232" spans="2:7" ht="30" customHeight="1" thickBot="1" x14ac:dyDescent="0.3">
      <c r="B232" s="221"/>
      <c r="C232" s="221"/>
      <c r="D232" s="223"/>
      <c r="E232" s="221"/>
      <c r="F232" s="223"/>
      <c r="G232" s="221"/>
    </row>
    <row r="233" spans="2:7" ht="30" customHeight="1" thickBot="1" x14ac:dyDescent="0.3">
      <c r="B233" s="221"/>
      <c r="C233" s="221"/>
      <c r="D233" s="223" t="s">
        <v>2770</v>
      </c>
      <c r="E233" s="221"/>
      <c r="F233" s="223" t="s">
        <v>2771</v>
      </c>
      <c r="G233" s="221"/>
    </row>
    <row r="234" spans="2:7" ht="30" customHeight="1" thickBot="1" x14ac:dyDescent="0.3">
      <c r="B234" s="221"/>
      <c r="C234" s="221"/>
      <c r="D234" s="223"/>
      <c r="E234" s="221"/>
      <c r="F234" s="223"/>
      <c r="G234" s="221"/>
    </row>
    <row r="235" spans="2:7" ht="30" customHeight="1" thickBot="1" x14ac:dyDescent="0.3">
      <c r="B235" s="221"/>
      <c r="C235" s="221"/>
      <c r="D235" s="223" t="s">
        <v>2772</v>
      </c>
      <c r="E235" s="221"/>
      <c r="F235" s="223"/>
      <c r="G235" s="221"/>
    </row>
    <row r="236" spans="2:7" ht="30" customHeight="1" thickBot="1" x14ac:dyDescent="0.3">
      <c r="B236" s="221"/>
      <c r="C236" s="221"/>
      <c r="D236" s="223"/>
      <c r="E236" s="221"/>
      <c r="F236" s="223"/>
      <c r="G236" s="221"/>
    </row>
    <row r="237" spans="2:7" ht="30" customHeight="1" thickBot="1" x14ac:dyDescent="0.3">
      <c r="B237" s="221"/>
      <c r="C237" s="221"/>
      <c r="D237" s="223" t="s">
        <v>2773</v>
      </c>
      <c r="E237" s="221"/>
      <c r="F237" s="223"/>
      <c r="G237" s="221"/>
    </row>
    <row r="238" spans="2:7" ht="30" customHeight="1" thickBot="1" x14ac:dyDescent="0.3">
      <c r="B238" s="221"/>
      <c r="C238" s="221"/>
      <c r="D238" s="223"/>
      <c r="E238" s="221"/>
      <c r="F238" s="223"/>
      <c r="G238" s="221"/>
    </row>
    <row r="239" spans="2:7" ht="30" customHeight="1" thickBot="1" x14ac:dyDescent="0.3">
      <c r="B239" s="221"/>
      <c r="C239" s="221"/>
      <c r="D239" s="223" t="s">
        <v>2774</v>
      </c>
      <c r="E239" s="221"/>
      <c r="F239" s="223"/>
      <c r="G239" s="221"/>
    </row>
    <row r="240" spans="2:7" ht="30" customHeight="1" thickBot="1" x14ac:dyDescent="0.3">
      <c r="B240" s="221" t="s">
        <v>2775</v>
      </c>
      <c r="C240" s="221" t="s">
        <v>2654</v>
      </c>
      <c r="D240" s="222" t="s">
        <v>9853</v>
      </c>
      <c r="E240" s="221" t="s">
        <v>9096</v>
      </c>
      <c r="F240" s="221" t="s">
        <v>2776</v>
      </c>
      <c r="G240" s="221" t="s">
        <v>108</v>
      </c>
    </row>
    <row r="241" spans="2:7" ht="30" customHeight="1" thickBot="1" x14ac:dyDescent="0.3">
      <c r="B241" s="221"/>
      <c r="C241" s="221"/>
      <c r="D241" s="223"/>
      <c r="E241" s="221"/>
      <c r="F241" s="221"/>
      <c r="G241" s="221"/>
    </row>
    <row r="242" spans="2:7" ht="30" customHeight="1" thickBot="1" x14ac:dyDescent="0.3">
      <c r="B242" s="221"/>
      <c r="C242" s="221"/>
      <c r="D242" s="223" t="s">
        <v>9854</v>
      </c>
      <c r="E242" s="221"/>
      <c r="F242" s="221"/>
      <c r="G242" s="221"/>
    </row>
    <row r="243" spans="2:7" ht="30" customHeight="1" thickBot="1" x14ac:dyDescent="0.3">
      <c r="B243" s="221"/>
      <c r="C243" s="221"/>
      <c r="D243" s="223"/>
      <c r="E243" s="221"/>
      <c r="F243" s="221"/>
      <c r="G243" s="221"/>
    </row>
    <row r="244" spans="2:7" ht="30" customHeight="1" thickBot="1" x14ac:dyDescent="0.3">
      <c r="B244" s="221"/>
      <c r="C244" s="221"/>
      <c r="D244" s="223" t="s">
        <v>9855</v>
      </c>
      <c r="E244" s="221"/>
      <c r="F244" s="221"/>
      <c r="G244" s="221"/>
    </row>
    <row r="245" spans="2:7" ht="30" customHeight="1" thickBot="1" x14ac:dyDescent="0.3">
      <c r="B245" s="221"/>
      <c r="C245" s="221"/>
      <c r="D245" s="223"/>
      <c r="E245" s="221"/>
      <c r="F245" s="221"/>
      <c r="G245" s="221"/>
    </row>
    <row r="246" spans="2:7" ht="30" customHeight="1" thickBot="1" x14ac:dyDescent="0.3">
      <c r="B246" s="221"/>
      <c r="C246" s="221"/>
      <c r="D246" s="223" t="s">
        <v>2777</v>
      </c>
      <c r="E246" s="221"/>
      <c r="F246" s="221"/>
      <c r="G246" s="221"/>
    </row>
    <row r="247" spans="2:7" ht="30" customHeight="1" thickBot="1" x14ac:dyDescent="0.3">
      <c r="B247" s="221"/>
      <c r="C247" s="221"/>
      <c r="D247" s="223"/>
      <c r="E247" s="221"/>
      <c r="F247" s="221"/>
      <c r="G247" s="221"/>
    </row>
    <row r="248" spans="2:7" ht="30" customHeight="1" thickBot="1" x14ac:dyDescent="0.3">
      <c r="B248" s="221"/>
      <c r="C248" s="221"/>
      <c r="D248" s="225" t="s">
        <v>2778</v>
      </c>
      <c r="E248" s="221"/>
      <c r="F248" s="221"/>
      <c r="G248" s="221"/>
    </row>
    <row r="249" spans="2:7" ht="30" customHeight="1" thickBot="1" x14ac:dyDescent="0.3">
      <c r="B249" s="221"/>
      <c r="C249" s="221"/>
      <c r="D249" s="225" t="s">
        <v>9856</v>
      </c>
      <c r="E249" s="221"/>
      <c r="F249" s="221"/>
      <c r="G249" s="221"/>
    </row>
    <row r="250" spans="2:7" ht="30" customHeight="1" thickBot="1" x14ac:dyDescent="0.3">
      <c r="B250" s="221"/>
      <c r="C250" s="221"/>
      <c r="D250" s="225"/>
      <c r="E250" s="221"/>
      <c r="F250" s="221"/>
      <c r="G250" s="221"/>
    </row>
    <row r="251" spans="2:7" ht="30" customHeight="1" thickBot="1" x14ac:dyDescent="0.3">
      <c r="B251" s="221"/>
      <c r="C251" s="221"/>
      <c r="D251" s="225" t="s">
        <v>1546</v>
      </c>
      <c r="E251" s="221"/>
      <c r="F251" s="221"/>
      <c r="G251" s="221"/>
    </row>
    <row r="252" spans="2:7" ht="30" customHeight="1" thickBot="1" x14ac:dyDescent="0.3">
      <c r="B252" s="221"/>
      <c r="C252" s="221"/>
      <c r="D252" s="225"/>
      <c r="E252" s="221"/>
      <c r="F252" s="221"/>
      <c r="G252" s="221"/>
    </row>
    <row r="253" spans="2:7" ht="30" customHeight="1" thickBot="1" x14ac:dyDescent="0.3">
      <c r="B253" s="221"/>
      <c r="C253" s="221"/>
      <c r="D253" s="225" t="s">
        <v>9857</v>
      </c>
      <c r="E253" s="221"/>
      <c r="F253" s="221"/>
      <c r="G253" s="221"/>
    </row>
    <row r="254" spans="2:7" ht="30" customHeight="1" thickBot="1" x14ac:dyDescent="0.3">
      <c r="B254" s="221"/>
      <c r="C254" s="221"/>
      <c r="D254" s="223"/>
      <c r="E254" s="221"/>
      <c r="F254" s="221"/>
      <c r="G254" s="221"/>
    </row>
    <row r="255" spans="2:7" ht="30" customHeight="1" thickBot="1" x14ac:dyDescent="0.3">
      <c r="B255" s="221"/>
      <c r="C255" s="221"/>
      <c r="D255" s="223" t="s">
        <v>2779</v>
      </c>
      <c r="E255" s="221"/>
      <c r="F255" s="221"/>
      <c r="G255" s="221"/>
    </row>
    <row r="256" spans="2:7" ht="30" customHeight="1" thickBot="1" x14ac:dyDescent="0.3">
      <c r="B256" s="221"/>
      <c r="C256" s="221"/>
      <c r="D256" s="223"/>
      <c r="E256" s="221"/>
      <c r="F256" s="221"/>
      <c r="G256" s="221"/>
    </row>
    <row r="257" spans="2:7" ht="30" customHeight="1" thickBot="1" x14ac:dyDescent="0.3">
      <c r="B257" s="221" t="s">
        <v>2780</v>
      </c>
      <c r="C257" s="221" t="s">
        <v>2654</v>
      </c>
      <c r="D257" s="222" t="s">
        <v>9858</v>
      </c>
      <c r="E257" s="221" t="s">
        <v>8623</v>
      </c>
      <c r="F257" s="221" t="s">
        <v>2781</v>
      </c>
      <c r="G257" s="221" t="s">
        <v>108</v>
      </c>
    </row>
    <row r="258" spans="2:7" ht="30" customHeight="1" thickBot="1" x14ac:dyDescent="0.3">
      <c r="B258" s="221"/>
      <c r="C258" s="221"/>
      <c r="D258" s="223"/>
      <c r="E258" s="221"/>
      <c r="F258" s="221"/>
      <c r="G258" s="221"/>
    </row>
    <row r="259" spans="2:7" ht="30" customHeight="1" thickBot="1" x14ac:dyDescent="0.3">
      <c r="B259" s="221"/>
      <c r="C259" s="221"/>
      <c r="D259" s="223" t="s">
        <v>9859</v>
      </c>
      <c r="E259" s="221"/>
      <c r="F259" s="221"/>
      <c r="G259" s="221"/>
    </row>
    <row r="260" spans="2:7" ht="30" customHeight="1" thickBot="1" x14ac:dyDescent="0.3">
      <c r="B260" s="221" t="s">
        <v>2782</v>
      </c>
      <c r="C260" s="221" t="s">
        <v>2654</v>
      </c>
      <c r="D260" s="222" t="s">
        <v>9860</v>
      </c>
      <c r="E260" s="221" t="s">
        <v>2783</v>
      </c>
      <c r="F260" s="221" t="s">
        <v>2781</v>
      </c>
      <c r="G260" s="221" t="s">
        <v>108</v>
      </c>
    </row>
    <row r="261" spans="2:7" ht="30" customHeight="1" thickBot="1" x14ac:dyDescent="0.3">
      <c r="B261" s="221"/>
      <c r="C261" s="221"/>
      <c r="D261" s="223"/>
      <c r="E261" s="221"/>
      <c r="F261" s="221"/>
      <c r="G261" s="221"/>
    </row>
    <row r="262" spans="2:7" ht="30" customHeight="1" thickBot="1" x14ac:dyDescent="0.3">
      <c r="B262" s="221"/>
      <c r="C262" s="221"/>
      <c r="D262" s="223" t="s">
        <v>9861</v>
      </c>
      <c r="E262" s="221"/>
      <c r="F262" s="221"/>
      <c r="G262" s="221"/>
    </row>
    <row r="263" spans="2:7" ht="30" customHeight="1" thickBot="1" x14ac:dyDescent="0.3">
      <c r="B263" s="221"/>
      <c r="C263" s="221"/>
      <c r="D263" s="223"/>
      <c r="E263" s="221"/>
      <c r="F263" s="221"/>
      <c r="G263" s="221"/>
    </row>
    <row r="264" spans="2:7" ht="30" customHeight="1" thickBot="1" x14ac:dyDescent="0.3">
      <c r="B264" s="221"/>
      <c r="C264" s="221"/>
      <c r="D264" s="223" t="s">
        <v>2784</v>
      </c>
      <c r="E264" s="221"/>
      <c r="F264" s="221"/>
      <c r="G264" s="221"/>
    </row>
    <row r="265" spans="2:7" ht="30" customHeight="1" thickBot="1" x14ac:dyDescent="0.3">
      <c r="B265" s="221" t="s">
        <v>2785</v>
      </c>
      <c r="C265" s="221" t="s">
        <v>2654</v>
      </c>
      <c r="D265" s="223"/>
      <c r="E265" s="221" t="s">
        <v>2786</v>
      </c>
      <c r="F265" s="223"/>
      <c r="G265" s="221" t="s">
        <v>322</v>
      </c>
    </row>
    <row r="266" spans="2:7" ht="30" customHeight="1" thickBot="1" x14ac:dyDescent="0.3">
      <c r="B266" s="221"/>
      <c r="C266" s="221"/>
      <c r="D266" s="222" t="s">
        <v>2787</v>
      </c>
      <c r="E266" s="221"/>
      <c r="F266" s="223" t="s">
        <v>1173</v>
      </c>
      <c r="G266" s="221"/>
    </row>
    <row r="267" spans="2:7" ht="30" customHeight="1" thickBot="1" x14ac:dyDescent="0.3">
      <c r="B267" s="221"/>
      <c r="C267" s="221"/>
      <c r="D267" s="223"/>
      <c r="E267" s="221"/>
      <c r="F267" s="223"/>
      <c r="G267" s="221"/>
    </row>
    <row r="268" spans="2:7" ht="30" customHeight="1" thickBot="1" x14ac:dyDescent="0.3">
      <c r="B268" s="221"/>
      <c r="C268" s="221"/>
      <c r="D268" s="223" t="s">
        <v>2788</v>
      </c>
      <c r="E268" s="221"/>
      <c r="F268" s="223" t="s">
        <v>2789</v>
      </c>
      <c r="G268" s="221"/>
    </row>
    <row r="269" spans="2:7" ht="30" customHeight="1" thickBot="1" x14ac:dyDescent="0.3">
      <c r="B269" s="221" t="s">
        <v>2790</v>
      </c>
      <c r="C269" s="221" t="s">
        <v>2654</v>
      </c>
      <c r="D269" s="222" t="s">
        <v>2653</v>
      </c>
      <c r="E269" s="221" t="s">
        <v>8685</v>
      </c>
      <c r="F269" s="223"/>
      <c r="G269" s="221" t="s">
        <v>322</v>
      </c>
    </row>
    <row r="270" spans="2:7" ht="30" customHeight="1" thickBot="1" x14ac:dyDescent="0.3">
      <c r="B270" s="221"/>
      <c r="C270" s="221"/>
      <c r="D270" s="223"/>
      <c r="E270" s="221"/>
      <c r="F270" s="223"/>
      <c r="G270" s="221"/>
    </row>
    <row r="271" spans="2:7" ht="30" customHeight="1" thickBot="1" x14ac:dyDescent="0.3">
      <c r="B271" s="221"/>
      <c r="C271" s="221"/>
      <c r="D271" s="223" t="s">
        <v>2791</v>
      </c>
      <c r="E271" s="221"/>
      <c r="F271" s="223" t="s">
        <v>1173</v>
      </c>
      <c r="G271" s="221"/>
    </row>
    <row r="272" spans="2:7" ht="30" customHeight="1" thickBot="1" x14ac:dyDescent="0.3">
      <c r="B272" s="221"/>
      <c r="C272" s="221"/>
      <c r="D272" s="223"/>
      <c r="E272" s="221"/>
      <c r="F272" s="223"/>
      <c r="G272" s="221"/>
    </row>
    <row r="273" spans="2:7" ht="30" customHeight="1" thickBot="1" x14ac:dyDescent="0.3">
      <c r="B273" s="221"/>
      <c r="C273" s="221"/>
      <c r="D273" s="223" t="s">
        <v>2792</v>
      </c>
      <c r="E273" s="221"/>
      <c r="F273" s="223" t="s">
        <v>2793</v>
      </c>
      <c r="G273" s="221"/>
    </row>
    <row r="274" spans="2:7" ht="30" customHeight="1" thickBot="1" x14ac:dyDescent="0.3">
      <c r="B274" s="221"/>
      <c r="C274" s="221"/>
      <c r="D274" s="223"/>
      <c r="E274" s="221"/>
      <c r="F274" s="223"/>
      <c r="G274" s="221"/>
    </row>
    <row r="275" spans="2:7" ht="30" customHeight="1" thickBot="1" x14ac:dyDescent="0.3">
      <c r="B275" s="221"/>
      <c r="C275" s="221"/>
      <c r="D275" s="225" t="s">
        <v>9862</v>
      </c>
      <c r="E275" s="221"/>
      <c r="F275" s="223"/>
      <c r="G275" s="221"/>
    </row>
    <row r="276" spans="2:7" ht="30" customHeight="1" thickBot="1" x14ac:dyDescent="0.3">
      <c r="B276" s="221"/>
      <c r="C276" s="221"/>
      <c r="D276" s="225"/>
      <c r="E276" s="221"/>
      <c r="F276" s="223"/>
      <c r="G276" s="221"/>
    </row>
    <row r="277" spans="2:7" ht="30" customHeight="1" thickBot="1" x14ac:dyDescent="0.3">
      <c r="B277" s="221"/>
      <c r="C277" s="221"/>
      <c r="D277" s="225" t="s">
        <v>9863</v>
      </c>
      <c r="E277" s="221"/>
      <c r="F277" s="223"/>
      <c r="G277" s="221"/>
    </row>
    <row r="278" spans="2:7" ht="30" customHeight="1" thickBot="1" x14ac:dyDescent="0.3">
      <c r="B278" s="221"/>
      <c r="C278" s="221"/>
      <c r="D278" s="225"/>
      <c r="E278" s="221"/>
      <c r="F278" s="223"/>
      <c r="G278" s="221"/>
    </row>
    <row r="279" spans="2:7" ht="30" customHeight="1" thickBot="1" x14ac:dyDescent="0.3">
      <c r="B279" s="221"/>
      <c r="C279" s="221"/>
      <c r="D279" s="223" t="s">
        <v>2794</v>
      </c>
      <c r="E279" s="221"/>
      <c r="F279" s="223"/>
      <c r="G279" s="221"/>
    </row>
    <row r="280" spans="2:7" ht="30" customHeight="1" thickBot="1" x14ac:dyDescent="0.3">
      <c r="B280" s="221" t="s">
        <v>2795</v>
      </c>
      <c r="C280" s="221" t="s">
        <v>2654</v>
      </c>
      <c r="D280" s="223"/>
      <c r="E280" s="221" t="s">
        <v>8516</v>
      </c>
      <c r="F280" s="223"/>
      <c r="G280" s="221" t="s">
        <v>322</v>
      </c>
    </row>
    <row r="281" spans="2:7" ht="30" customHeight="1" thickBot="1" x14ac:dyDescent="0.3">
      <c r="B281" s="221"/>
      <c r="C281" s="221"/>
      <c r="D281" s="222" t="s">
        <v>2796</v>
      </c>
      <c r="E281" s="221"/>
      <c r="F281" s="223"/>
      <c r="G281" s="221"/>
    </row>
    <row r="282" spans="2:7" ht="30" customHeight="1" thickBot="1" x14ac:dyDescent="0.3">
      <c r="B282" s="221"/>
      <c r="C282" s="221"/>
      <c r="D282" s="223"/>
      <c r="E282" s="221"/>
      <c r="F282" s="223" t="s">
        <v>1173</v>
      </c>
      <c r="G282" s="221"/>
    </row>
    <row r="283" spans="2:7" ht="30" customHeight="1" thickBot="1" x14ac:dyDescent="0.3">
      <c r="B283" s="221"/>
      <c r="C283" s="221"/>
      <c r="D283" s="223" t="s">
        <v>2797</v>
      </c>
      <c r="E283" s="221"/>
      <c r="F283" s="223" t="s">
        <v>2798</v>
      </c>
      <c r="G283" s="221"/>
    </row>
    <row r="284" spans="2:7" ht="30" customHeight="1" thickBot="1" x14ac:dyDescent="0.3">
      <c r="B284" s="221"/>
      <c r="C284" s="221"/>
      <c r="D284" s="223"/>
      <c r="E284" s="221"/>
      <c r="F284" s="223"/>
      <c r="G284" s="221"/>
    </row>
    <row r="285" spans="2:7" ht="30" customHeight="1" thickBot="1" x14ac:dyDescent="0.3">
      <c r="B285" s="221" t="s">
        <v>2799</v>
      </c>
      <c r="C285" s="221" t="s">
        <v>2654</v>
      </c>
      <c r="D285" s="222" t="s">
        <v>2800</v>
      </c>
      <c r="E285" s="221" t="s">
        <v>2801</v>
      </c>
      <c r="F285" s="223"/>
      <c r="G285" s="221" t="s">
        <v>322</v>
      </c>
    </row>
    <row r="286" spans="2:7" ht="30" customHeight="1" thickBot="1" x14ac:dyDescent="0.3">
      <c r="B286" s="221"/>
      <c r="C286" s="221"/>
      <c r="D286" s="223"/>
      <c r="E286" s="221"/>
      <c r="F286" s="223"/>
      <c r="G286" s="221"/>
    </row>
    <row r="287" spans="2:7" ht="30" customHeight="1" thickBot="1" x14ac:dyDescent="0.3">
      <c r="B287" s="221"/>
      <c r="C287" s="221"/>
      <c r="D287" s="223" t="s">
        <v>9864</v>
      </c>
      <c r="E287" s="221"/>
      <c r="F287" s="223" t="s">
        <v>2802</v>
      </c>
      <c r="G287" s="221"/>
    </row>
    <row r="288" spans="2:7" ht="30" customHeight="1" thickBot="1" x14ac:dyDescent="0.3">
      <c r="B288" s="221"/>
      <c r="C288" s="221"/>
      <c r="D288" s="223"/>
      <c r="E288" s="221"/>
      <c r="F288" s="223" t="s">
        <v>2803</v>
      </c>
      <c r="G288" s="221"/>
    </row>
    <row r="289" spans="2:7" ht="30" customHeight="1" thickBot="1" x14ac:dyDescent="0.3">
      <c r="B289" s="221"/>
      <c r="C289" s="221"/>
      <c r="D289" s="223" t="s">
        <v>9865</v>
      </c>
      <c r="E289" s="221"/>
      <c r="F289" s="223"/>
      <c r="G289" s="221"/>
    </row>
    <row r="290" spans="2:7" ht="30" customHeight="1" thickBot="1" x14ac:dyDescent="0.3">
      <c r="B290" s="221"/>
      <c r="C290" s="221"/>
      <c r="D290" s="223"/>
      <c r="E290" s="221"/>
      <c r="F290" s="223"/>
      <c r="G290" s="221"/>
    </row>
    <row r="291" spans="2:7" ht="30" customHeight="1" thickBot="1" x14ac:dyDescent="0.3">
      <c r="B291" s="221"/>
      <c r="C291" s="221"/>
      <c r="D291" s="223" t="s">
        <v>2804</v>
      </c>
      <c r="E291" s="221"/>
      <c r="F291" s="223"/>
      <c r="G291" s="221"/>
    </row>
    <row r="292" spans="2:7" ht="30" customHeight="1" thickBot="1" x14ac:dyDescent="0.3">
      <c r="B292" s="221" t="s">
        <v>2805</v>
      </c>
      <c r="C292" s="221" t="s">
        <v>2654</v>
      </c>
      <c r="D292" s="222" t="s">
        <v>2806</v>
      </c>
      <c r="E292" s="221" t="s">
        <v>8624</v>
      </c>
      <c r="F292" s="223" t="s">
        <v>2802</v>
      </c>
      <c r="G292" s="221" t="s">
        <v>108</v>
      </c>
    </row>
    <row r="293" spans="2:7" ht="30" customHeight="1" thickBot="1" x14ac:dyDescent="0.3">
      <c r="B293" s="221"/>
      <c r="C293" s="221"/>
      <c r="D293" s="223"/>
      <c r="E293" s="221"/>
      <c r="F293" s="223" t="s">
        <v>2807</v>
      </c>
      <c r="G293" s="221"/>
    </row>
    <row r="294" spans="2:7" ht="30" customHeight="1" thickBot="1" x14ac:dyDescent="0.3">
      <c r="B294" s="221"/>
      <c r="C294" s="221"/>
      <c r="D294" s="223" t="s">
        <v>2808</v>
      </c>
      <c r="E294" s="221"/>
      <c r="F294" s="223"/>
      <c r="G294" s="221"/>
    </row>
    <row r="295" spans="2:7" ht="30" customHeight="1" thickBot="1" x14ac:dyDescent="0.3">
      <c r="B295" s="221"/>
      <c r="C295" s="221"/>
      <c r="D295" s="223"/>
      <c r="E295" s="221"/>
      <c r="F295" s="223"/>
      <c r="G295" s="221"/>
    </row>
    <row r="296" spans="2:7" ht="30" customHeight="1" thickBot="1" x14ac:dyDescent="0.3">
      <c r="B296" s="221" t="s">
        <v>2809</v>
      </c>
      <c r="C296" s="221" t="s">
        <v>2654</v>
      </c>
      <c r="D296" s="222" t="s">
        <v>2810</v>
      </c>
      <c r="E296" s="221" t="s">
        <v>2811</v>
      </c>
      <c r="F296" s="223" t="s">
        <v>2802</v>
      </c>
      <c r="G296" s="221" t="s">
        <v>322</v>
      </c>
    </row>
    <row r="297" spans="2:7" ht="30" customHeight="1" thickBot="1" x14ac:dyDescent="0.3">
      <c r="B297" s="221"/>
      <c r="C297" s="221"/>
      <c r="D297" s="223"/>
      <c r="E297" s="221"/>
      <c r="F297" s="223" t="s">
        <v>2812</v>
      </c>
      <c r="G297" s="221"/>
    </row>
    <row r="298" spans="2:7" ht="30" customHeight="1" thickBot="1" x14ac:dyDescent="0.3">
      <c r="B298" s="221"/>
      <c r="C298" s="221"/>
      <c r="D298" s="223" t="s">
        <v>2813</v>
      </c>
      <c r="E298" s="221"/>
      <c r="F298" s="223"/>
      <c r="G298" s="221"/>
    </row>
    <row r="299" spans="2:7" ht="30" customHeight="1" thickBot="1" x14ac:dyDescent="0.3">
      <c r="B299" s="221" t="s">
        <v>2814</v>
      </c>
      <c r="C299" s="221" t="s">
        <v>2654</v>
      </c>
      <c r="D299" s="222" t="s">
        <v>2815</v>
      </c>
      <c r="E299" s="221" t="s">
        <v>8098</v>
      </c>
      <c r="F299" s="223" t="s">
        <v>2802</v>
      </c>
      <c r="G299" s="221" t="s">
        <v>74</v>
      </c>
    </row>
    <row r="300" spans="2:7" ht="30" customHeight="1" thickBot="1" x14ac:dyDescent="0.3">
      <c r="B300" s="221"/>
      <c r="C300" s="221"/>
      <c r="D300" s="223"/>
      <c r="E300" s="221"/>
      <c r="F300" s="223" t="s">
        <v>2816</v>
      </c>
      <c r="G300" s="221"/>
    </row>
    <row r="301" spans="2:7" ht="30" customHeight="1" thickBot="1" x14ac:dyDescent="0.3">
      <c r="B301" s="221"/>
      <c r="C301" s="221"/>
      <c r="D301" s="223" t="s">
        <v>2817</v>
      </c>
      <c r="E301" s="221"/>
      <c r="F301" s="223"/>
      <c r="G301" s="221"/>
    </row>
    <row r="302" spans="2:7" ht="30" customHeight="1" thickBot="1" x14ac:dyDescent="0.3">
      <c r="B302" s="221" t="s">
        <v>2818</v>
      </c>
      <c r="C302" s="221" t="s">
        <v>2654</v>
      </c>
      <c r="D302" s="222" t="s">
        <v>2819</v>
      </c>
      <c r="E302" s="221" t="s">
        <v>8686</v>
      </c>
      <c r="F302" s="223" t="s">
        <v>2802</v>
      </c>
      <c r="G302" s="221" t="s">
        <v>322</v>
      </c>
    </row>
    <row r="303" spans="2:7" ht="30" customHeight="1" thickBot="1" x14ac:dyDescent="0.3">
      <c r="B303" s="221"/>
      <c r="C303" s="221"/>
      <c r="D303" s="223"/>
      <c r="E303" s="221"/>
      <c r="F303" s="223" t="s">
        <v>2820</v>
      </c>
      <c r="G303" s="221"/>
    </row>
    <row r="304" spans="2:7" ht="30" customHeight="1" thickBot="1" x14ac:dyDescent="0.3">
      <c r="B304" s="221"/>
      <c r="C304" s="221"/>
      <c r="D304" s="223" t="s">
        <v>9866</v>
      </c>
      <c r="E304" s="221"/>
      <c r="F304" s="223"/>
      <c r="G304" s="221"/>
    </row>
    <row r="305" spans="2:7" ht="30" customHeight="1" thickBot="1" x14ac:dyDescent="0.3">
      <c r="B305" s="221" t="s">
        <v>2821</v>
      </c>
      <c r="C305" s="221" t="s">
        <v>2654</v>
      </c>
      <c r="D305" s="222" t="s">
        <v>2822</v>
      </c>
      <c r="E305" s="221" t="s">
        <v>2823</v>
      </c>
      <c r="F305" s="223" t="s">
        <v>2802</v>
      </c>
      <c r="G305" s="221" t="s">
        <v>322</v>
      </c>
    </row>
    <row r="306" spans="2:7" ht="30" customHeight="1" thickBot="1" x14ac:dyDescent="0.3">
      <c r="B306" s="221"/>
      <c r="C306" s="221"/>
      <c r="D306" s="223"/>
      <c r="E306" s="221"/>
      <c r="F306" s="223" t="s">
        <v>2824</v>
      </c>
      <c r="G306" s="221"/>
    </row>
    <row r="307" spans="2:7" ht="30" customHeight="1" thickBot="1" x14ac:dyDescent="0.3">
      <c r="B307" s="221"/>
      <c r="C307" s="221"/>
      <c r="D307" s="223" t="s">
        <v>2825</v>
      </c>
      <c r="E307" s="221"/>
      <c r="F307" s="223"/>
      <c r="G307" s="221"/>
    </row>
    <row r="308" spans="2:7" ht="30" customHeight="1" thickBot="1" x14ac:dyDescent="0.3">
      <c r="B308" s="221"/>
      <c r="C308" s="221"/>
      <c r="D308" s="223"/>
      <c r="E308" s="221"/>
      <c r="F308" s="223"/>
      <c r="G308" s="221"/>
    </row>
    <row r="309" spans="2:7" ht="30" customHeight="1" thickBot="1" x14ac:dyDescent="0.3">
      <c r="B309" s="221"/>
      <c r="C309" s="221"/>
      <c r="D309" s="225" t="s">
        <v>2826</v>
      </c>
      <c r="E309" s="221"/>
      <c r="F309" s="223"/>
      <c r="G309" s="221"/>
    </row>
    <row r="310" spans="2:7" ht="30" customHeight="1" thickBot="1" x14ac:dyDescent="0.3">
      <c r="B310" s="221"/>
      <c r="C310" s="221"/>
      <c r="D310" s="223"/>
      <c r="E310" s="221"/>
      <c r="F310" s="223"/>
      <c r="G310" s="221"/>
    </row>
    <row r="311" spans="2:7" ht="30" customHeight="1" thickBot="1" x14ac:dyDescent="0.3">
      <c r="B311" s="221"/>
      <c r="C311" s="221"/>
      <c r="D311" s="223" t="s">
        <v>2827</v>
      </c>
      <c r="E311" s="221"/>
      <c r="F311" s="223"/>
      <c r="G311" s="221"/>
    </row>
    <row r="312" spans="2:7" ht="30" customHeight="1" thickBot="1" x14ac:dyDescent="0.3">
      <c r="B312" s="221"/>
      <c r="C312" s="221"/>
      <c r="D312" s="223"/>
      <c r="E312" s="221"/>
      <c r="F312" s="223"/>
      <c r="G312" s="221"/>
    </row>
    <row r="313" spans="2:7" ht="30" customHeight="1" thickBot="1" x14ac:dyDescent="0.3">
      <c r="B313" s="221"/>
      <c r="C313" s="221"/>
      <c r="D313" s="223" t="s">
        <v>9867</v>
      </c>
      <c r="E313" s="221"/>
      <c r="F313" s="223"/>
      <c r="G313" s="221"/>
    </row>
    <row r="314" spans="2:7" ht="30" customHeight="1" thickBot="1" x14ac:dyDescent="0.3">
      <c r="B314" s="221"/>
      <c r="C314" s="221"/>
      <c r="D314" s="223"/>
      <c r="E314" s="221"/>
      <c r="F314" s="223"/>
      <c r="G314" s="221"/>
    </row>
    <row r="315" spans="2:7" ht="30" customHeight="1" thickBot="1" x14ac:dyDescent="0.3">
      <c r="B315" s="221"/>
      <c r="C315" s="221"/>
      <c r="D315" s="223" t="s">
        <v>2828</v>
      </c>
      <c r="E315" s="221"/>
      <c r="F315" s="223"/>
      <c r="G315" s="221"/>
    </row>
    <row r="316" spans="2:7" ht="30" customHeight="1" thickBot="1" x14ac:dyDescent="0.3">
      <c r="B316" s="221"/>
      <c r="C316" s="221"/>
      <c r="D316" s="223"/>
      <c r="E316" s="221"/>
      <c r="F316" s="223"/>
      <c r="G316" s="221"/>
    </row>
    <row r="317" spans="2:7" ht="30" customHeight="1" thickBot="1" x14ac:dyDescent="0.3">
      <c r="B317" s="221"/>
      <c r="C317" s="221"/>
      <c r="D317" s="223" t="s">
        <v>2829</v>
      </c>
      <c r="E317" s="221"/>
      <c r="F317" s="223"/>
      <c r="G317" s="221"/>
    </row>
    <row r="318" spans="2:7" ht="30" customHeight="1" thickBot="1" x14ac:dyDescent="0.3">
      <c r="B318" s="221"/>
      <c r="C318" s="221"/>
      <c r="D318" s="223"/>
      <c r="E318" s="221"/>
      <c r="F318" s="223"/>
      <c r="G318" s="221"/>
    </row>
    <row r="319" spans="2:7" ht="30" customHeight="1" thickBot="1" x14ac:dyDescent="0.3">
      <c r="B319" s="221"/>
      <c r="C319" s="221"/>
      <c r="D319" s="223" t="s">
        <v>9868</v>
      </c>
      <c r="E319" s="221"/>
      <c r="F319" s="223"/>
      <c r="G319" s="221"/>
    </row>
    <row r="320" spans="2:7" ht="30" customHeight="1" thickBot="1" x14ac:dyDescent="0.3">
      <c r="B320" s="221"/>
      <c r="C320" s="221"/>
      <c r="D320" s="223"/>
      <c r="E320" s="221"/>
      <c r="F320" s="223"/>
      <c r="G320" s="221"/>
    </row>
    <row r="321" spans="2:7" ht="30" customHeight="1" thickBot="1" x14ac:dyDescent="0.3">
      <c r="B321" s="221" t="s">
        <v>2830</v>
      </c>
      <c r="C321" s="221" t="s">
        <v>2654</v>
      </c>
      <c r="D321" s="222" t="s">
        <v>2831</v>
      </c>
      <c r="E321" s="221" t="s">
        <v>2832</v>
      </c>
      <c r="F321" s="223" t="s">
        <v>2802</v>
      </c>
      <c r="G321" s="221" t="s">
        <v>74</v>
      </c>
    </row>
    <row r="322" spans="2:7" ht="30" customHeight="1" thickBot="1" x14ac:dyDescent="0.3">
      <c r="B322" s="221"/>
      <c r="C322" s="221"/>
      <c r="D322" s="223"/>
      <c r="E322" s="221"/>
      <c r="F322" s="223" t="s">
        <v>2833</v>
      </c>
      <c r="G322" s="221"/>
    </row>
    <row r="323" spans="2:7" ht="30" customHeight="1" thickBot="1" x14ac:dyDescent="0.3">
      <c r="B323" s="221"/>
      <c r="C323" s="221"/>
      <c r="D323" s="223" t="s">
        <v>2834</v>
      </c>
      <c r="E323" s="221"/>
      <c r="F323" s="223"/>
      <c r="G323" s="221"/>
    </row>
    <row r="324" spans="2:7" ht="30" customHeight="1" thickBot="1" x14ac:dyDescent="0.3">
      <c r="B324" s="221"/>
      <c r="C324" s="221"/>
      <c r="D324" s="223"/>
      <c r="E324" s="221"/>
      <c r="F324" s="223"/>
      <c r="G324" s="221"/>
    </row>
    <row r="325" spans="2:7" ht="30" customHeight="1" thickBot="1" x14ac:dyDescent="0.3">
      <c r="B325" s="221"/>
      <c r="C325" s="221"/>
      <c r="D325" s="223" t="s">
        <v>2835</v>
      </c>
      <c r="E325" s="221"/>
      <c r="F325" s="223"/>
      <c r="G325" s="221"/>
    </row>
    <row r="326" spans="2:7" ht="30" customHeight="1" thickBot="1" x14ac:dyDescent="0.3">
      <c r="B326" s="221" t="s">
        <v>2836</v>
      </c>
      <c r="C326" s="221" t="s">
        <v>2654</v>
      </c>
      <c r="D326" s="222" t="s">
        <v>2837</v>
      </c>
      <c r="E326" s="221" t="s">
        <v>2838</v>
      </c>
      <c r="F326" s="221" t="s">
        <v>2839</v>
      </c>
      <c r="G326" s="221" t="s">
        <v>322</v>
      </c>
    </row>
    <row r="327" spans="2:7" ht="30" customHeight="1" thickBot="1" x14ac:dyDescent="0.3">
      <c r="B327" s="221"/>
      <c r="C327" s="221"/>
      <c r="D327" s="223"/>
      <c r="E327" s="221"/>
      <c r="F327" s="221"/>
      <c r="G327" s="221"/>
    </row>
    <row r="328" spans="2:7" ht="30" customHeight="1" thickBot="1" x14ac:dyDescent="0.3">
      <c r="B328" s="221"/>
      <c r="C328" s="221"/>
      <c r="D328" s="223" t="s">
        <v>2840</v>
      </c>
      <c r="E328" s="221"/>
      <c r="F328" s="221"/>
      <c r="G328" s="221"/>
    </row>
    <row r="329" spans="2:7" ht="30" customHeight="1" thickBot="1" x14ac:dyDescent="0.3">
      <c r="B329" s="221"/>
      <c r="C329" s="221"/>
      <c r="D329" s="223"/>
      <c r="E329" s="221"/>
      <c r="F329" s="221"/>
      <c r="G329" s="221"/>
    </row>
    <row r="330" spans="2:7" ht="30" customHeight="1" thickBot="1" x14ac:dyDescent="0.3">
      <c r="B330" s="221"/>
      <c r="C330" s="221"/>
      <c r="D330" s="223" t="s">
        <v>9869</v>
      </c>
      <c r="E330" s="221"/>
      <c r="F330" s="221"/>
      <c r="G330" s="221"/>
    </row>
    <row r="331" spans="2:7" ht="30" customHeight="1" thickBot="1" x14ac:dyDescent="0.3">
      <c r="B331" s="221"/>
      <c r="C331" s="221"/>
      <c r="D331" s="225" t="s">
        <v>2841</v>
      </c>
      <c r="E331" s="221"/>
      <c r="F331" s="221"/>
      <c r="G331" s="221"/>
    </row>
    <row r="332" spans="2:7" ht="30" customHeight="1" thickBot="1" x14ac:dyDescent="0.3">
      <c r="B332" s="221"/>
      <c r="C332" s="221"/>
      <c r="D332" s="223"/>
      <c r="E332" s="221"/>
      <c r="F332" s="221"/>
      <c r="G332" s="221"/>
    </row>
    <row r="333" spans="2:7" ht="30" customHeight="1" thickBot="1" x14ac:dyDescent="0.3">
      <c r="B333" s="221"/>
      <c r="C333" s="221"/>
      <c r="D333" s="223" t="s">
        <v>2842</v>
      </c>
      <c r="E333" s="221"/>
      <c r="F333" s="221"/>
      <c r="G333" s="221"/>
    </row>
    <row r="334" spans="2:7" ht="30" customHeight="1" thickBot="1" x14ac:dyDescent="0.3">
      <c r="B334" s="221" t="s">
        <v>2843</v>
      </c>
      <c r="C334" s="221" t="s">
        <v>2654</v>
      </c>
      <c r="D334" s="222" t="s">
        <v>2551</v>
      </c>
      <c r="E334" s="221" t="s">
        <v>7929</v>
      </c>
      <c r="F334" s="221" t="s">
        <v>2844</v>
      </c>
      <c r="G334" s="221" t="s">
        <v>322</v>
      </c>
    </row>
    <row r="335" spans="2:7" ht="30" customHeight="1" thickBot="1" x14ac:dyDescent="0.3">
      <c r="B335" s="221"/>
      <c r="C335" s="221"/>
      <c r="D335" s="223"/>
      <c r="E335" s="221"/>
      <c r="F335" s="221"/>
      <c r="G335" s="221"/>
    </row>
    <row r="336" spans="2:7" ht="30" customHeight="1" thickBot="1" x14ac:dyDescent="0.3">
      <c r="B336" s="221"/>
      <c r="C336" s="221"/>
      <c r="D336" s="223" t="s">
        <v>2845</v>
      </c>
      <c r="E336" s="221"/>
      <c r="F336" s="221"/>
      <c r="G336" s="221"/>
    </row>
    <row r="337" spans="2:7" ht="30" customHeight="1" thickBot="1" x14ac:dyDescent="0.3">
      <c r="B337" s="221" t="s">
        <v>2846</v>
      </c>
      <c r="C337" s="221" t="s">
        <v>2654</v>
      </c>
      <c r="D337" s="223" t="s">
        <v>9870</v>
      </c>
      <c r="E337" s="221" t="s">
        <v>7136</v>
      </c>
      <c r="F337" s="221" t="s">
        <v>2847</v>
      </c>
      <c r="G337" s="221" t="s">
        <v>322</v>
      </c>
    </row>
    <row r="338" spans="2:7" ht="30" customHeight="1" thickBot="1" x14ac:dyDescent="0.3">
      <c r="B338" s="221"/>
      <c r="C338" s="221"/>
      <c r="D338" s="223"/>
      <c r="E338" s="221"/>
      <c r="F338" s="221"/>
      <c r="G338" s="221"/>
    </row>
    <row r="339" spans="2:7" ht="30" customHeight="1" thickBot="1" x14ac:dyDescent="0.3">
      <c r="B339" s="221"/>
      <c r="C339" s="221"/>
      <c r="D339" s="223" t="s">
        <v>2848</v>
      </c>
      <c r="E339" s="221"/>
      <c r="F339" s="221"/>
      <c r="G339" s="221"/>
    </row>
    <row r="340" spans="2:7" ht="30" customHeight="1" thickBot="1" x14ac:dyDescent="0.3">
      <c r="B340" s="221" t="s">
        <v>2849</v>
      </c>
      <c r="C340" s="221" t="s">
        <v>2654</v>
      </c>
      <c r="D340" s="222" t="s">
        <v>2850</v>
      </c>
      <c r="E340" s="221" t="s">
        <v>2851</v>
      </c>
      <c r="F340" s="221" t="s">
        <v>2852</v>
      </c>
      <c r="G340" s="221" t="s">
        <v>322</v>
      </c>
    </row>
    <row r="341" spans="2:7" ht="30" customHeight="1" thickBot="1" x14ac:dyDescent="0.3">
      <c r="B341" s="221"/>
      <c r="C341" s="221"/>
      <c r="D341" s="223"/>
      <c r="E341" s="221"/>
      <c r="F341" s="221"/>
      <c r="G341" s="221"/>
    </row>
    <row r="342" spans="2:7" ht="30" customHeight="1" thickBot="1" x14ac:dyDescent="0.3">
      <c r="B342" s="221"/>
      <c r="C342" s="221"/>
      <c r="D342" s="223" t="s">
        <v>2853</v>
      </c>
      <c r="E342" s="221"/>
      <c r="F342" s="221"/>
      <c r="G342" s="221"/>
    </row>
    <row r="343" spans="2:7" ht="30" customHeight="1" thickBot="1" x14ac:dyDescent="0.3">
      <c r="B343" s="221" t="s">
        <v>2854</v>
      </c>
      <c r="C343" s="221" t="s">
        <v>2654</v>
      </c>
      <c r="D343" s="222" t="s">
        <v>2855</v>
      </c>
      <c r="E343" s="221" t="s">
        <v>2856</v>
      </c>
      <c r="F343" s="221" t="s">
        <v>2857</v>
      </c>
      <c r="G343" s="221" t="s">
        <v>322</v>
      </c>
    </row>
    <row r="344" spans="2:7" ht="30" customHeight="1" thickBot="1" x14ac:dyDescent="0.3">
      <c r="B344" s="221"/>
      <c r="C344" s="221"/>
      <c r="D344" s="223"/>
      <c r="E344" s="221"/>
      <c r="F344" s="221"/>
      <c r="G344" s="221"/>
    </row>
    <row r="345" spans="2:7" ht="30" customHeight="1" thickBot="1" x14ac:dyDescent="0.3">
      <c r="B345" s="221"/>
      <c r="C345" s="221"/>
      <c r="D345" s="223" t="s">
        <v>2858</v>
      </c>
      <c r="E345" s="221"/>
      <c r="F345" s="221"/>
      <c r="G345" s="221"/>
    </row>
    <row r="346" spans="2:7" ht="30" customHeight="1" thickBot="1" x14ac:dyDescent="0.3">
      <c r="B346" s="221" t="s">
        <v>2859</v>
      </c>
      <c r="C346" s="221" t="s">
        <v>2654</v>
      </c>
      <c r="D346" s="222" t="s">
        <v>2860</v>
      </c>
      <c r="E346" s="221" t="s">
        <v>7213</v>
      </c>
      <c r="F346" s="221" t="s">
        <v>2861</v>
      </c>
      <c r="G346" s="221" t="s">
        <v>322</v>
      </c>
    </row>
    <row r="347" spans="2:7" ht="30" customHeight="1" thickBot="1" x14ac:dyDescent="0.3">
      <c r="B347" s="221"/>
      <c r="C347" s="221"/>
      <c r="D347" s="223"/>
      <c r="E347" s="221"/>
      <c r="F347" s="221"/>
      <c r="G347" s="221"/>
    </row>
    <row r="348" spans="2:7" ht="30" customHeight="1" thickBot="1" x14ac:dyDescent="0.3">
      <c r="B348" s="221"/>
      <c r="C348" s="221"/>
      <c r="D348" s="223" t="s">
        <v>2862</v>
      </c>
      <c r="E348" s="221"/>
      <c r="F348" s="221"/>
      <c r="G348" s="221"/>
    </row>
    <row r="349" spans="2:7" ht="30" customHeight="1" thickBot="1" x14ac:dyDescent="0.3">
      <c r="B349" s="221" t="s">
        <v>2863</v>
      </c>
      <c r="C349" s="221" t="s">
        <v>2654</v>
      </c>
      <c r="D349" s="222" t="s">
        <v>2864</v>
      </c>
      <c r="E349" s="221" t="s">
        <v>7214</v>
      </c>
      <c r="F349" s="221" t="s">
        <v>2865</v>
      </c>
      <c r="G349" s="221" t="s">
        <v>322</v>
      </c>
    </row>
    <row r="350" spans="2:7" ht="30" customHeight="1" thickBot="1" x14ac:dyDescent="0.3">
      <c r="B350" s="221"/>
      <c r="C350" s="221"/>
      <c r="D350" s="223"/>
      <c r="E350" s="221"/>
      <c r="F350" s="221"/>
      <c r="G350" s="221"/>
    </row>
    <row r="351" spans="2:7" ht="30" customHeight="1" thickBot="1" x14ac:dyDescent="0.3">
      <c r="B351" s="221"/>
      <c r="C351" s="221"/>
      <c r="D351" s="223" t="s">
        <v>2866</v>
      </c>
      <c r="E351" s="221"/>
      <c r="F351" s="221"/>
      <c r="G351" s="221"/>
    </row>
    <row r="352" spans="2:7" ht="30" customHeight="1" thickBot="1" x14ac:dyDescent="0.3">
      <c r="B352" s="221"/>
      <c r="C352" s="221"/>
      <c r="D352" s="223"/>
      <c r="E352" s="221"/>
      <c r="F352" s="221"/>
      <c r="G352" s="221"/>
    </row>
    <row r="353" spans="2:7" ht="30" customHeight="1" thickBot="1" x14ac:dyDescent="0.3">
      <c r="B353" s="221"/>
      <c r="C353" s="221"/>
      <c r="D353" s="225" t="s">
        <v>9871</v>
      </c>
      <c r="E353" s="221"/>
      <c r="F353" s="221"/>
      <c r="G353" s="221"/>
    </row>
    <row r="354" spans="2:7" ht="30" customHeight="1" thickBot="1" x14ac:dyDescent="0.3">
      <c r="B354" s="221"/>
      <c r="C354" s="221"/>
      <c r="D354" s="225"/>
      <c r="E354" s="221"/>
      <c r="F354" s="221"/>
      <c r="G354" s="221"/>
    </row>
    <row r="355" spans="2:7" ht="30" customHeight="1" thickBot="1" x14ac:dyDescent="0.3">
      <c r="B355" s="221"/>
      <c r="C355" s="221"/>
      <c r="D355" s="223" t="s">
        <v>9872</v>
      </c>
      <c r="E355" s="221"/>
      <c r="F355" s="221"/>
      <c r="G355" s="221"/>
    </row>
    <row r="356" spans="2:7" ht="30" customHeight="1" thickBot="1" x14ac:dyDescent="0.3">
      <c r="B356" s="221" t="s">
        <v>2867</v>
      </c>
      <c r="C356" s="221" t="s">
        <v>2654</v>
      </c>
      <c r="D356" s="223"/>
      <c r="E356" s="221" t="s">
        <v>2868</v>
      </c>
      <c r="F356" s="221" t="s">
        <v>2869</v>
      </c>
      <c r="G356" s="221" t="s">
        <v>322</v>
      </c>
    </row>
    <row r="357" spans="2:7" ht="30" customHeight="1" thickBot="1" x14ac:dyDescent="0.3">
      <c r="B357" s="221"/>
      <c r="C357" s="221"/>
      <c r="D357" s="222" t="s">
        <v>2864</v>
      </c>
      <c r="E357" s="221"/>
      <c r="F357" s="221"/>
      <c r="G357" s="221"/>
    </row>
    <row r="358" spans="2:7" ht="30" customHeight="1" thickBot="1" x14ac:dyDescent="0.3">
      <c r="B358" s="221"/>
      <c r="C358" s="221"/>
      <c r="D358" s="223"/>
      <c r="E358" s="221"/>
      <c r="F358" s="221"/>
      <c r="G358" s="221"/>
    </row>
    <row r="359" spans="2:7" ht="30" customHeight="1" thickBot="1" x14ac:dyDescent="0.3">
      <c r="B359" s="221"/>
      <c r="C359" s="221"/>
      <c r="D359" s="223" t="s">
        <v>2870</v>
      </c>
      <c r="E359" s="221"/>
      <c r="F359" s="221"/>
      <c r="G359" s="221"/>
    </row>
    <row r="360" spans="2:7" ht="30" customHeight="1" thickBot="1" x14ac:dyDescent="0.3">
      <c r="B360" s="221"/>
      <c r="C360" s="221"/>
      <c r="D360" s="225"/>
      <c r="E360" s="221"/>
      <c r="F360" s="221"/>
      <c r="G360" s="221"/>
    </row>
    <row r="361" spans="2:7" ht="30" customHeight="1" thickBot="1" x14ac:dyDescent="0.3">
      <c r="B361" s="221"/>
      <c r="C361" s="221"/>
      <c r="D361" s="225" t="s">
        <v>9873</v>
      </c>
      <c r="E361" s="221"/>
      <c r="F361" s="221"/>
      <c r="G361" s="221"/>
    </row>
    <row r="362" spans="2:7" ht="30" customHeight="1" thickBot="1" x14ac:dyDescent="0.3">
      <c r="B362" s="221"/>
      <c r="C362" s="221"/>
      <c r="D362" s="226"/>
      <c r="E362" s="221"/>
      <c r="F362" s="221"/>
      <c r="G362" s="221"/>
    </row>
    <row r="363" spans="2:7" ht="30" customHeight="1" thickBot="1" x14ac:dyDescent="0.3">
      <c r="B363" s="221"/>
      <c r="C363" s="221"/>
      <c r="D363" s="223" t="s">
        <v>2871</v>
      </c>
      <c r="E363" s="221"/>
      <c r="F363" s="221"/>
      <c r="G363" s="221"/>
    </row>
    <row r="364" spans="2:7" ht="30" customHeight="1" thickBot="1" x14ac:dyDescent="0.3">
      <c r="B364" s="221"/>
      <c r="C364" s="221"/>
      <c r="D364" s="223"/>
      <c r="E364" s="221"/>
      <c r="F364" s="221"/>
      <c r="G364" s="221"/>
    </row>
    <row r="365" spans="2:7" ht="30" customHeight="1" thickBot="1" x14ac:dyDescent="0.3">
      <c r="B365" s="221" t="s">
        <v>2872</v>
      </c>
      <c r="C365" s="221" t="s">
        <v>2654</v>
      </c>
      <c r="D365" s="222" t="s">
        <v>2873</v>
      </c>
      <c r="E365" s="221" t="s">
        <v>9080</v>
      </c>
      <c r="F365" s="221" t="s">
        <v>2874</v>
      </c>
      <c r="G365" s="221" t="s">
        <v>322</v>
      </c>
    </row>
    <row r="366" spans="2:7" ht="30" customHeight="1" thickBot="1" x14ac:dyDescent="0.3">
      <c r="B366" s="221"/>
      <c r="C366" s="221"/>
      <c r="D366" s="223"/>
      <c r="E366" s="221"/>
      <c r="F366" s="221"/>
      <c r="G366" s="221"/>
    </row>
    <row r="367" spans="2:7" ht="30" customHeight="1" thickBot="1" x14ac:dyDescent="0.3">
      <c r="B367" s="221"/>
      <c r="C367" s="221"/>
      <c r="D367" s="223" t="s">
        <v>9874</v>
      </c>
      <c r="E367" s="221"/>
      <c r="F367" s="221"/>
      <c r="G367" s="221"/>
    </row>
    <row r="368" spans="2:7" ht="30" customHeight="1" thickBot="1" x14ac:dyDescent="0.3">
      <c r="B368" s="221"/>
      <c r="C368" s="221"/>
      <c r="D368" s="223"/>
      <c r="E368" s="221"/>
      <c r="F368" s="221"/>
      <c r="G368" s="221"/>
    </row>
    <row r="369" spans="2:7" ht="30" customHeight="1" thickBot="1" x14ac:dyDescent="0.3">
      <c r="B369" s="221"/>
      <c r="C369" s="221"/>
      <c r="D369" s="223" t="s">
        <v>2875</v>
      </c>
      <c r="E369" s="221"/>
      <c r="F369" s="221"/>
      <c r="G369" s="221"/>
    </row>
    <row r="370" spans="2:7" ht="30" customHeight="1" thickBot="1" x14ac:dyDescent="0.3">
      <c r="B370" s="221" t="s">
        <v>2876</v>
      </c>
      <c r="C370" s="221" t="s">
        <v>2654</v>
      </c>
      <c r="D370" s="222" t="s">
        <v>2877</v>
      </c>
      <c r="E370" s="221" t="s">
        <v>2878</v>
      </c>
      <c r="F370" s="221" t="s">
        <v>2879</v>
      </c>
      <c r="G370" s="221" t="s">
        <v>322</v>
      </c>
    </row>
    <row r="371" spans="2:7" ht="30" customHeight="1" thickBot="1" x14ac:dyDescent="0.3">
      <c r="B371" s="221"/>
      <c r="C371" s="221"/>
      <c r="D371" s="223"/>
      <c r="E371" s="221"/>
      <c r="F371" s="221"/>
      <c r="G371" s="221"/>
    </row>
    <row r="372" spans="2:7" ht="30" customHeight="1" thickBot="1" x14ac:dyDescent="0.3">
      <c r="B372" s="221"/>
      <c r="C372" s="221"/>
      <c r="D372" s="223" t="s">
        <v>9875</v>
      </c>
      <c r="E372" s="221"/>
      <c r="F372" s="221"/>
      <c r="G372" s="221"/>
    </row>
    <row r="373" spans="2:7" ht="30" customHeight="1" thickBot="1" x14ac:dyDescent="0.3">
      <c r="B373" s="221" t="s">
        <v>2880</v>
      </c>
      <c r="C373" s="221" t="s">
        <v>2654</v>
      </c>
      <c r="D373" s="222" t="s">
        <v>2881</v>
      </c>
      <c r="E373" s="221" t="s">
        <v>2882</v>
      </c>
      <c r="F373" s="221" t="s">
        <v>2879</v>
      </c>
      <c r="G373" s="221" t="s">
        <v>322</v>
      </c>
    </row>
    <row r="374" spans="2:7" ht="30" customHeight="1" thickBot="1" x14ac:dyDescent="0.3">
      <c r="B374" s="221"/>
      <c r="C374" s="221"/>
      <c r="D374" s="223"/>
      <c r="E374" s="221"/>
      <c r="F374" s="221"/>
      <c r="G374" s="221"/>
    </row>
    <row r="375" spans="2:7" ht="30" customHeight="1" thickBot="1" x14ac:dyDescent="0.3">
      <c r="B375" s="221"/>
      <c r="C375" s="221"/>
      <c r="D375" s="223" t="s">
        <v>2883</v>
      </c>
      <c r="E375" s="221"/>
      <c r="F375" s="221"/>
      <c r="G375" s="221"/>
    </row>
    <row r="376" spans="2:7" ht="30" customHeight="1" thickBot="1" x14ac:dyDescent="0.3">
      <c r="B376" s="221" t="s">
        <v>2884</v>
      </c>
      <c r="C376" s="221" t="s">
        <v>2654</v>
      </c>
      <c r="D376" s="222" t="s">
        <v>2885</v>
      </c>
      <c r="E376" s="221" t="s">
        <v>8687</v>
      </c>
      <c r="F376" s="221" t="s">
        <v>2886</v>
      </c>
      <c r="G376" s="221" t="s">
        <v>322</v>
      </c>
    </row>
    <row r="377" spans="2:7" ht="30" customHeight="1" thickBot="1" x14ac:dyDescent="0.3">
      <c r="B377" s="221"/>
      <c r="C377" s="221"/>
      <c r="D377" s="223"/>
      <c r="E377" s="221"/>
      <c r="F377" s="221"/>
      <c r="G377" s="221"/>
    </row>
    <row r="378" spans="2:7" ht="30" customHeight="1" thickBot="1" x14ac:dyDescent="0.3">
      <c r="B378" s="221"/>
      <c r="C378" s="221"/>
      <c r="D378" s="223" t="s">
        <v>9876</v>
      </c>
      <c r="E378" s="221"/>
      <c r="F378" s="221"/>
      <c r="G378" s="221"/>
    </row>
    <row r="379" spans="2:7" ht="30" customHeight="1" thickBot="1" x14ac:dyDescent="0.3">
      <c r="B379" s="221"/>
      <c r="C379" s="221"/>
      <c r="D379" s="223"/>
      <c r="E379" s="221"/>
      <c r="F379" s="221"/>
      <c r="G379" s="221"/>
    </row>
    <row r="380" spans="2:7" ht="30" customHeight="1" thickBot="1" x14ac:dyDescent="0.3">
      <c r="B380" s="221" t="s">
        <v>2887</v>
      </c>
      <c r="C380" s="221" t="s">
        <v>2654</v>
      </c>
      <c r="D380" s="222" t="s">
        <v>2888</v>
      </c>
      <c r="E380" s="221" t="s">
        <v>2336</v>
      </c>
      <c r="F380" s="221" t="s">
        <v>2889</v>
      </c>
      <c r="G380" s="221" t="s">
        <v>2890</v>
      </c>
    </row>
    <row r="381" spans="2:7" ht="30" customHeight="1" thickBot="1" x14ac:dyDescent="0.3">
      <c r="B381" s="221"/>
      <c r="C381" s="221"/>
      <c r="D381" s="223"/>
      <c r="E381" s="221"/>
      <c r="F381" s="221"/>
      <c r="G381" s="221"/>
    </row>
    <row r="382" spans="2:7" ht="30" customHeight="1" thickBot="1" x14ac:dyDescent="0.3">
      <c r="B382" s="221"/>
      <c r="C382" s="221"/>
      <c r="D382" s="223" t="s">
        <v>2891</v>
      </c>
      <c r="E382" s="221"/>
      <c r="F382" s="221"/>
      <c r="G382" s="221"/>
    </row>
    <row r="383" spans="2:7" ht="30" customHeight="1" thickBot="1" x14ac:dyDescent="0.3">
      <c r="B383" s="221"/>
      <c r="C383" s="221"/>
      <c r="D383" s="223"/>
      <c r="E383" s="221"/>
      <c r="F383" s="221"/>
      <c r="G383" s="221"/>
    </row>
    <row r="384" spans="2:7" ht="30" customHeight="1" thickBot="1" x14ac:dyDescent="0.3">
      <c r="B384" s="221" t="s">
        <v>2892</v>
      </c>
      <c r="C384" s="221" t="s">
        <v>2654</v>
      </c>
      <c r="D384" s="222" t="s">
        <v>2888</v>
      </c>
      <c r="E384" s="221" t="s">
        <v>7366</v>
      </c>
      <c r="F384" s="221" t="s">
        <v>2893</v>
      </c>
      <c r="G384" s="221" t="s">
        <v>322</v>
      </c>
    </row>
    <row r="385" spans="2:7" ht="30" customHeight="1" thickBot="1" x14ac:dyDescent="0.3">
      <c r="B385" s="221"/>
      <c r="C385" s="221"/>
      <c r="D385" s="223"/>
      <c r="E385" s="221"/>
      <c r="F385" s="221"/>
      <c r="G385" s="221"/>
    </row>
    <row r="386" spans="2:7" ht="30" customHeight="1" thickBot="1" x14ac:dyDescent="0.3">
      <c r="B386" s="221"/>
      <c r="C386" s="221"/>
      <c r="D386" s="223" t="s">
        <v>2894</v>
      </c>
      <c r="E386" s="221"/>
      <c r="F386" s="221"/>
      <c r="G386" s="221"/>
    </row>
    <row r="387" spans="2:7" ht="30" customHeight="1" thickBot="1" x14ac:dyDescent="0.3">
      <c r="B387" s="221" t="s">
        <v>2895</v>
      </c>
      <c r="C387" s="221" t="s">
        <v>2654</v>
      </c>
      <c r="D387" s="222" t="s">
        <v>2896</v>
      </c>
      <c r="E387" s="221" t="s">
        <v>8338</v>
      </c>
      <c r="F387" s="221" t="s">
        <v>2897</v>
      </c>
      <c r="G387" s="221" t="s">
        <v>8093</v>
      </c>
    </row>
    <row r="388" spans="2:7" ht="30" customHeight="1" thickBot="1" x14ac:dyDescent="0.3">
      <c r="B388" s="221"/>
      <c r="C388" s="221"/>
      <c r="D388" s="223"/>
      <c r="E388" s="221"/>
      <c r="F388" s="221"/>
      <c r="G388" s="221"/>
    </row>
    <row r="389" spans="2:7" ht="30" customHeight="1" thickBot="1" x14ac:dyDescent="0.3">
      <c r="B389" s="221"/>
      <c r="C389" s="221"/>
      <c r="D389" s="223" t="s">
        <v>2898</v>
      </c>
      <c r="E389" s="221"/>
      <c r="F389" s="221"/>
      <c r="G389" s="221"/>
    </row>
    <row r="390" spans="2:7" ht="30" customHeight="1" thickBot="1" x14ac:dyDescent="0.3">
      <c r="B390" s="221"/>
      <c r="C390" s="221"/>
      <c r="D390" s="223"/>
      <c r="E390" s="221"/>
      <c r="F390" s="221"/>
      <c r="G390" s="221"/>
    </row>
    <row r="391" spans="2:7" ht="30" customHeight="1" thickBot="1" x14ac:dyDescent="0.3">
      <c r="B391" s="221" t="s">
        <v>2899</v>
      </c>
      <c r="C391" s="221" t="s">
        <v>2654</v>
      </c>
      <c r="D391" s="222" t="s">
        <v>2900</v>
      </c>
      <c r="E391" s="221" t="s">
        <v>8688</v>
      </c>
      <c r="F391" s="221" t="s">
        <v>2901</v>
      </c>
      <c r="G391" s="221" t="s">
        <v>322</v>
      </c>
    </row>
    <row r="392" spans="2:7" ht="30" customHeight="1" thickBot="1" x14ac:dyDescent="0.3">
      <c r="B392" s="221"/>
      <c r="C392" s="221"/>
      <c r="D392" s="223"/>
      <c r="E392" s="221"/>
      <c r="F392" s="221"/>
      <c r="G392" s="221"/>
    </row>
    <row r="393" spans="2:7" ht="30" customHeight="1" thickBot="1" x14ac:dyDescent="0.3">
      <c r="B393" s="221"/>
      <c r="C393" s="221"/>
      <c r="D393" s="223" t="s">
        <v>9877</v>
      </c>
      <c r="E393" s="221"/>
      <c r="F393" s="221"/>
      <c r="G393" s="221"/>
    </row>
    <row r="394" spans="2:7" ht="30" customHeight="1" thickBot="1" x14ac:dyDescent="0.3">
      <c r="B394" s="221" t="s">
        <v>2902</v>
      </c>
      <c r="C394" s="221" t="s">
        <v>2654</v>
      </c>
      <c r="D394" s="222" t="s">
        <v>2903</v>
      </c>
      <c r="E394" s="221" t="s">
        <v>2904</v>
      </c>
      <c r="F394" s="221" t="s">
        <v>2905</v>
      </c>
      <c r="G394" s="223"/>
    </row>
    <row r="395" spans="2:7" ht="30" customHeight="1" thickBot="1" x14ac:dyDescent="0.3">
      <c r="B395" s="221"/>
      <c r="C395" s="221"/>
      <c r="D395" s="223"/>
      <c r="E395" s="221"/>
      <c r="F395" s="221"/>
      <c r="G395" s="223" t="s">
        <v>322</v>
      </c>
    </row>
    <row r="396" spans="2:7" ht="30" customHeight="1" thickBot="1" x14ac:dyDescent="0.3">
      <c r="B396" s="221"/>
      <c r="C396" s="221"/>
      <c r="D396" s="223" t="s">
        <v>9878</v>
      </c>
      <c r="E396" s="221"/>
      <c r="F396" s="221"/>
      <c r="G396" s="223"/>
    </row>
    <row r="397" spans="2:7" ht="30" customHeight="1" thickBot="1" x14ac:dyDescent="0.3">
      <c r="B397" s="221"/>
      <c r="C397" s="221"/>
      <c r="D397" s="223"/>
      <c r="E397" s="221"/>
      <c r="F397" s="221"/>
      <c r="G397" s="223"/>
    </row>
    <row r="398" spans="2:7" ht="30" customHeight="1" thickBot="1" x14ac:dyDescent="0.3">
      <c r="B398" s="221"/>
      <c r="C398" s="221"/>
      <c r="D398" s="223" t="s">
        <v>2906</v>
      </c>
      <c r="E398" s="221"/>
      <c r="F398" s="221"/>
      <c r="G398" s="223"/>
    </row>
    <row r="399" spans="2:7" ht="30" customHeight="1" thickBot="1" x14ac:dyDescent="0.3">
      <c r="B399" s="221"/>
      <c r="C399" s="221"/>
      <c r="D399" s="223"/>
      <c r="E399" s="221"/>
      <c r="F399" s="221"/>
      <c r="G399" s="223"/>
    </row>
    <row r="400" spans="2:7" ht="30" customHeight="1" thickBot="1" x14ac:dyDescent="0.3">
      <c r="B400" s="221"/>
      <c r="C400" s="221"/>
      <c r="D400" s="223" t="s">
        <v>2907</v>
      </c>
      <c r="E400" s="221"/>
      <c r="F400" s="221"/>
      <c r="G400" s="223"/>
    </row>
    <row r="401" spans="2:7" ht="30" customHeight="1" thickBot="1" x14ac:dyDescent="0.3">
      <c r="B401" s="221" t="s">
        <v>2908</v>
      </c>
      <c r="C401" s="221" t="s">
        <v>2654</v>
      </c>
      <c r="D401" s="222" t="s">
        <v>2909</v>
      </c>
      <c r="E401" s="221" t="s">
        <v>7215</v>
      </c>
      <c r="F401" s="221" t="s">
        <v>2910</v>
      </c>
      <c r="G401" s="221" t="s">
        <v>322</v>
      </c>
    </row>
    <row r="402" spans="2:7" ht="30" customHeight="1" thickBot="1" x14ac:dyDescent="0.3">
      <c r="B402" s="221"/>
      <c r="C402" s="221"/>
      <c r="D402" s="223"/>
      <c r="E402" s="221"/>
      <c r="F402" s="221"/>
      <c r="G402" s="221"/>
    </row>
    <row r="403" spans="2:7" ht="30" customHeight="1" thickBot="1" x14ac:dyDescent="0.3">
      <c r="B403" s="221"/>
      <c r="C403" s="221"/>
      <c r="D403" s="223" t="s">
        <v>9879</v>
      </c>
      <c r="E403" s="221"/>
      <c r="F403" s="221"/>
      <c r="G403" s="221"/>
    </row>
    <row r="404" spans="2:7" ht="30" customHeight="1" thickBot="1" x14ac:dyDescent="0.3">
      <c r="B404" s="221" t="s">
        <v>2911</v>
      </c>
      <c r="C404" s="221" t="s">
        <v>2654</v>
      </c>
      <c r="D404" s="222" t="s">
        <v>2912</v>
      </c>
      <c r="E404" s="221" t="s">
        <v>2913</v>
      </c>
      <c r="F404" s="221" t="s">
        <v>2914</v>
      </c>
      <c r="G404" s="221" t="s">
        <v>74</v>
      </c>
    </row>
    <row r="405" spans="2:7" ht="30" customHeight="1" thickBot="1" x14ac:dyDescent="0.3">
      <c r="B405" s="221"/>
      <c r="C405" s="221"/>
      <c r="D405" s="223"/>
      <c r="E405" s="221"/>
      <c r="F405" s="221"/>
      <c r="G405" s="221"/>
    </row>
    <row r="406" spans="2:7" ht="30" customHeight="1" thickBot="1" x14ac:dyDescent="0.3">
      <c r="B406" s="221"/>
      <c r="C406" s="221"/>
      <c r="D406" s="223" t="s">
        <v>2915</v>
      </c>
      <c r="E406" s="221"/>
      <c r="F406" s="221"/>
      <c r="G406" s="221"/>
    </row>
    <row r="407" spans="2:7" ht="30" customHeight="1" thickBot="1" x14ac:dyDescent="0.3">
      <c r="B407" s="221" t="s">
        <v>2916</v>
      </c>
      <c r="C407" s="221" t="s">
        <v>2654</v>
      </c>
      <c r="D407" s="222" t="s">
        <v>2917</v>
      </c>
      <c r="E407" s="221" t="s">
        <v>8647</v>
      </c>
      <c r="F407" s="221" t="s">
        <v>2918</v>
      </c>
      <c r="G407" s="221" t="s">
        <v>84</v>
      </c>
    </row>
    <row r="408" spans="2:7" ht="30" customHeight="1" thickBot="1" x14ac:dyDescent="0.3">
      <c r="B408" s="221"/>
      <c r="C408" s="221"/>
      <c r="D408" s="223"/>
      <c r="E408" s="221"/>
      <c r="F408" s="221"/>
      <c r="G408" s="221"/>
    </row>
    <row r="409" spans="2:7" ht="30" customHeight="1" thickBot="1" x14ac:dyDescent="0.3">
      <c r="B409" s="221"/>
      <c r="C409" s="221"/>
      <c r="D409" s="223" t="s">
        <v>2919</v>
      </c>
      <c r="E409" s="221"/>
      <c r="F409" s="221"/>
      <c r="G409" s="221"/>
    </row>
    <row r="410" spans="2:7" ht="30" customHeight="1" thickBot="1" x14ac:dyDescent="0.3">
      <c r="B410" s="221"/>
      <c r="C410" s="221"/>
      <c r="D410" s="223"/>
      <c r="E410" s="221"/>
      <c r="F410" s="221"/>
      <c r="G410" s="221"/>
    </row>
    <row r="411" spans="2:7" ht="30" customHeight="1" thickBot="1" x14ac:dyDescent="0.3">
      <c r="B411" s="221"/>
      <c r="C411" s="221"/>
      <c r="D411" s="223" t="s">
        <v>2920</v>
      </c>
      <c r="E411" s="221"/>
      <c r="F411" s="221"/>
      <c r="G411" s="221"/>
    </row>
    <row r="412" spans="2:7" ht="30" customHeight="1" thickBot="1" x14ac:dyDescent="0.3">
      <c r="B412" s="221"/>
      <c r="C412" s="221"/>
      <c r="D412" s="223"/>
      <c r="E412" s="221"/>
      <c r="F412" s="221"/>
      <c r="G412" s="221"/>
    </row>
    <row r="413" spans="2:7" ht="30" customHeight="1" thickBot="1" x14ac:dyDescent="0.3">
      <c r="B413" s="221"/>
      <c r="C413" s="221"/>
      <c r="D413" s="223" t="s">
        <v>2921</v>
      </c>
      <c r="E413" s="221"/>
      <c r="F413" s="221"/>
      <c r="G413" s="221"/>
    </row>
    <row r="414" spans="2:7" ht="30" customHeight="1" thickBot="1" x14ac:dyDescent="0.3">
      <c r="B414" s="221"/>
      <c r="C414" s="221"/>
      <c r="D414" s="223"/>
      <c r="E414" s="221"/>
      <c r="F414" s="221"/>
      <c r="G414" s="221"/>
    </row>
    <row r="415" spans="2:7" ht="30" customHeight="1" thickBot="1" x14ac:dyDescent="0.3">
      <c r="B415" s="221"/>
      <c r="C415" s="221"/>
      <c r="D415" s="225" t="s">
        <v>9880</v>
      </c>
      <c r="E415" s="221"/>
      <c r="F415" s="221"/>
      <c r="G415" s="221"/>
    </row>
    <row r="416" spans="2:7" ht="30" customHeight="1" thickBot="1" x14ac:dyDescent="0.3">
      <c r="B416" s="221"/>
      <c r="C416" s="221"/>
      <c r="D416" s="225"/>
      <c r="E416" s="221"/>
      <c r="F416" s="221"/>
      <c r="G416" s="221"/>
    </row>
    <row r="417" spans="2:7" ht="30" customHeight="1" thickBot="1" x14ac:dyDescent="0.3">
      <c r="B417" s="221"/>
      <c r="C417" s="221"/>
      <c r="D417" s="223" t="s">
        <v>2922</v>
      </c>
      <c r="E417" s="221"/>
      <c r="F417" s="221"/>
      <c r="G417" s="221"/>
    </row>
    <row r="418" spans="2:7" ht="30" customHeight="1" thickBot="1" x14ac:dyDescent="0.3">
      <c r="B418" s="221"/>
      <c r="C418" s="221"/>
      <c r="D418" s="223"/>
      <c r="E418" s="221"/>
      <c r="F418" s="221"/>
      <c r="G418" s="221"/>
    </row>
    <row r="419" spans="2:7" ht="30" customHeight="1" thickBot="1" x14ac:dyDescent="0.3">
      <c r="B419" s="221" t="s">
        <v>2923</v>
      </c>
      <c r="C419" s="223"/>
      <c r="D419" s="223"/>
      <c r="E419" s="221" t="s">
        <v>8689</v>
      </c>
      <c r="F419" s="223"/>
      <c r="G419" s="223"/>
    </row>
    <row r="420" spans="2:7" ht="30" customHeight="1" thickBot="1" x14ac:dyDescent="0.3">
      <c r="B420" s="221"/>
      <c r="C420" s="223" t="s">
        <v>2654</v>
      </c>
      <c r="D420" s="222" t="s">
        <v>2924</v>
      </c>
      <c r="E420" s="221"/>
      <c r="F420" s="223"/>
      <c r="G420" s="223"/>
    </row>
    <row r="421" spans="2:7" ht="30" customHeight="1" thickBot="1" x14ac:dyDescent="0.3">
      <c r="B421" s="221"/>
      <c r="C421" s="223"/>
      <c r="D421" s="223"/>
      <c r="E421" s="221"/>
      <c r="F421" s="223"/>
      <c r="G421" s="223"/>
    </row>
    <row r="422" spans="2:7" ht="30" customHeight="1" thickBot="1" x14ac:dyDescent="0.3">
      <c r="B422" s="221"/>
      <c r="C422" s="223"/>
      <c r="D422" s="223" t="s">
        <v>9881</v>
      </c>
      <c r="E422" s="221"/>
      <c r="F422" s="223" t="s">
        <v>2925</v>
      </c>
      <c r="G422" s="223" t="s">
        <v>322</v>
      </c>
    </row>
    <row r="423" spans="2:7" ht="30" customHeight="1" thickBot="1" x14ac:dyDescent="0.3">
      <c r="B423" s="221"/>
      <c r="C423" s="223"/>
      <c r="D423" s="223"/>
      <c r="E423" s="221"/>
      <c r="F423" s="223"/>
      <c r="G423" s="223"/>
    </row>
    <row r="424" spans="2:7" ht="30" customHeight="1" thickBot="1" x14ac:dyDescent="0.3">
      <c r="B424" s="221"/>
      <c r="C424" s="223"/>
      <c r="D424" s="223" t="s">
        <v>2926</v>
      </c>
      <c r="E424" s="221"/>
      <c r="F424" s="223"/>
      <c r="G424" s="223"/>
    </row>
    <row r="425" spans="2:7" ht="30" customHeight="1" thickBot="1" x14ac:dyDescent="0.3">
      <c r="B425" s="221"/>
      <c r="C425" s="223"/>
      <c r="D425" s="223"/>
      <c r="E425" s="221"/>
      <c r="F425" s="223"/>
      <c r="G425" s="223"/>
    </row>
    <row r="426" spans="2:7" ht="30" customHeight="1" thickBot="1" x14ac:dyDescent="0.3">
      <c r="B426" s="221"/>
      <c r="C426" s="223"/>
      <c r="D426" s="223" t="s">
        <v>2927</v>
      </c>
      <c r="E426" s="221"/>
      <c r="F426" s="223"/>
      <c r="G426" s="223"/>
    </row>
    <row r="427" spans="2:7" ht="30" customHeight="1" thickBot="1" x14ac:dyDescent="0.3">
      <c r="B427" s="221"/>
      <c r="C427" s="223"/>
      <c r="D427" s="223"/>
      <c r="E427" s="221"/>
      <c r="F427" s="223"/>
      <c r="G427" s="223"/>
    </row>
    <row r="428" spans="2:7" ht="30" customHeight="1" thickBot="1" x14ac:dyDescent="0.3">
      <c r="B428" s="221"/>
      <c r="C428" s="223"/>
      <c r="D428" s="223" t="s">
        <v>9882</v>
      </c>
      <c r="E428" s="221"/>
      <c r="F428" s="223"/>
      <c r="G428" s="223"/>
    </row>
    <row r="429" spans="2:7" ht="30" customHeight="1" thickBot="1" x14ac:dyDescent="0.3">
      <c r="B429" s="221"/>
      <c r="C429" s="223"/>
      <c r="D429" s="225"/>
      <c r="E429" s="221"/>
      <c r="F429" s="223"/>
      <c r="G429" s="223"/>
    </row>
    <row r="430" spans="2:7" ht="30" customHeight="1" thickBot="1" x14ac:dyDescent="0.3">
      <c r="B430" s="221"/>
      <c r="C430" s="223"/>
      <c r="D430" s="223" t="s">
        <v>9883</v>
      </c>
      <c r="E430" s="221"/>
      <c r="F430" s="223"/>
      <c r="G430" s="223"/>
    </row>
    <row r="431" spans="2:7" ht="30" customHeight="1" thickBot="1" x14ac:dyDescent="0.3">
      <c r="B431" s="219">
        <v>848</v>
      </c>
      <c r="C431" s="220" t="s">
        <v>2928</v>
      </c>
      <c r="D431" s="220" t="s">
        <v>2929</v>
      </c>
      <c r="E431" s="220" t="s">
        <v>349</v>
      </c>
      <c r="F431" s="220" t="s">
        <v>1030</v>
      </c>
      <c r="G431" s="220" t="s">
        <v>2930</v>
      </c>
    </row>
    <row r="432" spans="2:7" ht="30" customHeight="1" thickBot="1" x14ac:dyDescent="0.3">
      <c r="B432" s="219">
        <v>849</v>
      </c>
      <c r="C432" s="220" t="s">
        <v>2931</v>
      </c>
      <c r="D432" s="220" t="s">
        <v>2932</v>
      </c>
      <c r="E432" s="220" t="s">
        <v>9258</v>
      </c>
      <c r="F432" s="220" t="s">
        <v>2933</v>
      </c>
      <c r="G432" s="220" t="s">
        <v>8525</v>
      </c>
    </row>
    <row r="433" spans="2:7" ht="30" customHeight="1" thickBot="1" x14ac:dyDescent="0.3">
      <c r="B433" s="219">
        <f t="shared" ref="B433" si="0">B432+1</f>
        <v>850</v>
      </c>
      <c r="C433" s="220" t="s">
        <v>2931</v>
      </c>
      <c r="D433" s="220" t="s">
        <v>2934</v>
      </c>
      <c r="E433" s="220" t="s">
        <v>7530</v>
      </c>
      <c r="F433" s="220" t="s">
        <v>2935</v>
      </c>
      <c r="G433" s="220"/>
    </row>
    <row r="434" spans="2:7" ht="118.5" customHeight="1" thickBot="1" x14ac:dyDescent="0.3">
      <c r="B434" s="219">
        <f>B433+1</f>
        <v>851</v>
      </c>
      <c r="C434" s="220" t="s">
        <v>2931</v>
      </c>
      <c r="D434" s="220" t="s">
        <v>2936</v>
      </c>
      <c r="E434" s="220" t="s">
        <v>8958</v>
      </c>
      <c r="F434" s="220" t="s">
        <v>2937</v>
      </c>
      <c r="G434" s="220" t="s">
        <v>8526</v>
      </c>
    </row>
    <row r="435" spans="2:7" ht="30" customHeight="1" thickBot="1" x14ac:dyDescent="0.3">
      <c r="B435" s="219">
        <f t="shared" ref="B435:B440" si="1">B434+1</f>
        <v>852</v>
      </c>
      <c r="C435" s="220" t="s">
        <v>2931</v>
      </c>
      <c r="D435" s="220" t="s">
        <v>2938</v>
      </c>
      <c r="E435" s="220" t="s">
        <v>7309</v>
      </c>
      <c r="F435" s="220" t="s">
        <v>2939</v>
      </c>
      <c r="G435" s="220"/>
    </row>
    <row r="436" spans="2:7" ht="30" customHeight="1" thickBot="1" x14ac:dyDescent="0.3">
      <c r="B436" s="219">
        <f t="shared" si="1"/>
        <v>853</v>
      </c>
      <c r="C436" s="220" t="s">
        <v>2931</v>
      </c>
      <c r="D436" s="220" t="s">
        <v>2940</v>
      </c>
      <c r="E436" s="220" t="s">
        <v>7531</v>
      </c>
      <c r="F436" s="220" t="s">
        <v>2941</v>
      </c>
      <c r="G436" s="220"/>
    </row>
    <row r="437" spans="2:7" ht="30" customHeight="1" thickBot="1" x14ac:dyDescent="0.3">
      <c r="B437" s="219">
        <f t="shared" si="1"/>
        <v>854</v>
      </c>
      <c r="C437" s="220" t="s">
        <v>2931</v>
      </c>
      <c r="D437" s="220" t="s">
        <v>2942</v>
      </c>
      <c r="E437" s="220" t="s">
        <v>8605</v>
      </c>
      <c r="F437" s="220" t="s">
        <v>2943</v>
      </c>
      <c r="G437" s="220" t="s">
        <v>565</v>
      </c>
    </row>
    <row r="438" spans="2:7" ht="30" customHeight="1" thickBot="1" x14ac:dyDescent="0.3">
      <c r="B438" s="219">
        <f t="shared" si="1"/>
        <v>855</v>
      </c>
      <c r="C438" s="220" t="s">
        <v>2931</v>
      </c>
      <c r="D438" s="220" t="s">
        <v>2944</v>
      </c>
      <c r="E438" s="220" t="s">
        <v>9129</v>
      </c>
      <c r="F438" s="220" t="s">
        <v>2945</v>
      </c>
      <c r="G438" s="220" t="s">
        <v>84</v>
      </c>
    </row>
    <row r="439" spans="2:7" ht="30" customHeight="1" thickBot="1" x14ac:dyDescent="0.3">
      <c r="B439" s="219">
        <f t="shared" si="1"/>
        <v>856</v>
      </c>
      <c r="C439" s="220" t="s">
        <v>2931</v>
      </c>
      <c r="D439" s="220" t="s">
        <v>2946</v>
      </c>
      <c r="E439" s="220" t="s">
        <v>7310</v>
      </c>
      <c r="F439" s="220" t="s">
        <v>2947</v>
      </c>
      <c r="G439" s="220"/>
    </row>
    <row r="440" spans="2:7" ht="30" customHeight="1" thickBot="1" x14ac:dyDescent="0.3">
      <c r="B440" s="219">
        <f t="shared" si="1"/>
        <v>857</v>
      </c>
      <c r="C440" s="220" t="s">
        <v>2931</v>
      </c>
      <c r="D440" s="220" t="s">
        <v>2948</v>
      </c>
      <c r="E440" s="220" t="s">
        <v>8611</v>
      </c>
      <c r="F440" s="220" t="s">
        <v>2949</v>
      </c>
      <c r="G440" s="220" t="s">
        <v>84</v>
      </c>
    </row>
    <row r="441" spans="2:7" ht="30" customHeight="1" thickBot="1" x14ac:dyDescent="0.3">
      <c r="B441" s="219">
        <v>858</v>
      </c>
      <c r="C441" s="220" t="s">
        <v>2931</v>
      </c>
      <c r="D441" s="220" t="s">
        <v>2950</v>
      </c>
      <c r="E441" s="220" t="s">
        <v>8235</v>
      </c>
      <c r="F441" s="220" t="s">
        <v>2951</v>
      </c>
      <c r="G441" s="220"/>
    </row>
    <row r="442" spans="2:7" ht="30" customHeight="1" thickBot="1" x14ac:dyDescent="0.3">
      <c r="B442" s="220">
        <v>859</v>
      </c>
      <c r="C442" s="220" t="s">
        <v>2952</v>
      </c>
      <c r="D442" s="220" t="s">
        <v>2953</v>
      </c>
      <c r="E442" s="220" t="s">
        <v>8241</v>
      </c>
      <c r="F442" s="220" t="s">
        <v>2954</v>
      </c>
      <c r="G442" s="220" t="s">
        <v>565</v>
      </c>
    </row>
    <row r="443" spans="2:7" ht="30" customHeight="1" thickBot="1" x14ac:dyDescent="0.3">
      <c r="B443" s="220">
        <v>860</v>
      </c>
      <c r="C443" s="220" t="s">
        <v>2952</v>
      </c>
      <c r="D443" s="220" t="s">
        <v>2955</v>
      </c>
      <c r="E443" s="220" t="s">
        <v>7137</v>
      </c>
      <c r="F443" s="220" t="s">
        <v>2954</v>
      </c>
      <c r="G443" s="220" t="s">
        <v>565</v>
      </c>
    </row>
    <row r="444" spans="2:7" ht="30" customHeight="1" thickBot="1" x14ac:dyDescent="0.3">
      <c r="B444" s="220">
        <v>861</v>
      </c>
      <c r="C444" s="220" t="s">
        <v>2952</v>
      </c>
      <c r="D444" s="220" t="s">
        <v>2956</v>
      </c>
      <c r="E444" s="220" t="s">
        <v>9259</v>
      </c>
      <c r="F444" s="220" t="s">
        <v>2954</v>
      </c>
      <c r="G444" s="220" t="s">
        <v>565</v>
      </c>
    </row>
    <row r="445" spans="2:7" ht="30" customHeight="1" thickBot="1" x14ac:dyDescent="0.3">
      <c r="B445" s="220">
        <v>862</v>
      </c>
      <c r="C445" s="220" t="s">
        <v>2952</v>
      </c>
      <c r="D445" s="220" t="s">
        <v>2957</v>
      </c>
      <c r="E445" s="220" t="s">
        <v>7138</v>
      </c>
      <c r="F445" s="220" t="s">
        <v>2958</v>
      </c>
      <c r="G445" s="220" t="s">
        <v>565</v>
      </c>
    </row>
    <row r="446" spans="2:7" ht="30" customHeight="1" thickBot="1" x14ac:dyDescent="0.3">
      <c r="B446" s="220">
        <v>863</v>
      </c>
      <c r="C446" s="220" t="s">
        <v>2952</v>
      </c>
      <c r="D446" s="220" t="s">
        <v>2959</v>
      </c>
      <c r="E446" s="220" t="s">
        <v>7139</v>
      </c>
      <c r="F446" s="220" t="s">
        <v>2960</v>
      </c>
      <c r="G446" s="220" t="s">
        <v>565</v>
      </c>
    </row>
    <row r="447" spans="2:7" ht="30" customHeight="1" thickBot="1" x14ac:dyDescent="0.3">
      <c r="B447" s="220">
        <v>864</v>
      </c>
      <c r="C447" s="220" t="s">
        <v>2952</v>
      </c>
      <c r="D447" s="220" t="s">
        <v>2961</v>
      </c>
      <c r="E447" s="220" t="s">
        <v>7691</v>
      </c>
      <c r="F447" s="220" t="s">
        <v>2962</v>
      </c>
      <c r="G447" s="220" t="s">
        <v>565</v>
      </c>
    </row>
    <row r="448" spans="2:7" ht="30" customHeight="1" thickBot="1" x14ac:dyDescent="0.3">
      <c r="B448" s="220">
        <v>865</v>
      </c>
      <c r="C448" s="220" t="s">
        <v>2952</v>
      </c>
      <c r="D448" s="220" t="s">
        <v>2963</v>
      </c>
      <c r="E448" s="220" t="s">
        <v>7140</v>
      </c>
      <c r="F448" s="220" t="s">
        <v>2964</v>
      </c>
      <c r="G448" s="220" t="s">
        <v>565</v>
      </c>
    </row>
    <row r="449" spans="2:7" ht="30" customHeight="1" thickBot="1" x14ac:dyDescent="0.3">
      <c r="B449" s="220">
        <v>866</v>
      </c>
      <c r="C449" s="220" t="s">
        <v>2952</v>
      </c>
      <c r="D449" s="220" t="s">
        <v>2965</v>
      </c>
      <c r="E449" s="220" t="s">
        <v>7692</v>
      </c>
      <c r="F449" s="220" t="s">
        <v>2966</v>
      </c>
      <c r="G449" s="220" t="s">
        <v>565</v>
      </c>
    </row>
    <row r="450" spans="2:7" ht="30" customHeight="1" thickBot="1" x14ac:dyDescent="0.3">
      <c r="B450" s="220">
        <v>867</v>
      </c>
      <c r="C450" s="220" t="s">
        <v>2952</v>
      </c>
      <c r="D450" s="220" t="s">
        <v>2967</v>
      </c>
      <c r="E450" s="220" t="s">
        <v>7141</v>
      </c>
      <c r="F450" s="220" t="s">
        <v>2968</v>
      </c>
      <c r="G450" s="220" t="s">
        <v>565</v>
      </c>
    </row>
    <row r="451" spans="2:7" ht="30" customHeight="1" thickBot="1" x14ac:dyDescent="0.3">
      <c r="B451" s="220">
        <v>868</v>
      </c>
      <c r="C451" s="220" t="s">
        <v>2952</v>
      </c>
      <c r="D451" s="220" t="s">
        <v>2969</v>
      </c>
      <c r="E451" s="220" t="s">
        <v>2970</v>
      </c>
      <c r="F451" s="220" t="s">
        <v>2971</v>
      </c>
      <c r="G451" s="220" t="s">
        <v>84</v>
      </c>
    </row>
    <row r="452" spans="2:7" ht="30" customHeight="1" thickBot="1" x14ac:dyDescent="0.3">
      <c r="B452" s="220">
        <v>869</v>
      </c>
      <c r="C452" s="220" t="s">
        <v>2952</v>
      </c>
      <c r="D452" s="220" t="s">
        <v>2972</v>
      </c>
      <c r="E452" s="220" t="s">
        <v>8606</v>
      </c>
      <c r="F452" s="220" t="s">
        <v>2973</v>
      </c>
      <c r="G452" s="220" t="s">
        <v>84</v>
      </c>
    </row>
    <row r="453" spans="2:7" ht="30" customHeight="1" thickBot="1" x14ac:dyDescent="0.3">
      <c r="B453" s="220">
        <v>870</v>
      </c>
      <c r="C453" s="220" t="s">
        <v>2952</v>
      </c>
      <c r="D453" s="220" t="s">
        <v>2974</v>
      </c>
      <c r="E453" s="220" t="s">
        <v>7142</v>
      </c>
      <c r="F453" s="220" t="s">
        <v>2975</v>
      </c>
      <c r="G453" s="220" t="s">
        <v>565</v>
      </c>
    </row>
    <row r="454" spans="2:7" ht="30" customHeight="1" thickBot="1" x14ac:dyDescent="0.3">
      <c r="B454" s="220">
        <v>871</v>
      </c>
      <c r="C454" s="220" t="s">
        <v>2952</v>
      </c>
      <c r="D454" s="220" t="s">
        <v>2976</v>
      </c>
      <c r="E454" s="220" t="s">
        <v>7143</v>
      </c>
      <c r="F454" s="220" t="s">
        <v>2977</v>
      </c>
      <c r="G454" s="220" t="s">
        <v>565</v>
      </c>
    </row>
    <row r="455" spans="2:7" ht="30" customHeight="1" thickBot="1" x14ac:dyDescent="0.3">
      <c r="B455" s="220">
        <v>872</v>
      </c>
      <c r="C455" s="220" t="s">
        <v>2952</v>
      </c>
      <c r="D455" s="220" t="s">
        <v>2978</v>
      </c>
      <c r="E455" s="220" t="s">
        <v>7142</v>
      </c>
      <c r="F455" s="220" t="s">
        <v>2979</v>
      </c>
      <c r="G455" s="220" t="s">
        <v>565</v>
      </c>
    </row>
    <row r="456" spans="2:7" ht="30" customHeight="1" thickBot="1" x14ac:dyDescent="0.3">
      <c r="B456" s="220">
        <v>873</v>
      </c>
      <c r="C456" s="220" t="s">
        <v>2952</v>
      </c>
      <c r="D456" s="220" t="s">
        <v>2980</v>
      </c>
      <c r="E456" s="220" t="s">
        <v>7144</v>
      </c>
      <c r="F456" s="220" t="s">
        <v>2981</v>
      </c>
      <c r="G456" s="220" t="s">
        <v>565</v>
      </c>
    </row>
    <row r="457" spans="2:7" ht="30" customHeight="1" thickBot="1" x14ac:dyDescent="0.3">
      <c r="B457" s="220">
        <v>874</v>
      </c>
      <c r="C457" s="220" t="s">
        <v>2952</v>
      </c>
      <c r="D457" s="220" t="s">
        <v>2982</v>
      </c>
      <c r="E457" s="220" t="s">
        <v>7145</v>
      </c>
      <c r="F457" s="220" t="s">
        <v>2983</v>
      </c>
      <c r="G457" s="220" t="s">
        <v>2636</v>
      </c>
    </row>
    <row r="458" spans="2:7" ht="30" customHeight="1" thickBot="1" x14ac:dyDescent="0.3">
      <c r="B458" s="220">
        <v>875</v>
      </c>
      <c r="C458" s="220" t="s">
        <v>2952</v>
      </c>
      <c r="D458" s="220" t="s">
        <v>2984</v>
      </c>
      <c r="E458" s="220" t="s">
        <v>7145</v>
      </c>
      <c r="F458" s="220" t="s">
        <v>2985</v>
      </c>
      <c r="G458" s="220" t="s">
        <v>565</v>
      </c>
    </row>
    <row r="459" spans="2:7" ht="30" customHeight="1" thickBot="1" x14ac:dyDescent="0.3">
      <c r="B459" s="220">
        <v>876</v>
      </c>
      <c r="C459" s="220" t="s">
        <v>2952</v>
      </c>
      <c r="D459" s="220" t="s">
        <v>2986</v>
      </c>
      <c r="E459" s="220" t="s">
        <v>7145</v>
      </c>
      <c r="F459" s="220" t="s">
        <v>2985</v>
      </c>
      <c r="G459" s="220" t="s">
        <v>565</v>
      </c>
    </row>
    <row r="460" spans="2:7" ht="30" customHeight="1" thickBot="1" x14ac:dyDescent="0.3">
      <c r="B460" s="220">
        <v>877</v>
      </c>
      <c r="C460" s="220" t="s">
        <v>2952</v>
      </c>
      <c r="D460" s="220" t="s">
        <v>2987</v>
      </c>
      <c r="E460" s="220" t="s">
        <v>7930</v>
      </c>
      <c r="F460" s="220" t="s">
        <v>2988</v>
      </c>
      <c r="G460" s="220" t="s">
        <v>565</v>
      </c>
    </row>
    <row r="461" spans="2:7" ht="30" customHeight="1" thickBot="1" x14ac:dyDescent="0.3">
      <c r="B461" s="220">
        <v>878</v>
      </c>
      <c r="C461" s="220" t="s">
        <v>2952</v>
      </c>
      <c r="D461" s="220" t="s">
        <v>2989</v>
      </c>
      <c r="E461" s="220" t="s">
        <v>7931</v>
      </c>
      <c r="F461" s="220" t="s">
        <v>2988</v>
      </c>
      <c r="G461" s="220" t="s">
        <v>565</v>
      </c>
    </row>
    <row r="462" spans="2:7" ht="30" customHeight="1" thickBot="1" x14ac:dyDescent="0.3">
      <c r="B462" s="220">
        <v>879</v>
      </c>
      <c r="C462" s="220" t="s">
        <v>2952</v>
      </c>
      <c r="D462" s="220" t="s">
        <v>2990</v>
      </c>
      <c r="E462" s="220" t="s">
        <v>8060</v>
      </c>
      <c r="F462" s="220" t="s">
        <v>2988</v>
      </c>
      <c r="G462" s="220" t="s">
        <v>565</v>
      </c>
    </row>
    <row r="463" spans="2:7" ht="30" customHeight="1" thickBot="1" x14ac:dyDescent="0.3">
      <c r="B463" s="220">
        <v>880</v>
      </c>
      <c r="C463" s="220" t="s">
        <v>2952</v>
      </c>
      <c r="D463" s="220" t="s">
        <v>2991</v>
      </c>
      <c r="E463" s="220" t="s">
        <v>8061</v>
      </c>
      <c r="F463" s="220" t="s">
        <v>2988</v>
      </c>
      <c r="G463" s="220" t="s">
        <v>565</v>
      </c>
    </row>
    <row r="464" spans="2:7" ht="30" customHeight="1" thickBot="1" x14ac:dyDescent="0.3">
      <c r="B464" s="220">
        <v>881</v>
      </c>
      <c r="C464" s="220" t="s">
        <v>2952</v>
      </c>
      <c r="D464" s="220" t="s">
        <v>2992</v>
      </c>
      <c r="E464" s="220" t="s">
        <v>8062</v>
      </c>
      <c r="F464" s="220" t="s">
        <v>2988</v>
      </c>
      <c r="G464" s="220" t="s">
        <v>565</v>
      </c>
    </row>
    <row r="465" spans="2:7" ht="30" customHeight="1" thickBot="1" x14ac:dyDescent="0.3">
      <c r="B465" s="220">
        <v>882</v>
      </c>
      <c r="C465" s="220" t="s">
        <v>2952</v>
      </c>
      <c r="D465" s="220" t="s">
        <v>2993</v>
      </c>
      <c r="E465" s="220" t="s">
        <v>7932</v>
      </c>
      <c r="F465" s="220" t="s">
        <v>2988</v>
      </c>
      <c r="G465" s="220" t="s">
        <v>565</v>
      </c>
    </row>
    <row r="466" spans="2:7" ht="30" customHeight="1" thickBot="1" x14ac:dyDescent="0.3">
      <c r="B466" s="220">
        <v>883</v>
      </c>
      <c r="C466" s="220" t="s">
        <v>2952</v>
      </c>
      <c r="D466" s="220" t="s">
        <v>2994</v>
      </c>
      <c r="E466" s="220" t="s">
        <v>7933</v>
      </c>
      <c r="F466" s="220" t="s">
        <v>2988</v>
      </c>
      <c r="G466" s="220" t="s">
        <v>565</v>
      </c>
    </row>
    <row r="467" spans="2:7" ht="30" customHeight="1" thickBot="1" x14ac:dyDescent="0.3">
      <c r="B467" s="220">
        <v>884</v>
      </c>
      <c r="C467" s="220" t="s">
        <v>2952</v>
      </c>
      <c r="D467" s="220" t="s">
        <v>2995</v>
      </c>
      <c r="E467" s="220" t="s">
        <v>8063</v>
      </c>
      <c r="F467" s="220" t="s">
        <v>2996</v>
      </c>
      <c r="G467" s="220" t="s">
        <v>565</v>
      </c>
    </row>
    <row r="468" spans="2:7" ht="30" customHeight="1" thickBot="1" x14ac:dyDescent="0.3">
      <c r="B468" s="220">
        <v>885</v>
      </c>
      <c r="C468" s="220" t="s">
        <v>2952</v>
      </c>
      <c r="D468" s="220" t="s">
        <v>2997</v>
      </c>
      <c r="E468" s="220" t="s">
        <v>7934</v>
      </c>
      <c r="F468" s="220" t="s">
        <v>2996</v>
      </c>
      <c r="G468" s="220" t="s">
        <v>565</v>
      </c>
    </row>
    <row r="469" spans="2:7" ht="30" customHeight="1" thickBot="1" x14ac:dyDescent="0.3">
      <c r="B469" s="220">
        <v>886</v>
      </c>
      <c r="C469" s="220" t="s">
        <v>2952</v>
      </c>
      <c r="D469" s="220" t="s">
        <v>2998</v>
      </c>
      <c r="E469" s="220" t="s">
        <v>7935</v>
      </c>
      <c r="F469" s="220" t="s">
        <v>2996</v>
      </c>
      <c r="G469" s="220" t="s">
        <v>565</v>
      </c>
    </row>
    <row r="470" spans="2:7" ht="30" customHeight="1" thickBot="1" x14ac:dyDescent="0.3">
      <c r="B470" s="220">
        <v>887</v>
      </c>
      <c r="C470" s="220" t="s">
        <v>2952</v>
      </c>
      <c r="D470" s="220" t="s">
        <v>2999</v>
      </c>
      <c r="E470" s="220" t="s">
        <v>8064</v>
      </c>
      <c r="F470" s="220" t="s">
        <v>3000</v>
      </c>
      <c r="G470" s="220" t="s">
        <v>565</v>
      </c>
    </row>
    <row r="471" spans="2:7" ht="30" customHeight="1" thickBot="1" x14ac:dyDescent="0.3">
      <c r="B471" s="220">
        <v>888</v>
      </c>
      <c r="C471" s="220" t="s">
        <v>2952</v>
      </c>
      <c r="D471" s="220" t="s">
        <v>2999</v>
      </c>
      <c r="E471" s="220" t="s">
        <v>8065</v>
      </c>
      <c r="F471" s="220" t="s">
        <v>3001</v>
      </c>
      <c r="G471" s="220" t="s">
        <v>565</v>
      </c>
    </row>
    <row r="472" spans="2:7" ht="30" customHeight="1" thickBot="1" x14ac:dyDescent="0.3">
      <c r="B472" s="220">
        <v>889</v>
      </c>
      <c r="C472" s="220" t="s">
        <v>2952</v>
      </c>
      <c r="D472" s="220" t="s">
        <v>3002</v>
      </c>
      <c r="E472" s="220" t="s">
        <v>8066</v>
      </c>
      <c r="F472" s="220" t="s">
        <v>3003</v>
      </c>
      <c r="G472" s="220" t="s">
        <v>565</v>
      </c>
    </row>
    <row r="473" spans="2:7" ht="30" customHeight="1" thickBot="1" x14ac:dyDescent="0.3">
      <c r="B473" s="220">
        <v>890</v>
      </c>
      <c r="C473" s="220" t="s">
        <v>2952</v>
      </c>
      <c r="D473" s="220" t="s">
        <v>3002</v>
      </c>
      <c r="E473" s="220" t="s">
        <v>8067</v>
      </c>
      <c r="F473" s="220" t="s">
        <v>3004</v>
      </c>
      <c r="G473" s="220" t="s">
        <v>565</v>
      </c>
    </row>
    <row r="474" spans="2:7" ht="30" customHeight="1" thickBot="1" x14ac:dyDescent="0.3">
      <c r="B474" s="220">
        <v>891</v>
      </c>
      <c r="C474" s="220" t="s">
        <v>2952</v>
      </c>
      <c r="D474" s="220" t="s">
        <v>2999</v>
      </c>
      <c r="E474" s="220" t="s">
        <v>8068</v>
      </c>
      <c r="F474" s="220" t="s">
        <v>3005</v>
      </c>
      <c r="G474" s="220" t="s">
        <v>565</v>
      </c>
    </row>
    <row r="475" spans="2:7" ht="30" customHeight="1" thickBot="1" x14ac:dyDescent="0.3">
      <c r="B475" s="220">
        <v>892</v>
      </c>
      <c r="C475" s="220" t="s">
        <v>2952</v>
      </c>
      <c r="D475" s="220" t="s">
        <v>3002</v>
      </c>
      <c r="E475" s="220" t="s">
        <v>8069</v>
      </c>
      <c r="F475" s="220" t="s">
        <v>3006</v>
      </c>
      <c r="G475" s="220" t="s">
        <v>565</v>
      </c>
    </row>
    <row r="476" spans="2:7" ht="30" customHeight="1" thickBot="1" x14ac:dyDescent="0.3">
      <c r="B476" s="220">
        <v>893</v>
      </c>
      <c r="C476" s="220" t="s">
        <v>2952</v>
      </c>
      <c r="D476" s="220" t="s">
        <v>2999</v>
      </c>
      <c r="E476" s="220" t="s">
        <v>8070</v>
      </c>
      <c r="F476" s="220" t="s">
        <v>3007</v>
      </c>
      <c r="G476" s="220" t="s">
        <v>565</v>
      </c>
    </row>
    <row r="477" spans="2:7" ht="30" customHeight="1" thickBot="1" x14ac:dyDescent="0.3">
      <c r="B477" s="220">
        <v>894</v>
      </c>
      <c r="C477" s="220" t="s">
        <v>2952</v>
      </c>
      <c r="D477" s="220" t="s">
        <v>3002</v>
      </c>
      <c r="E477" s="220" t="s">
        <v>8071</v>
      </c>
      <c r="F477" s="220" t="s">
        <v>3008</v>
      </c>
      <c r="G477" s="220" t="s">
        <v>565</v>
      </c>
    </row>
    <row r="478" spans="2:7" ht="30" customHeight="1" thickBot="1" x14ac:dyDescent="0.3">
      <c r="B478" s="220">
        <v>895</v>
      </c>
      <c r="C478" s="220" t="s">
        <v>2952</v>
      </c>
      <c r="D478" s="220" t="s">
        <v>3002</v>
      </c>
      <c r="E478" s="220" t="s">
        <v>8072</v>
      </c>
      <c r="F478" s="220" t="s">
        <v>3009</v>
      </c>
      <c r="G478" s="220" t="s">
        <v>565</v>
      </c>
    </row>
    <row r="479" spans="2:7" ht="30" customHeight="1" thickBot="1" x14ac:dyDescent="0.3">
      <c r="B479" s="220">
        <v>896</v>
      </c>
      <c r="C479" s="220" t="s">
        <v>2952</v>
      </c>
      <c r="D479" s="220" t="s">
        <v>2999</v>
      </c>
      <c r="E479" s="220" t="s">
        <v>8073</v>
      </c>
      <c r="F479" s="220" t="s">
        <v>3010</v>
      </c>
      <c r="G479" s="220" t="s">
        <v>565</v>
      </c>
    </row>
    <row r="480" spans="2:7" ht="30" customHeight="1" thickBot="1" x14ac:dyDescent="0.3">
      <c r="B480" s="220">
        <v>897</v>
      </c>
      <c r="C480" s="220" t="s">
        <v>2952</v>
      </c>
      <c r="D480" s="220" t="s">
        <v>3011</v>
      </c>
      <c r="E480" s="220" t="s">
        <v>7936</v>
      </c>
      <c r="F480" s="220" t="s">
        <v>2988</v>
      </c>
      <c r="G480" s="220" t="s">
        <v>565</v>
      </c>
    </row>
    <row r="481" spans="2:7" ht="30" customHeight="1" thickBot="1" x14ac:dyDescent="0.3">
      <c r="B481" s="220">
        <v>898</v>
      </c>
      <c r="C481" s="220" t="s">
        <v>2952</v>
      </c>
      <c r="D481" s="220" t="s">
        <v>3012</v>
      </c>
      <c r="E481" s="220" t="s">
        <v>7937</v>
      </c>
      <c r="F481" s="220" t="s">
        <v>2988</v>
      </c>
      <c r="G481" s="220" t="s">
        <v>565</v>
      </c>
    </row>
    <row r="482" spans="2:7" ht="30" customHeight="1" thickBot="1" x14ac:dyDescent="0.3">
      <c r="B482" s="220">
        <v>899</v>
      </c>
      <c r="C482" s="220" t="s">
        <v>2952</v>
      </c>
      <c r="D482" s="220" t="s">
        <v>3013</v>
      </c>
      <c r="E482" s="220" t="s">
        <v>7938</v>
      </c>
      <c r="F482" s="220" t="s">
        <v>2988</v>
      </c>
      <c r="G482" s="220" t="s">
        <v>565</v>
      </c>
    </row>
    <row r="483" spans="2:7" ht="30" customHeight="1" thickBot="1" x14ac:dyDescent="0.3">
      <c r="B483" s="220">
        <v>900</v>
      </c>
      <c r="C483" s="220" t="s">
        <v>2952</v>
      </c>
      <c r="D483" s="220" t="s">
        <v>3014</v>
      </c>
      <c r="E483" s="220" t="s">
        <v>7939</v>
      </c>
      <c r="F483" s="220" t="s">
        <v>2988</v>
      </c>
      <c r="G483" s="220" t="s">
        <v>565</v>
      </c>
    </row>
    <row r="484" spans="2:7" ht="30" customHeight="1" thickBot="1" x14ac:dyDescent="0.3">
      <c r="B484" s="220">
        <v>901</v>
      </c>
      <c r="C484" s="220" t="s">
        <v>2952</v>
      </c>
      <c r="D484" s="220" t="s">
        <v>3015</v>
      </c>
      <c r="E484" s="220" t="s">
        <v>7146</v>
      </c>
      <c r="F484" s="220" t="s">
        <v>3016</v>
      </c>
      <c r="G484" s="220" t="s">
        <v>565</v>
      </c>
    </row>
    <row r="485" spans="2:7" ht="30" customHeight="1" thickBot="1" x14ac:dyDescent="0.3">
      <c r="B485" s="220">
        <v>902</v>
      </c>
      <c r="C485" s="220" t="s">
        <v>2952</v>
      </c>
      <c r="D485" s="220" t="s">
        <v>3017</v>
      </c>
      <c r="E485" s="220" t="s">
        <v>7693</v>
      </c>
      <c r="F485" s="220" t="s">
        <v>3016</v>
      </c>
      <c r="G485" s="220" t="s">
        <v>565</v>
      </c>
    </row>
    <row r="486" spans="2:7" ht="30" customHeight="1" thickBot="1" x14ac:dyDescent="0.3">
      <c r="B486" s="220">
        <v>903</v>
      </c>
      <c r="C486" s="220" t="s">
        <v>2952</v>
      </c>
      <c r="D486" s="220" t="s">
        <v>3018</v>
      </c>
      <c r="E486" s="220" t="s">
        <v>7147</v>
      </c>
      <c r="F486" s="220" t="s">
        <v>3016</v>
      </c>
      <c r="G486" s="220" t="s">
        <v>565</v>
      </c>
    </row>
    <row r="487" spans="2:7" ht="30" customHeight="1" thickBot="1" x14ac:dyDescent="0.3">
      <c r="B487" s="220">
        <v>904</v>
      </c>
      <c r="C487" s="220" t="s">
        <v>2952</v>
      </c>
      <c r="D487" s="220" t="s">
        <v>3019</v>
      </c>
      <c r="E487" s="220" t="s">
        <v>7148</v>
      </c>
      <c r="F487" s="220" t="s">
        <v>3020</v>
      </c>
      <c r="G487" s="220" t="s">
        <v>565</v>
      </c>
    </row>
    <row r="488" spans="2:7" ht="30" customHeight="1" thickBot="1" x14ac:dyDescent="0.3">
      <c r="B488" s="220">
        <v>905</v>
      </c>
      <c r="C488" s="220" t="s">
        <v>2952</v>
      </c>
      <c r="D488" s="220" t="s">
        <v>3021</v>
      </c>
      <c r="E488" s="220" t="s">
        <v>7148</v>
      </c>
      <c r="F488" s="220" t="s">
        <v>3016</v>
      </c>
      <c r="G488" s="220" t="s">
        <v>565</v>
      </c>
    </row>
    <row r="489" spans="2:7" ht="30" customHeight="1" thickBot="1" x14ac:dyDescent="0.3">
      <c r="B489" s="220">
        <v>906</v>
      </c>
      <c r="C489" s="220" t="s">
        <v>2952</v>
      </c>
      <c r="D489" s="220" t="s">
        <v>3022</v>
      </c>
      <c r="E489" s="220" t="s">
        <v>7149</v>
      </c>
      <c r="F489" s="220" t="s">
        <v>3016</v>
      </c>
      <c r="G489" s="220" t="s">
        <v>565</v>
      </c>
    </row>
    <row r="490" spans="2:7" ht="30" customHeight="1" thickBot="1" x14ac:dyDescent="0.3">
      <c r="B490" s="220">
        <v>907</v>
      </c>
      <c r="C490" s="220" t="s">
        <v>2952</v>
      </c>
      <c r="D490" s="220" t="s">
        <v>3023</v>
      </c>
      <c r="E490" s="220" t="s">
        <v>7150</v>
      </c>
      <c r="F490" s="220" t="s">
        <v>3020</v>
      </c>
      <c r="G490" s="220" t="s">
        <v>565</v>
      </c>
    </row>
    <row r="491" spans="2:7" ht="30" customHeight="1" thickBot="1" x14ac:dyDescent="0.3">
      <c r="B491" s="220">
        <v>908</v>
      </c>
      <c r="C491" s="220" t="s">
        <v>2952</v>
      </c>
      <c r="D491" s="220" t="s">
        <v>3024</v>
      </c>
      <c r="E491" s="220" t="s">
        <v>7151</v>
      </c>
      <c r="F491" s="220" t="s">
        <v>3020</v>
      </c>
      <c r="G491" s="220" t="s">
        <v>565</v>
      </c>
    </row>
    <row r="492" spans="2:7" ht="30" customHeight="1" thickBot="1" x14ac:dyDescent="0.3">
      <c r="B492" s="220">
        <v>909</v>
      </c>
      <c r="C492" s="220" t="s">
        <v>2952</v>
      </c>
      <c r="D492" s="220" t="s">
        <v>3025</v>
      </c>
      <c r="E492" s="220" t="s">
        <v>7152</v>
      </c>
      <c r="F492" s="220" t="s">
        <v>3020</v>
      </c>
      <c r="G492" s="220" t="s">
        <v>565</v>
      </c>
    </row>
    <row r="493" spans="2:7" ht="30" customHeight="1" thickBot="1" x14ac:dyDescent="0.3">
      <c r="B493" s="220">
        <v>910</v>
      </c>
      <c r="C493" s="220" t="s">
        <v>2952</v>
      </c>
      <c r="D493" s="220" t="s">
        <v>3026</v>
      </c>
      <c r="E493" s="220" t="s">
        <v>8260</v>
      </c>
      <c r="F493" s="220" t="s">
        <v>3016</v>
      </c>
      <c r="G493" s="220" t="s">
        <v>565</v>
      </c>
    </row>
    <row r="494" spans="2:7" ht="30" customHeight="1" thickBot="1" x14ac:dyDescent="0.3">
      <c r="B494" s="220">
        <v>911</v>
      </c>
      <c r="C494" s="220" t="s">
        <v>2952</v>
      </c>
      <c r="D494" s="220" t="s">
        <v>3027</v>
      </c>
      <c r="E494" s="220" t="s">
        <v>7153</v>
      </c>
      <c r="F494" s="220" t="s">
        <v>3028</v>
      </c>
      <c r="G494" s="220" t="s">
        <v>565</v>
      </c>
    </row>
    <row r="495" spans="2:7" ht="30" customHeight="1" thickBot="1" x14ac:dyDescent="0.3">
      <c r="B495" s="220">
        <v>912</v>
      </c>
      <c r="C495" s="220" t="s">
        <v>2952</v>
      </c>
      <c r="D495" s="220" t="s">
        <v>3029</v>
      </c>
      <c r="E495" s="220" t="s">
        <v>8261</v>
      </c>
      <c r="F495" s="220" t="s">
        <v>3030</v>
      </c>
      <c r="G495" s="220" t="s">
        <v>565</v>
      </c>
    </row>
    <row r="496" spans="2:7" ht="30" customHeight="1" thickBot="1" x14ac:dyDescent="0.3">
      <c r="B496" s="220">
        <v>913</v>
      </c>
      <c r="C496" s="220" t="s">
        <v>2952</v>
      </c>
      <c r="D496" s="220" t="s">
        <v>3031</v>
      </c>
      <c r="E496" s="220" t="s">
        <v>7154</v>
      </c>
      <c r="F496" s="220" t="s">
        <v>3030</v>
      </c>
      <c r="G496" s="220" t="s">
        <v>565</v>
      </c>
    </row>
    <row r="497" spans="2:7" ht="30" customHeight="1" thickBot="1" x14ac:dyDescent="0.3">
      <c r="B497" s="220">
        <v>914</v>
      </c>
      <c r="C497" s="220" t="s">
        <v>2952</v>
      </c>
      <c r="D497" s="220" t="s">
        <v>3032</v>
      </c>
      <c r="E497" s="220" t="s">
        <v>8262</v>
      </c>
      <c r="F497" s="220" t="s">
        <v>3030</v>
      </c>
      <c r="G497" s="220" t="s">
        <v>565</v>
      </c>
    </row>
    <row r="498" spans="2:7" ht="30" customHeight="1" thickBot="1" x14ac:dyDescent="0.3">
      <c r="B498" s="220">
        <v>915</v>
      </c>
      <c r="C498" s="220" t="s">
        <v>2952</v>
      </c>
      <c r="D498" s="220" t="s">
        <v>3033</v>
      </c>
      <c r="E498" s="220" t="s">
        <v>7155</v>
      </c>
      <c r="F498" s="220" t="s">
        <v>3030</v>
      </c>
      <c r="G498" s="220" t="s">
        <v>565</v>
      </c>
    </row>
    <row r="499" spans="2:7" ht="30" customHeight="1" thickBot="1" x14ac:dyDescent="0.3">
      <c r="B499" s="220">
        <v>916</v>
      </c>
      <c r="C499" s="220" t="s">
        <v>2952</v>
      </c>
      <c r="D499" s="220" t="s">
        <v>3034</v>
      </c>
      <c r="E499" s="220" t="s">
        <v>7156</v>
      </c>
      <c r="F499" s="220" t="s">
        <v>3030</v>
      </c>
      <c r="G499" s="220" t="s">
        <v>565</v>
      </c>
    </row>
    <row r="500" spans="2:7" ht="30" customHeight="1" thickBot="1" x14ac:dyDescent="0.3">
      <c r="B500" s="220">
        <v>917</v>
      </c>
      <c r="C500" s="220" t="s">
        <v>2952</v>
      </c>
      <c r="D500" s="220" t="s">
        <v>3035</v>
      </c>
      <c r="E500" s="220" t="s">
        <v>7157</v>
      </c>
      <c r="F500" s="220" t="s">
        <v>3030</v>
      </c>
      <c r="G500" s="220" t="s">
        <v>565</v>
      </c>
    </row>
    <row r="501" spans="2:7" ht="30" customHeight="1" thickBot="1" x14ac:dyDescent="0.3">
      <c r="B501" s="220">
        <v>918</v>
      </c>
      <c r="C501" s="220" t="s">
        <v>2952</v>
      </c>
      <c r="D501" s="220" t="s">
        <v>3036</v>
      </c>
      <c r="E501" s="220" t="s">
        <v>7694</v>
      </c>
      <c r="F501" s="220" t="s">
        <v>3030</v>
      </c>
      <c r="G501" s="220" t="s">
        <v>565</v>
      </c>
    </row>
    <row r="502" spans="2:7" ht="30" customHeight="1" thickBot="1" x14ac:dyDescent="0.3">
      <c r="B502" s="220">
        <v>919</v>
      </c>
      <c r="C502" s="220" t="s">
        <v>2952</v>
      </c>
      <c r="D502" s="220" t="s">
        <v>3037</v>
      </c>
      <c r="E502" s="220" t="s">
        <v>7695</v>
      </c>
      <c r="F502" s="220" t="s">
        <v>3030</v>
      </c>
      <c r="G502" s="220" t="s">
        <v>565</v>
      </c>
    </row>
    <row r="503" spans="2:7" ht="30" customHeight="1" thickBot="1" x14ac:dyDescent="0.3">
      <c r="B503" s="220">
        <v>920</v>
      </c>
      <c r="C503" s="220" t="s">
        <v>2952</v>
      </c>
      <c r="D503" s="220" t="s">
        <v>3038</v>
      </c>
      <c r="E503" s="220" t="s">
        <v>7237</v>
      </c>
      <c r="F503" s="220" t="s">
        <v>3039</v>
      </c>
      <c r="G503" s="220" t="s">
        <v>565</v>
      </c>
    </row>
    <row r="504" spans="2:7" ht="30" customHeight="1" thickBot="1" x14ac:dyDescent="0.3">
      <c r="B504" s="220">
        <v>921</v>
      </c>
      <c r="C504" s="220" t="s">
        <v>2952</v>
      </c>
      <c r="D504" s="220" t="s">
        <v>3040</v>
      </c>
      <c r="E504" s="220" t="s">
        <v>9260</v>
      </c>
      <c r="F504" s="220" t="s">
        <v>3041</v>
      </c>
      <c r="G504" s="220" t="s">
        <v>565</v>
      </c>
    </row>
    <row r="505" spans="2:7" ht="30" customHeight="1" thickBot="1" x14ac:dyDescent="0.3">
      <c r="B505" s="220">
        <v>922</v>
      </c>
      <c r="C505" s="220" t="s">
        <v>2952</v>
      </c>
      <c r="D505" s="220" t="s">
        <v>3042</v>
      </c>
      <c r="E505" s="220" t="s">
        <v>7511</v>
      </c>
      <c r="F505" s="220" t="s">
        <v>3043</v>
      </c>
      <c r="G505" s="220" t="s">
        <v>565</v>
      </c>
    </row>
    <row r="506" spans="2:7" ht="30" customHeight="1" thickBot="1" x14ac:dyDescent="0.3">
      <c r="B506" s="220">
        <v>923</v>
      </c>
      <c r="C506" s="220" t="s">
        <v>2952</v>
      </c>
      <c r="D506" s="220" t="s">
        <v>3044</v>
      </c>
      <c r="E506" s="220" t="s">
        <v>9261</v>
      </c>
      <c r="F506" s="220" t="s">
        <v>3041</v>
      </c>
      <c r="G506" s="220" t="s">
        <v>565</v>
      </c>
    </row>
    <row r="507" spans="2:7" ht="30" customHeight="1" thickBot="1" x14ac:dyDescent="0.3">
      <c r="B507" s="220">
        <v>924</v>
      </c>
      <c r="C507" s="220" t="s">
        <v>2952</v>
      </c>
      <c r="D507" s="220" t="s">
        <v>3045</v>
      </c>
      <c r="E507" s="220" t="s">
        <v>7158</v>
      </c>
      <c r="F507" s="220" t="s">
        <v>3046</v>
      </c>
      <c r="G507" s="220" t="s">
        <v>565</v>
      </c>
    </row>
    <row r="508" spans="2:7" ht="30" customHeight="1" thickBot="1" x14ac:dyDescent="0.3">
      <c r="B508" s="220">
        <v>925</v>
      </c>
      <c r="C508" s="220" t="s">
        <v>2952</v>
      </c>
      <c r="D508" s="220" t="s">
        <v>3047</v>
      </c>
      <c r="E508" s="220" t="s">
        <v>7159</v>
      </c>
      <c r="F508" s="220" t="s">
        <v>3046</v>
      </c>
      <c r="G508" s="220" t="s">
        <v>565</v>
      </c>
    </row>
    <row r="509" spans="2:7" ht="30" customHeight="1" thickBot="1" x14ac:dyDescent="0.3">
      <c r="B509" s="220">
        <v>926</v>
      </c>
      <c r="C509" s="220" t="s">
        <v>2952</v>
      </c>
      <c r="D509" s="220" t="s">
        <v>3048</v>
      </c>
      <c r="E509" s="220" t="s">
        <v>7160</v>
      </c>
      <c r="F509" s="220" t="s">
        <v>3046</v>
      </c>
      <c r="G509" s="220" t="s">
        <v>565</v>
      </c>
    </row>
    <row r="510" spans="2:7" ht="30" customHeight="1" thickBot="1" x14ac:dyDescent="0.3">
      <c r="B510" s="220">
        <v>927</v>
      </c>
      <c r="C510" s="220" t="s">
        <v>2952</v>
      </c>
      <c r="D510" s="220" t="s">
        <v>3049</v>
      </c>
      <c r="E510" s="220" t="s">
        <v>7161</v>
      </c>
      <c r="F510" s="220" t="s">
        <v>3050</v>
      </c>
      <c r="G510" s="220" t="s">
        <v>565</v>
      </c>
    </row>
    <row r="511" spans="2:7" ht="30" customHeight="1" thickBot="1" x14ac:dyDescent="0.3">
      <c r="B511" s="220">
        <v>928</v>
      </c>
      <c r="C511" s="220" t="s">
        <v>2952</v>
      </c>
      <c r="D511" s="220" t="s">
        <v>3051</v>
      </c>
      <c r="E511" s="220" t="s">
        <v>7162</v>
      </c>
      <c r="F511" s="220" t="s">
        <v>3046</v>
      </c>
      <c r="G511" s="220" t="s">
        <v>565</v>
      </c>
    </row>
    <row r="512" spans="2:7" ht="30" customHeight="1" thickBot="1" x14ac:dyDescent="0.3">
      <c r="B512" s="220">
        <v>929</v>
      </c>
      <c r="C512" s="220" t="s">
        <v>2952</v>
      </c>
      <c r="D512" s="220" t="s">
        <v>3052</v>
      </c>
      <c r="E512" s="220" t="s">
        <v>7696</v>
      </c>
      <c r="F512" s="220" t="s">
        <v>3053</v>
      </c>
      <c r="G512" s="220" t="s">
        <v>565</v>
      </c>
    </row>
    <row r="513" spans="2:7" ht="30" customHeight="1" thickBot="1" x14ac:dyDescent="0.3">
      <c r="B513" s="220">
        <v>930</v>
      </c>
      <c r="C513" s="220" t="s">
        <v>2952</v>
      </c>
      <c r="D513" s="220" t="s">
        <v>3054</v>
      </c>
      <c r="E513" s="220" t="s">
        <v>7163</v>
      </c>
      <c r="F513" s="220" t="s">
        <v>3053</v>
      </c>
      <c r="G513" s="220" t="s">
        <v>565</v>
      </c>
    </row>
    <row r="514" spans="2:7" ht="30" customHeight="1" thickBot="1" x14ac:dyDescent="0.3">
      <c r="B514" s="220">
        <v>931</v>
      </c>
      <c r="C514" s="220" t="s">
        <v>2952</v>
      </c>
      <c r="D514" s="220" t="s">
        <v>3055</v>
      </c>
      <c r="E514" s="220" t="s">
        <v>7164</v>
      </c>
      <c r="F514" s="220" t="s">
        <v>3056</v>
      </c>
      <c r="G514" s="220" t="s">
        <v>565</v>
      </c>
    </row>
    <row r="515" spans="2:7" ht="30" customHeight="1" thickBot="1" x14ac:dyDescent="0.3">
      <c r="B515" s="220">
        <v>932</v>
      </c>
      <c r="C515" s="220" t="s">
        <v>2952</v>
      </c>
      <c r="D515" s="220" t="s">
        <v>3057</v>
      </c>
      <c r="E515" s="220" t="s">
        <v>7165</v>
      </c>
      <c r="F515" s="220" t="s">
        <v>3058</v>
      </c>
      <c r="G515" s="220" t="s">
        <v>565</v>
      </c>
    </row>
    <row r="516" spans="2:7" ht="30" customHeight="1" thickBot="1" x14ac:dyDescent="0.3">
      <c r="B516" s="220">
        <v>933</v>
      </c>
      <c r="C516" s="220" t="s">
        <v>2952</v>
      </c>
      <c r="D516" s="220" t="s">
        <v>3059</v>
      </c>
      <c r="E516" s="220" t="s">
        <v>9262</v>
      </c>
      <c r="F516" s="220" t="s">
        <v>3041</v>
      </c>
      <c r="G516" s="220" t="s">
        <v>565</v>
      </c>
    </row>
    <row r="517" spans="2:7" ht="30" customHeight="1" thickBot="1" x14ac:dyDescent="0.3">
      <c r="B517" s="220">
        <v>934</v>
      </c>
      <c r="C517" s="220" t="s">
        <v>2952</v>
      </c>
      <c r="D517" s="220" t="s">
        <v>3060</v>
      </c>
      <c r="E517" s="220" t="s">
        <v>9263</v>
      </c>
      <c r="F517" s="220" t="s">
        <v>3041</v>
      </c>
      <c r="G517" s="220" t="s">
        <v>565</v>
      </c>
    </row>
    <row r="518" spans="2:7" ht="30" customHeight="1" thickBot="1" x14ac:dyDescent="0.3">
      <c r="B518" s="220">
        <v>935</v>
      </c>
      <c r="C518" s="220" t="s">
        <v>2952</v>
      </c>
      <c r="D518" s="220" t="s">
        <v>3061</v>
      </c>
      <c r="E518" s="220" t="s">
        <v>7511</v>
      </c>
      <c r="F518" s="220" t="s">
        <v>3041</v>
      </c>
      <c r="G518" s="220" t="s">
        <v>565</v>
      </c>
    </row>
    <row r="519" spans="2:7" ht="30" customHeight="1" thickBot="1" x14ac:dyDescent="0.3">
      <c r="B519" s="220">
        <v>936</v>
      </c>
      <c r="C519" s="220" t="s">
        <v>2952</v>
      </c>
      <c r="D519" s="220" t="s">
        <v>3062</v>
      </c>
      <c r="E519" s="220" t="s">
        <v>9264</v>
      </c>
      <c r="F519" s="220" t="s">
        <v>3041</v>
      </c>
      <c r="G519" s="220" t="s">
        <v>565</v>
      </c>
    </row>
    <row r="520" spans="2:7" ht="30" customHeight="1" thickBot="1" x14ac:dyDescent="0.3">
      <c r="B520" s="220">
        <v>937</v>
      </c>
      <c r="C520" s="220" t="s">
        <v>2952</v>
      </c>
      <c r="D520" s="220" t="s">
        <v>3063</v>
      </c>
      <c r="E520" s="220" t="s">
        <v>7512</v>
      </c>
      <c r="F520" s="220" t="s">
        <v>3041</v>
      </c>
      <c r="G520" s="220" t="s">
        <v>565</v>
      </c>
    </row>
    <row r="521" spans="2:7" ht="30" customHeight="1" thickBot="1" x14ac:dyDescent="0.3">
      <c r="B521" s="220">
        <v>938</v>
      </c>
      <c r="C521" s="220" t="s">
        <v>2952</v>
      </c>
      <c r="D521" s="220" t="s">
        <v>3064</v>
      </c>
      <c r="E521" s="220" t="s">
        <v>9265</v>
      </c>
      <c r="F521" s="220" t="s">
        <v>3041</v>
      </c>
      <c r="G521" s="220" t="s">
        <v>565</v>
      </c>
    </row>
    <row r="522" spans="2:7" ht="30" customHeight="1" thickBot="1" x14ac:dyDescent="0.3">
      <c r="B522" s="220">
        <v>939</v>
      </c>
      <c r="C522" s="220" t="s">
        <v>2952</v>
      </c>
      <c r="D522" s="220" t="s">
        <v>3065</v>
      </c>
      <c r="E522" s="220" t="s">
        <v>7166</v>
      </c>
      <c r="F522" s="220" t="s">
        <v>3030</v>
      </c>
      <c r="G522" s="220" t="s">
        <v>565</v>
      </c>
    </row>
    <row r="523" spans="2:7" ht="30" customHeight="1" thickBot="1" x14ac:dyDescent="0.3">
      <c r="B523" s="220">
        <v>940</v>
      </c>
      <c r="C523" s="220" t="s">
        <v>2952</v>
      </c>
      <c r="D523" s="220" t="s">
        <v>3066</v>
      </c>
      <c r="E523" s="220" t="s">
        <v>7697</v>
      </c>
      <c r="F523" s="220" t="s">
        <v>3030</v>
      </c>
      <c r="G523" s="220" t="s">
        <v>565</v>
      </c>
    </row>
    <row r="524" spans="2:7" ht="30" customHeight="1" thickBot="1" x14ac:dyDescent="0.3">
      <c r="B524" s="220">
        <v>941</v>
      </c>
      <c r="C524" s="220" t="s">
        <v>2952</v>
      </c>
      <c r="D524" s="220" t="s">
        <v>3067</v>
      </c>
      <c r="E524" s="220" t="s">
        <v>7167</v>
      </c>
      <c r="F524" s="220" t="s">
        <v>3030</v>
      </c>
      <c r="G524" s="220" t="s">
        <v>565</v>
      </c>
    </row>
    <row r="525" spans="2:7" ht="30" customHeight="1" thickBot="1" x14ac:dyDescent="0.3">
      <c r="B525" s="220">
        <v>942</v>
      </c>
      <c r="C525" s="220" t="s">
        <v>2952</v>
      </c>
      <c r="D525" s="220" t="s">
        <v>3068</v>
      </c>
      <c r="E525" s="220" t="s">
        <v>7168</v>
      </c>
      <c r="F525" s="220" t="s">
        <v>3069</v>
      </c>
      <c r="G525" s="220" t="s">
        <v>565</v>
      </c>
    </row>
    <row r="526" spans="2:7" ht="30" customHeight="1" thickBot="1" x14ac:dyDescent="0.3">
      <c r="B526" s="220">
        <v>943</v>
      </c>
      <c r="C526" s="220" t="s">
        <v>2952</v>
      </c>
      <c r="D526" s="220" t="s">
        <v>3070</v>
      </c>
      <c r="E526" s="220" t="s">
        <v>9266</v>
      </c>
      <c r="F526" s="220" t="s">
        <v>3069</v>
      </c>
      <c r="G526" s="220" t="s">
        <v>565</v>
      </c>
    </row>
    <row r="527" spans="2:7" ht="30" customHeight="1" thickBot="1" x14ac:dyDescent="0.3">
      <c r="B527" s="220">
        <v>944</v>
      </c>
      <c r="C527" s="220" t="s">
        <v>2952</v>
      </c>
      <c r="D527" s="220" t="s">
        <v>3071</v>
      </c>
      <c r="E527" s="220" t="s">
        <v>7698</v>
      </c>
      <c r="F527" s="220" t="s">
        <v>3030</v>
      </c>
      <c r="G527" s="220" t="s">
        <v>565</v>
      </c>
    </row>
    <row r="528" spans="2:7" ht="30" customHeight="1" thickBot="1" x14ac:dyDescent="0.3">
      <c r="B528" s="219">
        <v>945</v>
      </c>
      <c r="C528" s="220" t="s">
        <v>3072</v>
      </c>
      <c r="D528" s="220" t="s">
        <v>3073</v>
      </c>
      <c r="E528" s="220" t="s">
        <v>6023</v>
      </c>
      <c r="F528" s="220"/>
      <c r="G528" s="220" t="s">
        <v>74</v>
      </c>
    </row>
    <row r="529" spans="2:7" ht="30" customHeight="1" thickBot="1" x14ac:dyDescent="0.3">
      <c r="B529" s="219">
        <v>946</v>
      </c>
      <c r="C529" s="220" t="s">
        <v>3072</v>
      </c>
      <c r="D529" s="220" t="s">
        <v>3074</v>
      </c>
      <c r="E529" s="220" t="s">
        <v>3075</v>
      </c>
      <c r="F529" s="220"/>
      <c r="G529" s="220" t="s">
        <v>322</v>
      </c>
    </row>
    <row r="530" spans="2:7" ht="30" customHeight="1" thickBot="1" x14ac:dyDescent="0.3">
      <c r="B530" s="220">
        <v>947</v>
      </c>
      <c r="C530" s="220" t="s">
        <v>3072</v>
      </c>
      <c r="D530" s="220" t="s">
        <v>9884</v>
      </c>
      <c r="E530" s="220" t="s">
        <v>7945</v>
      </c>
      <c r="F530" s="220"/>
      <c r="G530" s="220"/>
    </row>
    <row r="531" spans="2:7" ht="30" customHeight="1" thickBot="1" x14ac:dyDescent="0.3">
      <c r="B531" s="219">
        <v>948</v>
      </c>
      <c r="C531" s="220" t="s">
        <v>3072</v>
      </c>
      <c r="D531" s="220" t="s">
        <v>9885</v>
      </c>
      <c r="E531" s="220" t="s">
        <v>3076</v>
      </c>
      <c r="F531" s="220"/>
      <c r="G531" s="220" t="s">
        <v>322</v>
      </c>
    </row>
    <row r="532" spans="2:7" ht="30" customHeight="1" thickBot="1" x14ac:dyDescent="0.3">
      <c r="B532" s="219">
        <v>949</v>
      </c>
      <c r="C532" s="220" t="s">
        <v>3072</v>
      </c>
      <c r="D532" s="220" t="s">
        <v>9886</v>
      </c>
      <c r="E532" s="220" t="s">
        <v>6024</v>
      </c>
      <c r="F532" s="220"/>
      <c r="G532" s="220" t="s">
        <v>74</v>
      </c>
    </row>
    <row r="533" spans="2:7" ht="30" customHeight="1" thickBot="1" x14ac:dyDescent="0.3">
      <c r="B533" s="220">
        <v>950</v>
      </c>
      <c r="C533" s="220" t="s">
        <v>3072</v>
      </c>
      <c r="D533" s="220" t="s">
        <v>3077</v>
      </c>
      <c r="E533" s="220" t="s">
        <v>6024</v>
      </c>
      <c r="F533" s="220"/>
      <c r="G533" s="220" t="s">
        <v>74</v>
      </c>
    </row>
    <row r="534" spans="2:7" ht="30" customHeight="1" thickBot="1" x14ac:dyDescent="0.3">
      <c r="B534" s="219">
        <v>951</v>
      </c>
      <c r="C534" s="220" t="s">
        <v>3072</v>
      </c>
      <c r="D534" s="220" t="s">
        <v>3078</v>
      </c>
      <c r="E534" s="220" t="s">
        <v>6024</v>
      </c>
      <c r="F534" s="220"/>
      <c r="G534" s="220" t="s">
        <v>74</v>
      </c>
    </row>
    <row r="535" spans="2:7" ht="30" customHeight="1" thickBot="1" x14ac:dyDescent="0.3">
      <c r="B535" s="220">
        <v>952</v>
      </c>
      <c r="C535" s="220" t="s">
        <v>3072</v>
      </c>
      <c r="D535" s="220" t="s">
        <v>9887</v>
      </c>
      <c r="E535" s="220" t="s">
        <v>3079</v>
      </c>
      <c r="F535" s="220"/>
      <c r="G535" s="220" t="s">
        <v>2890</v>
      </c>
    </row>
    <row r="536" spans="2:7" ht="30" customHeight="1" thickBot="1" x14ac:dyDescent="0.3">
      <c r="B536" s="219">
        <v>953</v>
      </c>
      <c r="C536" s="220" t="s">
        <v>3072</v>
      </c>
      <c r="D536" s="220" t="s">
        <v>3080</v>
      </c>
      <c r="E536" s="220" t="s">
        <v>7216</v>
      </c>
      <c r="F536" s="220"/>
      <c r="G536" s="220"/>
    </row>
    <row r="537" spans="2:7" ht="30" customHeight="1" thickBot="1" x14ac:dyDescent="0.3">
      <c r="B537" s="219">
        <v>954</v>
      </c>
      <c r="C537" s="220" t="s">
        <v>3072</v>
      </c>
      <c r="D537" s="220" t="s">
        <v>3081</v>
      </c>
      <c r="E537" s="220" t="s">
        <v>3082</v>
      </c>
      <c r="F537" s="220"/>
      <c r="G537" s="220"/>
    </row>
    <row r="538" spans="2:7" ht="30" customHeight="1" thickBot="1" x14ac:dyDescent="0.3">
      <c r="B538" s="220">
        <v>955</v>
      </c>
      <c r="C538" s="220" t="s">
        <v>3072</v>
      </c>
      <c r="D538" s="220" t="s">
        <v>9888</v>
      </c>
      <c r="E538" s="220" t="s">
        <v>8948</v>
      </c>
      <c r="F538" s="220"/>
      <c r="G538" s="220" t="s">
        <v>322</v>
      </c>
    </row>
    <row r="539" spans="2:7" ht="30" customHeight="1" thickBot="1" x14ac:dyDescent="0.3">
      <c r="B539" s="219">
        <v>956</v>
      </c>
      <c r="C539" s="220" t="s">
        <v>3072</v>
      </c>
      <c r="D539" s="220" t="s">
        <v>9889</v>
      </c>
      <c r="E539" s="220" t="s">
        <v>7311</v>
      </c>
      <c r="F539" s="220"/>
      <c r="G539" s="220"/>
    </row>
    <row r="540" spans="2:7" ht="30" customHeight="1" thickBot="1" x14ac:dyDescent="0.3">
      <c r="B540" s="219">
        <v>957</v>
      </c>
      <c r="C540" s="220" t="s">
        <v>3072</v>
      </c>
      <c r="D540" s="220" t="s">
        <v>3083</v>
      </c>
      <c r="E540" s="220" t="s">
        <v>7312</v>
      </c>
      <c r="F540" s="220"/>
      <c r="G540" s="220"/>
    </row>
    <row r="541" spans="2:7" ht="30" customHeight="1" thickBot="1" x14ac:dyDescent="0.3">
      <c r="B541" s="220">
        <v>958</v>
      </c>
      <c r="C541" s="220" t="s">
        <v>3072</v>
      </c>
      <c r="D541" s="220" t="s">
        <v>9890</v>
      </c>
      <c r="E541" s="220" t="s">
        <v>7946</v>
      </c>
      <c r="F541" s="220"/>
      <c r="G541" s="220"/>
    </row>
    <row r="542" spans="2:7" ht="30" customHeight="1" thickBot="1" x14ac:dyDescent="0.3">
      <c r="B542" s="219">
        <v>959</v>
      </c>
      <c r="C542" s="220" t="s">
        <v>3072</v>
      </c>
      <c r="D542" s="220" t="s">
        <v>3084</v>
      </c>
      <c r="E542" s="220" t="s">
        <v>7169</v>
      </c>
      <c r="F542" s="220"/>
      <c r="G542" s="220"/>
    </row>
    <row r="543" spans="2:7" ht="30" customHeight="1" thickBot="1" x14ac:dyDescent="0.3">
      <c r="B543" s="220">
        <v>960</v>
      </c>
      <c r="C543" s="220" t="s">
        <v>3072</v>
      </c>
      <c r="D543" s="220" t="s">
        <v>9891</v>
      </c>
      <c r="E543" s="220" t="s">
        <v>7275</v>
      </c>
      <c r="F543" s="220"/>
      <c r="G543" s="220"/>
    </row>
    <row r="544" spans="2:7" ht="30" customHeight="1" thickBot="1" x14ac:dyDescent="0.3">
      <c r="B544" s="219">
        <v>961</v>
      </c>
      <c r="C544" s="220" t="s">
        <v>3072</v>
      </c>
      <c r="D544" s="220" t="s">
        <v>3085</v>
      </c>
      <c r="E544" s="220" t="s">
        <v>8949</v>
      </c>
      <c r="F544" s="220"/>
      <c r="G544" s="220" t="s">
        <v>322</v>
      </c>
    </row>
    <row r="545" spans="2:7" ht="30" customHeight="1" thickBot="1" x14ac:dyDescent="0.3">
      <c r="B545" s="219">
        <v>962</v>
      </c>
      <c r="C545" s="220" t="s">
        <v>3072</v>
      </c>
      <c r="D545" s="220" t="s">
        <v>3086</v>
      </c>
      <c r="E545" s="220" t="s">
        <v>7238</v>
      </c>
      <c r="F545" s="220"/>
      <c r="G545" s="220"/>
    </row>
    <row r="546" spans="2:7" ht="30" customHeight="1" thickBot="1" x14ac:dyDescent="0.3">
      <c r="B546" s="220">
        <v>963</v>
      </c>
      <c r="C546" s="220" t="s">
        <v>3072</v>
      </c>
      <c r="D546" s="220" t="s">
        <v>9892</v>
      </c>
      <c r="E546" s="220" t="s">
        <v>8950</v>
      </c>
      <c r="F546" s="220"/>
      <c r="G546" s="220" t="s">
        <v>322</v>
      </c>
    </row>
    <row r="547" spans="2:7" ht="30" customHeight="1" thickBot="1" x14ac:dyDescent="0.3">
      <c r="B547" s="219">
        <v>964</v>
      </c>
      <c r="C547" s="220" t="s">
        <v>3072</v>
      </c>
      <c r="D547" s="220" t="s">
        <v>3087</v>
      </c>
      <c r="E547" s="220" t="s">
        <v>7313</v>
      </c>
      <c r="F547" s="220"/>
      <c r="G547" s="220"/>
    </row>
    <row r="548" spans="2:7" ht="30" customHeight="1" thickBot="1" x14ac:dyDescent="0.3">
      <c r="B548" s="219">
        <v>965</v>
      </c>
      <c r="C548" s="220" t="s">
        <v>3072</v>
      </c>
      <c r="D548" s="220" t="s">
        <v>9893</v>
      </c>
      <c r="E548" s="220" t="s">
        <v>8607</v>
      </c>
      <c r="F548" s="220"/>
      <c r="G548" s="220" t="s">
        <v>84</v>
      </c>
    </row>
    <row r="549" spans="2:7" ht="30" customHeight="1" thickBot="1" x14ac:dyDescent="0.3">
      <c r="B549" s="220">
        <v>966</v>
      </c>
      <c r="C549" s="220" t="s">
        <v>3072</v>
      </c>
      <c r="D549" s="220" t="s">
        <v>9894</v>
      </c>
      <c r="E549" s="220" t="s">
        <v>7314</v>
      </c>
      <c r="F549" s="220"/>
      <c r="G549" s="220"/>
    </row>
    <row r="550" spans="2:7" ht="30" customHeight="1" thickBot="1" x14ac:dyDescent="0.3">
      <c r="B550" s="219">
        <v>967</v>
      </c>
      <c r="C550" s="220" t="s">
        <v>3072</v>
      </c>
      <c r="D550" s="220" t="s">
        <v>9895</v>
      </c>
      <c r="E550" s="220" t="s">
        <v>6951</v>
      </c>
      <c r="F550" s="220"/>
      <c r="G550" s="220"/>
    </row>
    <row r="551" spans="2:7" ht="30" customHeight="1" thickBot="1" x14ac:dyDescent="0.3">
      <c r="B551" s="220">
        <v>968</v>
      </c>
      <c r="C551" s="220" t="s">
        <v>3072</v>
      </c>
      <c r="D551" s="220" t="s">
        <v>9896</v>
      </c>
      <c r="E551" s="220" t="s">
        <v>6952</v>
      </c>
      <c r="F551" s="220"/>
      <c r="G551" s="220"/>
    </row>
    <row r="552" spans="2:7" ht="30" customHeight="1" thickBot="1" x14ac:dyDescent="0.3">
      <c r="B552" s="219">
        <v>969</v>
      </c>
      <c r="C552" s="220" t="s">
        <v>3072</v>
      </c>
      <c r="D552" s="220" t="s">
        <v>9897</v>
      </c>
      <c r="E552" s="220" t="s">
        <v>6953</v>
      </c>
      <c r="F552" s="220"/>
      <c r="G552" s="220"/>
    </row>
    <row r="553" spans="2:7" ht="30" customHeight="1" thickBot="1" x14ac:dyDescent="0.3">
      <c r="B553" s="219">
        <v>970</v>
      </c>
      <c r="C553" s="220" t="s">
        <v>3072</v>
      </c>
      <c r="D553" s="220" t="s">
        <v>3088</v>
      </c>
      <c r="E553" s="220" t="s">
        <v>8019</v>
      </c>
      <c r="F553" s="220"/>
      <c r="G553" s="220"/>
    </row>
    <row r="554" spans="2:7" ht="30" customHeight="1" thickBot="1" x14ac:dyDescent="0.3">
      <c r="B554" s="220">
        <v>971</v>
      </c>
      <c r="C554" s="220" t="s">
        <v>3072</v>
      </c>
      <c r="D554" s="220" t="s">
        <v>3089</v>
      </c>
      <c r="E554" s="220" t="s">
        <v>6953</v>
      </c>
      <c r="F554" s="220"/>
      <c r="G554" s="220"/>
    </row>
    <row r="555" spans="2:7" ht="30" customHeight="1" thickBot="1" x14ac:dyDescent="0.3">
      <c r="B555" s="219">
        <v>972</v>
      </c>
      <c r="C555" s="220" t="s">
        <v>3072</v>
      </c>
      <c r="D555" s="220" t="s">
        <v>3090</v>
      </c>
      <c r="E555" s="220" t="s">
        <v>6954</v>
      </c>
      <c r="F555" s="220"/>
      <c r="G555" s="220"/>
    </row>
    <row r="556" spans="2:7" ht="30" customHeight="1" thickBot="1" x14ac:dyDescent="0.3">
      <c r="B556" s="219">
        <v>973</v>
      </c>
      <c r="C556" s="220" t="s">
        <v>3072</v>
      </c>
      <c r="D556" s="220" t="s">
        <v>3091</v>
      </c>
      <c r="E556" s="220" t="s">
        <v>6955</v>
      </c>
      <c r="F556" s="220"/>
      <c r="G556" s="220"/>
    </row>
    <row r="557" spans="2:7" ht="30" customHeight="1" thickBot="1" x14ac:dyDescent="0.3">
      <c r="B557" s="220">
        <v>974</v>
      </c>
      <c r="C557" s="220" t="s">
        <v>3072</v>
      </c>
      <c r="D557" s="220" t="s">
        <v>3092</v>
      </c>
      <c r="E557" s="220" t="s">
        <v>8612</v>
      </c>
      <c r="F557" s="220"/>
      <c r="G557" s="220" t="s">
        <v>8527</v>
      </c>
    </row>
    <row r="558" spans="2:7" ht="30" customHeight="1" thickBot="1" x14ac:dyDescent="0.3">
      <c r="B558" s="219">
        <v>975</v>
      </c>
      <c r="C558" s="220" t="s">
        <v>3072</v>
      </c>
      <c r="D558" s="220" t="s">
        <v>3093</v>
      </c>
      <c r="E558" s="220" t="s">
        <v>6956</v>
      </c>
      <c r="F558" s="220"/>
      <c r="G558" s="220"/>
    </row>
    <row r="559" spans="2:7" ht="30" customHeight="1" thickBot="1" x14ac:dyDescent="0.3">
      <c r="B559" s="220">
        <v>976</v>
      </c>
      <c r="C559" s="220" t="s">
        <v>3072</v>
      </c>
      <c r="D559" s="220" t="s">
        <v>3094</v>
      </c>
      <c r="E559" s="220" t="s">
        <v>6957</v>
      </c>
      <c r="F559" s="220"/>
      <c r="G559" s="220"/>
    </row>
    <row r="560" spans="2:7" ht="30" customHeight="1" thickBot="1" x14ac:dyDescent="0.3">
      <c r="B560" s="219">
        <v>977</v>
      </c>
      <c r="C560" s="220" t="s">
        <v>3072</v>
      </c>
      <c r="D560" s="220" t="s">
        <v>3095</v>
      </c>
      <c r="E560" s="220" t="s">
        <v>6958</v>
      </c>
      <c r="F560" s="220"/>
      <c r="G560" s="220"/>
    </row>
    <row r="561" spans="2:7" ht="30" customHeight="1" thickBot="1" x14ac:dyDescent="0.3">
      <c r="B561" s="219">
        <v>978</v>
      </c>
      <c r="C561" s="220" t="s">
        <v>3072</v>
      </c>
      <c r="D561" s="220" t="s">
        <v>3096</v>
      </c>
      <c r="E561" s="220" t="s">
        <v>6959</v>
      </c>
      <c r="F561" s="220"/>
      <c r="G561" s="220"/>
    </row>
    <row r="562" spans="2:7" ht="30" customHeight="1" thickBot="1" x14ac:dyDescent="0.3">
      <c r="B562" s="220">
        <v>979</v>
      </c>
      <c r="C562" s="220" t="s">
        <v>3072</v>
      </c>
      <c r="D562" s="220" t="s">
        <v>3097</v>
      </c>
      <c r="E562" s="220" t="s">
        <v>6960</v>
      </c>
      <c r="F562" s="220"/>
      <c r="G562" s="220"/>
    </row>
    <row r="563" spans="2:7" ht="30" customHeight="1" thickBot="1" x14ac:dyDescent="0.3">
      <c r="B563" s="219">
        <v>980</v>
      </c>
      <c r="C563" s="220" t="s">
        <v>3072</v>
      </c>
      <c r="D563" s="220" t="s">
        <v>3098</v>
      </c>
      <c r="E563" s="220" t="s">
        <v>8608</v>
      </c>
      <c r="F563" s="220"/>
      <c r="G563" s="220" t="s">
        <v>8528</v>
      </c>
    </row>
    <row r="564" spans="2:7" ht="30" customHeight="1" thickBot="1" x14ac:dyDescent="0.3">
      <c r="B564" s="220">
        <v>981</v>
      </c>
      <c r="C564" s="220" t="s">
        <v>3072</v>
      </c>
      <c r="D564" s="220" t="s">
        <v>3099</v>
      </c>
      <c r="E564" s="220" t="s">
        <v>6978</v>
      </c>
      <c r="F564" s="220"/>
      <c r="G564" s="220"/>
    </row>
    <row r="565" spans="2:7" ht="30" customHeight="1" thickBot="1" x14ac:dyDescent="0.3">
      <c r="B565" s="219">
        <v>982</v>
      </c>
      <c r="C565" s="220" t="s">
        <v>3072</v>
      </c>
      <c r="D565" s="220" t="s">
        <v>3100</v>
      </c>
      <c r="E565" s="220" t="s">
        <v>6979</v>
      </c>
      <c r="F565" s="220"/>
      <c r="G565" s="220"/>
    </row>
    <row r="566" spans="2:7" ht="30" customHeight="1" thickBot="1" x14ac:dyDescent="0.3">
      <c r="B566" s="219">
        <v>983</v>
      </c>
      <c r="C566" s="220" t="s">
        <v>3072</v>
      </c>
      <c r="D566" s="220" t="s">
        <v>3101</v>
      </c>
      <c r="E566" s="220" t="s">
        <v>7532</v>
      </c>
      <c r="F566" s="220"/>
      <c r="G566" s="220"/>
    </row>
    <row r="567" spans="2:7" ht="30" customHeight="1" thickBot="1" x14ac:dyDescent="0.3">
      <c r="B567" s="220">
        <v>984</v>
      </c>
      <c r="C567" s="220" t="s">
        <v>3102</v>
      </c>
      <c r="D567" s="220" t="s">
        <v>3103</v>
      </c>
      <c r="E567" s="220" t="s">
        <v>7699</v>
      </c>
      <c r="F567" s="220" t="s">
        <v>3104</v>
      </c>
      <c r="G567" s="220"/>
    </row>
    <row r="568" spans="2:7" ht="30" customHeight="1" thickBot="1" x14ac:dyDescent="0.3">
      <c r="B568" s="220">
        <v>985</v>
      </c>
      <c r="C568" s="220" t="s">
        <v>3105</v>
      </c>
      <c r="D568" s="220" t="s">
        <v>3106</v>
      </c>
      <c r="E568" s="220" t="s">
        <v>3107</v>
      </c>
      <c r="F568" s="220" t="s">
        <v>3108</v>
      </c>
      <c r="G568" s="220" t="s">
        <v>2065</v>
      </c>
    </row>
    <row r="569" spans="2:7" ht="30" customHeight="1" thickBot="1" x14ac:dyDescent="0.3">
      <c r="B569" s="220">
        <v>986</v>
      </c>
      <c r="C569" s="220" t="s">
        <v>3105</v>
      </c>
      <c r="D569" s="220" t="s">
        <v>3109</v>
      </c>
      <c r="E569" s="220" t="s">
        <v>8339</v>
      </c>
      <c r="F569" s="220" t="s">
        <v>3110</v>
      </c>
      <c r="G569" s="220" t="s">
        <v>8093</v>
      </c>
    </row>
    <row r="570" spans="2:7" ht="30" customHeight="1" thickBot="1" x14ac:dyDescent="0.3">
      <c r="B570" s="220">
        <v>987</v>
      </c>
      <c r="C570" s="220" t="s">
        <v>3105</v>
      </c>
      <c r="D570" s="220" t="s">
        <v>9898</v>
      </c>
      <c r="E570" s="220" t="s">
        <v>3111</v>
      </c>
      <c r="F570" s="220" t="s">
        <v>3112</v>
      </c>
      <c r="G570" s="220" t="s">
        <v>987</v>
      </c>
    </row>
    <row r="571" spans="2:7" ht="30" customHeight="1" thickBot="1" x14ac:dyDescent="0.3">
      <c r="B571" s="219">
        <v>988</v>
      </c>
      <c r="C571" s="220" t="s">
        <v>3105</v>
      </c>
      <c r="D571" s="220" t="s">
        <v>3113</v>
      </c>
      <c r="E571" s="220" t="s">
        <v>3114</v>
      </c>
      <c r="F571" s="220" t="s">
        <v>3115</v>
      </c>
      <c r="G571" s="220" t="s">
        <v>2065</v>
      </c>
    </row>
    <row r="572" spans="2:7" ht="120.75" customHeight="1" thickBot="1" x14ac:dyDescent="0.3">
      <c r="B572" s="219">
        <v>989</v>
      </c>
      <c r="C572" s="220" t="s">
        <v>3105</v>
      </c>
      <c r="D572" s="220" t="s">
        <v>9899</v>
      </c>
      <c r="E572" s="220" t="s">
        <v>3116</v>
      </c>
      <c r="F572" s="220" t="s">
        <v>3117</v>
      </c>
      <c r="G572" s="220" t="s">
        <v>2065</v>
      </c>
    </row>
    <row r="573" spans="2:7" ht="161.25" customHeight="1" thickBot="1" x14ac:dyDescent="0.3">
      <c r="B573" s="220">
        <v>990</v>
      </c>
      <c r="C573" s="220" t="s">
        <v>3105</v>
      </c>
      <c r="D573" s="220" t="s">
        <v>3118</v>
      </c>
      <c r="E573" s="220" t="s">
        <v>9194</v>
      </c>
      <c r="F573" s="220" t="s">
        <v>3119</v>
      </c>
      <c r="G573" s="220" t="s">
        <v>2065</v>
      </c>
    </row>
    <row r="574" spans="2:7" ht="30" customHeight="1" thickBot="1" x14ac:dyDescent="0.3">
      <c r="B574" s="220">
        <v>991</v>
      </c>
      <c r="C574" s="220" t="s">
        <v>3105</v>
      </c>
      <c r="D574" s="220" t="s">
        <v>3120</v>
      </c>
      <c r="E574" s="220" t="s">
        <v>3121</v>
      </c>
      <c r="F574" s="220" t="s">
        <v>3122</v>
      </c>
      <c r="G574" s="220" t="s">
        <v>2065</v>
      </c>
    </row>
    <row r="575" spans="2:7" ht="30" customHeight="1" thickBot="1" x14ac:dyDescent="0.3">
      <c r="B575" s="220">
        <v>992</v>
      </c>
      <c r="C575" s="220" t="s">
        <v>3105</v>
      </c>
      <c r="D575" s="220" t="s">
        <v>3123</v>
      </c>
      <c r="E575" s="220" t="s">
        <v>8690</v>
      </c>
      <c r="F575" s="220" t="s">
        <v>3124</v>
      </c>
      <c r="G575" s="220" t="s">
        <v>2065</v>
      </c>
    </row>
    <row r="576" spans="2:7" ht="30" customHeight="1" thickBot="1" x14ac:dyDescent="0.3">
      <c r="B576" s="220">
        <v>993</v>
      </c>
      <c r="C576" s="220" t="s">
        <v>3105</v>
      </c>
      <c r="D576" s="220" t="s">
        <v>3125</v>
      </c>
      <c r="E576" s="220" t="s">
        <v>8691</v>
      </c>
      <c r="F576" s="220" t="s">
        <v>3126</v>
      </c>
      <c r="G576" s="220" t="s">
        <v>2065</v>
      </c>
    </row>
    <row r="577" spans="2:7" ht="30" customHeight="1" thickBot="1" x14ac:dyDescent="0.3">
      <c r="B577" s="219">
        <v>994</v>
      </c>
      <c r="C577" s="220" t="s">
        <v>3105</v>
      </c>
      <c r="D577" s="220" t="s">
        <v>3127</v>
      </c>
      <c r="E577" s="220" t="s">
        <v>8692</v>
      </c>
      <c r="F577" s="220" t="s">
        <v>3128</v>
      </c>
      <c r="G577" s="220" t="s">
        <v>2065</v>
      </c>
    </row>
    <row r="578" spans="2:7" ht="30" customHeight="1" thickBot="1" x14ac:dyDescent="0.3">
      <c r="B578" s="219">
        <v>995</v>
      </c>
      <c r="C578" s="220" t="s">
        <v>3129</v>
      </c>
      <c r="D578" s="220" t="s">
        <v>3130</v>
      </c>
      <c r="E578" s="220" t="s">
        <v>8613</v>
      </c>
      <c r="F578" s="220" t="s">
        <v>2684</v>
      </c>
      <c r="G578" s="220" t="s">
        <v>1018</v>
      </c>
    </row>
    <row r="579" spans="2:7" ht="30" customHeight="1" thickBot="1" x14ac:dyDescent="0.3">
      <c r="B579" s="219">
        <v>996</v>
      </c>
      <c r="C579" s="220" t="s">
        <v>3129</v>
      </c>
      <c r="D579" s="220" t="s">
        <v>3131</v>
      </c>
      <c r="E579" s="220" t="s">
        <v>8614</v>
      </c>
      <c r="F579" s="220" t="s">
        <v>3132</v>
      </c>
      <c r="G579" s="220" t="s">
        <v>1018</v>
      </c>
    </row>
    <row r="580" spans="2:7" ht="30" customHeight="1" thickBot="1" x14ac:dyDescent="0.3">
      <c r="B580" s="219">
        <v>997</v>
      </c>
      <c r="C580" s="220" t="s">
        <v>3129</v>
      </c>
      <c r="D580" s="220" t="s">
        <v>3133</v>
      </c>
      <c r="E580" s="220" t="s">
        <v>7533</v>
      </c>
      <c r="F580" s="220" t="s">
        <v>3134</v>
      </c>
      <c r="G580" s="220" t="s">
        <v>1018</v>
      </c>
    </row>
    <row r="581" spans="2:7" ht="30" customHeight="1" thickBot="1" x14ac:dyDescent="0.3">
      <c r="B581" s="219">
        <v>998</v>
      </c>
      <c r="C581" s="220" t="s">
        <v>3129</v>
      </c>
      <c r="D581" s="220" t="s">
        <v>3135</v>
      </c>
      <c r="E581" s="220" t="s">
        <v>9026</v>
      </c>
      <c r="F581" s="220" t="s">
        <v>3136</v>
      </c>
      <c r="G581" s="220" t="s">
        <v>1018</v>
      </c>
    </row>
    <row r="582" spans="2:7" ht="30" customHeight="1" thickBot="1" x14ac:dyDescent="0.3">
      <c r="B582" s="219">
        <v>999</v>
      </c>
      <c r="C582" s="220" t="s">
        <v>3129</v>
      </c>
      <c r="D582" s="220" t="s">
        <v>3137</v>
      </c>
      <c r="E582" s="220" t="s">
        <v>7315</v>
      </c>
      <c r="F582" s="220" t="s">
        <v>2714</v>
      </c>
      <c r="G582" s="220" t="s">
        <v>1018</v>
      </c>
    </row>
    <row r="583" spans="2:7" ht="30" customHeight="1" thickBot="1" x14ac:dyDescent="0.3">
      <c r="B583" s="219">
        <v>1000</v>
      </c>
      <c r="C583" s="220" t="s">
        <v>3129</v>
      </c>
      <c r="D583" s="220" t="s">
        <v>3138</v>
      </c>
      <c r="E583" s="220" t="s">
        <v>7513</v>
      </c>
      <c r="F583" s="220" t="s">
        <v>3139</v>
      </c>
      <c r="G583" s="220" t="s">
        <v>1018</v>
      </c>
    </row>
    <row r="584" spans="2:7" ht="30" customHeight="1" thickBot="1" x14ac:dyDescent="0.3">
      <c r="B584" s="219">
        <v>1001</v>
      </c>
      <c r="C584" s="220" t="s">
        <v>3129</v>
      </c>
      <c r="D584" s="220" t="s">
        <v>3140</v>
      </c>
      <c r="E584" s="220" t="s">
        <v>8615</v>
      </c>
      <c r="F584" s="220" t="s">
        <v>3141</v>
      </c>
      <c r="G584" s="220" t="s">
        <v>1018</v>
      </c>
    </row>
    <row r="585" spans="2:7" ht="30" customHeight="1" thickBot="1" x14ac:dyDescent="0.3">
      <c r="B585" s="219">
        <v>1002</v>
      </c>
      <c r="C585" s="220" t="s">
        <v>3129</v>
      </c>
      <c r="D585" s="220" t="s">
        <v>3142</v>
      </c>
      <c r="E585" s="220" t="s">
        <v>9097</v>
      </c>
      <c r="F585" s="220" t="s">
        <v>2781</v>
      </c>
      <c r="G585" s="220" t="s">
        <v>1018</v>
      </c>
    </row>
    <row r="586" spans="2:7" ht="30" customHeight="1" thickBot="1" x14ac:dyDescent="0.3">
      <c r="B586" s="219">
        <v>1003</v>
      </c>
      <c r="C586" s="220" t="s">
        <v>3129</v>
      </c>
      <c r="D586" s="220" t="s">
        <v>3143</v>
      </c>
      <c r="E586" s="220" t="s">
        <v>7277</v>
      </c>
      <c r="F586" s="220" t="s">
        <v>2781</v>
      </c>
      <c r="G586" s="220" t="s">
        <v>1018</v>
      </c>
    </row>
    <row r="587" spans="2:7" ht="30" customHeight="1" thickBot="1" x14ac:dyDescent="0.3">
      <c r="B587" s="219">
        <v>1004</v>
      </c>
      <c r="C587" s="220" t="s">
        <v>3129</v>
      </c>
      <c r="D587" s="220" t="s">
        <v>3144</v>
      </c>
      <c r="E587" s="220" t="s">
        <v>7278</v>
      </c>
      <c r="F587" s="220" t="s">
        <v>2781</v>
      </c>
      <c r="G587" s="220" t="s">
        <v>1018</v>
      </c>
    </row>
    <row r="588" spans="2:7" ht="30" customHeight="1" thickBot="1" x14ac:dyDescent="0.3">
      <c r="B588" s="219">
        <v>1005</v>
      </c>
      <c r="C588" s="220" t="s">
        <v>3129</v>
      </c>
      <c r="D588" s="220" t="s">
        <v>3145</v>
      </c>
      <c r="E588" s="220" t="s">
        <v>6980</v>
      </c>
      <c r="F588" s="220" t="s">
        <v>3146</v>
      </c>
      <c r="G588" s="220" t="s">
        <v>1018</v>
      </c>
    </row>
    <row r="589" spans="2:7" ht="30" customHeight="1" thickBot="1" x14ac:dyDescent="0.3">
      <c r="B589" s="219">
        <v>1006</v>
      </c>
      <c r="C589" s="220" t="s">
        <v>3129</v>
      </c>
      <c r="D589" s="220" t="s">
        <v>3147</v>
      </c>
      <c r="E589" s="220" t="s">
        <v>8616</v>
      </c>
      <c r="F589" s="220" t="s">
        <v>2918</v>
      </c>
      <c r="G589" s="220" t="s">
        <v>1018</v>
      </c>
    </row>
    <row r="590" spans="2:7" ht="30" customHeight="1" thickBot="1" x14ac:dyDescent="0.3">
      <c r="B590" s="219">
        <v>1007</v>
      </c>
      <c r="C590" s="223" t="s">
        <v>3148</v>
      </c>
      <c r="D590" s="223" t="s">
        <v>3149</v>
      </c>
      <c r="E590" s="220" t="s">
        <v>8693</v>
      </c>
      <c r="F590" s="223" t="s">
        <v>3150</v>
      </c>
      <c r="G590" s="223" t="s">
        <v>322</v>
      </c>
    </row>
    <row r="591" spans="2:7" ht="30" customHeight="1" thickBot="1" x14ac:dyDescent="0.3">
      <c r="B591" s="219">
        <v>1008</v>
      </c>
      <c r="C591" s="223" t="s">
        <v>3148</v>
      </c>
      <c r="D591" s="223" t="s">
        <v>3151</v>
      </c>
      <c r="E591" s="220" t="s">
        <v>3152</v>
      </c>
      <c r="F591" s="223" t="s">
        <v>3153</v>
      </c>
      <c r="G591" s="223" t="s">
        <v>322</v>
      </c>
    </row>
    <row r="592" spans="2:7" ht="30" customHeight="1" thickBot="1" x14ac:dyDescent="0.3">
      <c r="B592" s="219">
        <v>1009</v>
      </c>
      <c r="C592" s="223" t="s">
        <v>3148</v>
      </c>
      <c r="D592" s="223" t="s">
        <v>3154</v>
      </c>
      <c r="E592" s="220" t="s">
        <v>3155</v>
      </c>
      <c r="F592" s="223" t="s">
        <v>3156</v>
      </c>
      <c r="G592" s="223" t="s">
        <v>322</v>
      </c>
    </row>
    <row r="593" spans="2:7" ht="30" customHeight="1" thickBot="1" x14ac:dyDescent="0.3">
      <c r="B593" s="219">
        <v>1010</v>
      </c>
      <c r="C593" s="223" t="s">
        <v>3148</v>
      </c>
      <c r="D593" s="223" t="s">
        <v>3157</v>
      </c>
      <c r="E593" s="220" t="s">
        <v>8694</v>
      </c>
      <c r="F593" s="223" t="s">
        <v>3159</v>
      </c>
      <c r="G593" s="223" t="s">
        <v>322</v>
      </c>
    </row>
    <row r="594" spans="2:7" ht="30" customHeight="1" thickBot="1" x14ac:dyDescent="0.3">
      <c r="B594" s="219">
        <v>1011</v>
      </c>
      <c r="C594" s="223" t="s">
        <v>3148</v>
      </c>
      <c r="D594" s="223" t="s">
        <v>3160</v>
      </c>
      <c r="E594" s="220" t="s">
        <v>3161</v>
      </c>
      <c r="F594" s="223" t="s">
        <v>3162</v>
      </c>
      <c r="G594" s="223" t="s">
        <v>322</v>
      </c>
    </row>
    <row r="595" spans="2:7" ht="30" customHeight="1" thickBot="1" x14ac:dyDescent="0.3">
      <c r="B595" s="219">
        <v>1012</v>
      </c>
      <c r="C595" s="223" t="s">
        <v>3148</v>
      </c>
      <c r="D595" s="223" t="s">
        <v>3163</v>
      </c>
      <c r="E595" s="220" t="s">
        <v>3164</v>
      </c>
      <c r="F595" s="223" t="s">
        <v>3165</v>
      </c>
      <c r="G595" s="223" t="s">
        <v>322</v>
      </c>
    </row>
    <row r="596" spans="2:7" ht="30" customHeight="1" thickBot="1" x14ac:dyDescent="0.3">
      <c r="B596" s="219">
        <v>1013</v>
      </c>
      <c r="C596" s="223" t="s">
        <v>3148</v>
      </c>
      <c r="D596" s="223" t="s">
        <v>3166</v>
      </c>
      <c r="E596" s="220" t="s">
        <v>8617</v>
      </c>
      <c r="F596" s="223" t="s">
        <v>3167</v>
      </c>
      <c r="G596" s="223" t="s">
        <v>322</v>
      </c>
    </row>
    <row r="597" spans="2:7" ht="30" customHeight="1" thickBot="1" x14ac:dyDescent="0.3">
      <c r="B597" s="219">
        <v>1014</v>
      </c>
      <c r="C597" s="223" t="s">
        <v>3148</v>
      </c>
      <c r="D597" s="223" t="s">
        <v>3168</v>
      </c>
      <c r="E597" s="220" t="s">
        <v>3169</v>
      </c>
      <c r="F597" s="223" t="s">
        <v>3170</v>
      </c>
      <c r="G597" s="223" t="s">
        <v>3171</v>
      </c>
    </row>
    <row r="598" spans="2:7" ht="30" customHeight="1" thickBot="1" x14ac:dyDescent="0.3">
      <c r="B598" s="219">
        <v>1015</v>
      </c>
      <c r="C598" s="223" t="s">
        <v>3148</v>
      </c>
      <c r="D598" s="223" t="s">
        <v>3172</v>
      </c>
      <c r="E598" s="220" t="s">
        <v>8618</v>
      </c>
      <c r="F598" s="223" t="s">
        <v>3173</v>
      </c>
      <c r="G598" s="223" t="s">
        <v>322</v>
      </c>
    </row>
    <row r="599" spans="2:7" ht="30" customHeight="1" thickBot="1" x14ac:dyDescent="0.3">
      <c r="B599" s="219">
        <v>1016</v>
      </c>
      <c r="C599" s="223" t="s">
        <v>3148</v>
      </c>
      <c r="D599" s="223" t="s">
        <v>9900</v>
      </c>
      <c r="E599" s="220" t="s">
        <v>7217</v>
      </c>
      <c r="F599" s="223" t="s">
        <v>3174</v>
      </c>
      <c r="G599" s="223" t="s">
        <v>322</v>
      </c>
    </row>
    <row r="600" spans="2:7" ht="30" customHeight="1" thickBot="1" x14ac:dyDescent="0.3">
      <c r="B600" s="219">
        <v>1017</v>
      </c>
      <c r="C600" s="223" t="s">
        <v>3148</v>
      </c>
      <c r="D600" s="223" t="s">
        <v>3175</v>
      </c>
      <c r="E600" s="220" t="s">
        <v>8682</v>
      </c>
      <c r="F600" s="223" t="s">
        <v>3176</v>
      </c>
      <c r="G600" s="223" t="s">
        <v>322</v>
      </c>
    </row>
    <row r="601" spans="2:7" ht="30" customHeight="1" thickBot="1" x14ac:dyDescent="0.3">
      <c r="B601" s="219">
        <v>1018</v>
      </c>
      <c r="C601" s="223" t="s">
        <v>3148</v>
      </c>
      <c r="D601" s="223" t="s">
        <v>3177</v>
      </c>
      <c r="E601" s="220" t="s">
        <v>3178</v>
      </c>
      <c r="F601" s="223" t="s">
        <v>3179</v>
      </c>
      <c r="G601" s="223" t="s">
        <v>322</v>
      </c>
    </row>
    <row r="602" spans="2:7" ht="30" customHeight="1" thickBot="1" x14ac:dyDescent="0.3">
      <c r="B602" s="219">
        <v>1019</v>
      </c>
      <c r="C602" s="223" t="s">
        <v>3148</v>
      </c>
      <c r="D602" s="223" t="s">
        <v>9901</v>
      </c>
      <c r="E602" s="220" t="s">
        <v>9212</v>
      </c>
      <c r="F602" s="223" t="s">
        <v>3180</v>
      </c>
      <c r="G602" s="223" t="s">
        <v>322</v>
      </c>
    </row>
    <row r="603" spans="2:7" ht="78" customHeight="1" thickBot="1" x14ac:dyDescent="0.3">
      <c r="B603" s="219">
        <v>1020</v>
      </c>
      <c r="C603" s="223" t="s">
        <v>3148</v>
      </c>
      <c r="D603" s="223" t="s">
        <v>3181</v>
      </c>
      <c r="E603" s="220" t="s">
        <v>9236</v>
      </c>
      <c r="F603" s="223" t="s">
        <v>3182</v>
      </c>
      <c r="G603" s="223" t="s">
        <v>322</v>
      </c>
    </row>
    <row r="604" spans="2:7" ht="30" customHeight="1" thickBot="1" x14ac:dyDescent="0.3">
      <c r="B604" s="219">
        <v>1021</v>
      </c>
      <c r="C604" s="223" t="s">
        <v>3148</v>
      </c>
      <c r="D604" s="223" t="s">
        <v>3183</v>
      </c>
      <c r="E604" s="220" t="s">
        <v>9213</v>
      </c>
      <c r="F604" s="223" t="s">
        <v>3184</v>
      </c>
      <c r="G604" s="223" t="s">
        <v>322</v>
      </c>
    </row>
    <row r="605" spans="2:7" ht="30" customHeight="1" thickBot="1" x14ac:dyDescent="0.3">
      <c r="B605" s="219">
        <v>1022</v>
      </c>
      <c r="C605" s="223" t="s">
        <v>3148</v>
      </c>
      <c r="D605" s="223" t="s">
        <v>3185</v>
      </c>
      <c r="E605" s="220" t="s">
        <v>8648</v>
      </c>
      <c r="F605" s="223" t="s">
        <v>3186</v>
      </c>
      <c r="G605" s="223" t="s">
        <v>1018</v>
      </c>
    </row>
    <row r="606" spans="2:7" ht="30" customHeight="1" thickBot="1" x14ac:dyDescent="0.3">
      <c r="B606" s="219">
        <v>1023</v>
      </c>
      <c r="C606" s="223" t="s">
        <v>3148</v>
      </c>
      <c r="D606" s="223" t="s">
        <v>3187</v>
      </c>
      <c r="E606" s="220" t="s">
        <v>3188</v>
      </c>
      <c r="F606" s="223" t="s">
        <v>3189</v>
      </c>
      <c r="G606" s="223" t="s">
        <v>322</v>
      </c>
    </row>
    <row r="607" spans="2:7" ht="30" customHeight="1" thickBot="1" x14ac:dyDescent="0.3">
      <c r="B607" s="221" t="s">
        <v>3190</v>
      </c>
      <c r="C607" s="221" t="s">
        <v>3191</v>
      </c>
      <c r="D607" s="223" t="s">
        <v>3192</v>
      </c>
      <c r="E607" s="338" t="s">
        <v>3193</v>
      </c>
      <c r="F607" s="221" t="s">
        <v>3194</v>
      </c>
      <c r="G607" s="221" t="s">
        <v>322</v>
      </c>
    </row>
    <row r="608" spans="2:7" ht="30" customHeight="1" thickBot="1" x14ac:dyDescent="0.3">
      <c r="B608" s="221"/>
      <c r="C608" s="221"/>
      <c r="D608" s="223" t="s">
        <v>575</v>
      </c>
      <c r="E608" s="339"/>
      <c r="F608" s="221"/>
      <c r="G608" s="221"/>
    </row>
    <row r="609" spans="2:7" ht="30" customHeight="1" thickBot="1" x14ac:dyDescent="0.3">
      <c r="B609" s="223" t="s">
        <v>3195</v>
      </c>
      <c r="C609" s="223" t="s">
        <v>3191</v>
      </c>
      <c r="D609" s="223" t="s">
        <v>3196</v>
      </c>
      <c r="E609" s="223" t="s">
        <v>3197</v>
      </c>
      <c r="F609" s="223" t="s">
        <v>3198</v>
      </c>
      <c r="G609" s="223" t="s">
        <v>322</v>
      </c>
    </row>
    <row r="610" spans="2:7" ht="30" customHeight="1" thickBot="1" x14ac:dyDescent="0.3">
      <c r="B610" s="221" t="s">
        <v>3199</v>
      </c>
      <c r="C610" s="221" t="s">
        <v>3191</v>
      </c>
      <c r="D610" s="221" t="s">
        <v>9902</v>
      </c>
      <c r="E610" s="221" t="s">
        <v>3200</v>
      </c>
      <c r="F610" s="221" t="s">
        <v>3201</v>
      </c>
      <c r="G610" s="221" t="s">
        <v>322</v>
      </c>
    </row>
    <row r="611" spans="2:7" ht="30" customHeight="1" thickBot="1" x14ac:dyDescent="0.3">
      <c r="B611" s="221"/>
      <c r="C611" s="221"/>
      <c r="D611" s="221"/>
      <c r="E611" s="221"/>
      <c r="F611" s="221"/>
      <c r="G611" s="221"/>
    </row>
    <row r="612" spans="2:7" ht="30" customHeight="1" thickBot="1" x14ac:dyDescent="0.3">
      <c r="B612" s="223" t="s">
        <v>3202</v>
      </c>
      <c r="C612" s="223" t="s">
        <v>3191</v>
      </c>
      <c r="D612" s="223" t="s">
        <v>3203</v>
      </c>
      <c r="E612" s="223" t="s">
        <v>3204</v>
      </c>
      <c r="F612" s="223" t="s">
        <v>3205</v>
      </c>
      <c r="G612" s="223" t="s">
        <v>322</v>
      </c>
    </row>
    <row r="613" spans="2:7" ht="30" customHeight="1" thickBot="1" x14ac:dyDescent="0.3">
      <c r="B613" s="221" t="s">
        <v>3206</v>
      </c>
      <c r="C613" s="221" t="s">
        <v>3191</v>
      </c>
      <c r="D613" s="223" t="s">
        <v>3207</v>
      </c>
      <c r="E613" s="221" t="s">
        <v>9214</v>
      </c>
      <c r="F613" s="221" t="s">
        <v>3208</v>
      </c>
      <c r="G613" s="221" t="s">
        <v>322</v>
      </c>
    </row>
    <row r="614" spans="2:7" ht="30" customHeight="1" thickBot="1" x14ac:dyDescent="0.3">
      <c r="B614" s="221"/>
      <c r="C614" s="221"/>
      <c r="D614" s="223"/>
      <c r="E614" s="221"/>
      <c r="F614" s="221"/>
      <c r="G614" s="221"/>
    </row>
    <row r="615" spans="2:7" ht="30" customHeight="1" thickBot="1" x14ac:dyDescent="0.3">
      <c r="B615" s="221"/>
      <c r="C615" s="221"/>
      <c r="D615" s="223" t="s">
        <v>3209</v>
      </c>
      <c r="E615" s="221"/>
      <c r="F615" s="221"/>
      <c r="G615" s="221"/>
    </row>
    <row r="616" spans="2:7" ht="30" customHeight="1" thickBot="1" x14ac:dyDescent="0.3">
      <c r="B616" s="221"/>
      <c r="C616" s="221"/>
      <c r="D616" s="223"/>
      <c r="E616" s="221"/>
      <c r="F616" s="221"/>
      <c r="G616" s="221"/>
    </row>
    <row r="617" spans="2:7" ht="30" customHeight="1" thickBot="1" x14ac:dyDescent="0.3">
      <c r="B617" s="221"/>
      <c r="C617" s="221"/>
      <c r="D617" s="223" t="s">
        <v>3210</v>
      </c>
      <c r="E617" s="221"/>
      <c r="F617" s="221"/>
      <c r="G617" s="221"/>
    </row>
    <row r="618" spans="2:7" ht="30" customHeight="1" thickBot="1" x14ac:dyDescent="0.3">
      <c r="B618" s="221"/>
      <c r="C618" s="221"/>
      <c r="D618" s="223"/>
      <c r="E618" s="221"/>
      <c r="F618" s="221"/>
      <c r="G618" s="221"/>
    </row>
    <row r="619" spans="2:7" ht="30" customHeight="1" thickBot="1" x14ac:dyDescent="0.3">
      <c r="B619" s="223" t="s">
        <v>3211</v>
      </c>
      <c r="C619" s="223" t="s">
        <v>3191</v>
      </c>
      <c r="D619" s="223" t="s">
        <v>3212</v>
      </c>
      <c r="E619" s="223" t="s">
        <v>5962</v>
      </c>
      <c r="F619" s="223" t="s">
        <v>3213</v>
      </c>
      <c r="G619" s="223" t="s">
        <v>322</v>
      </c>
    </row>
    <row r="620" spans="2:7" ht="30" customHeight="1" thickBot="1" x14ac:dyDescent="0.3">
      <c r="B620" s="223" t="s">
        <v>3214</v>
      </c>
      <c r="C620" s="223" t="s">
        <v>3191</v>
      </c>
      <c r="D620" s="223" t="s">
        <v>3215</v>
      </c>
      <c r="E620" s="223" t="s">
        <v>8695</v>
      </c>
      <c r="F620" s="223" t="s">
        <v>3216</v>
      </c>
      <c r="G620" s="223" t="s">
        <v>322</v>
      </c>
    </row>
    <row r="621" spans="2:7" ht="30" customHeight="1" thickBot="1" x14ac:dyDescent="0.3">
      <c r="B621" s="223" t="s">
        <v>3217</v>
      </c>
      <c r="C621" s="223" t="s">
        <v>3191</v>
      </c>
      <c r="D621" s="223" t="s">
        <v>3218</v>
      </c>
      <c r="E621" s="223" t="s">
        <v>3219</v>
      </c>
      <c r="F621" s="223" t="s">
        <v>3220</v>
      </c>
      <c r="G621" s="223" t="s">
        <v>322</v>
      </c>
    </row>
    <row r="622" spans="2:7" ht="30" customHeight="1" thickBot="1" x14ac:dyDescent="0.3">
      <c r="B622" s="223" t="s">
        <v>3221</v>
      </c>
      <c r="C622" s="223" t="s">
        <v>3191</v>
      </c>
      <c r="D622" s="223" t="s">
        <v>3222</v>
      </c>
      <c r="E622" s="223" t="s">
        <v>3223</v>
      </c>
      <c r="F622" s="223" t="s">
        <v>3224</v>
      </c>
      <c r="G622" s="223" t="s">
        <v>322</v>
      </c>
    </row>
    <row r="623" spans="2:7" ht="30" customHeight="1" thickBot="1" x14ac:dyDescent="0.3">
      <c r="B623" s="223" t="s">
        <v>3225</v>
      </c>
      <c r="C623" s="223" t="s">
        <v>3191</v>
      </c>
      <c r="D623" s="223" t="s">
        <v>3226</v>
      </c>
      <c r="E623" s="223" t="s">
        <v>3227</v>
      </c>
      <c r="F623" s="223" t="s">
        <v>3228</v>
      </c>
      <c r="G623" s="223" t="s">
        <v>322</v>
      </c>
    </row>
    <row r="624" spans="2:7" ht="30" customHeight="1" thickBot="1" x14ac:dyDescent="0.3">
      <c r="B624" s="223" t="s">
        <v>3229</v>
      </c>
      <c r="C624" s="223" t="s">
        <v>3191</v>
      </c>
      <c r="D624" s="223" t="s">
        <v>3230</v>
      </c>
      <c r="E624" s="223" t="s">
        <v>3231</v>
      </c>
      <c r="F624" s="223" t="s">
        <v>3232</v>
      </c>
      <c r="G624" s="223" t="s">
        <v>322</v>
      </c>
    </row>
    <row r="625" spans="2:7" ht="30" customHeight="1" thickBot="1" x14ac:dyDescent="0.3">
      <c r="B625" s="223" t="s">
        <v>3233</v>
      </c>
      <c r="C625" s="223" t="s">
        <v>3191</v>
      </c>
      <c r="D625" s="223" t="s">
        <v>9903</v>
      </c>
      <c r="E625" s="223" t="s">
        <v>3231</v>
      </c>
      <c r="F625" s="223" t="s">
        <v>3234</v>
      </c>
      <c r="G625" s="223" t="s">
        <v>322</v>
      </c>
    </row>
    <row r="626" spans="2:7" ht="30" customHeight="1" thickBot="1" x14ac:dyDescent="0.3">
      <c r="B626" s="221" t="s">
        <v>3235</v>
      </c>
      <c r="C626" s="221" t="s">
        <v>3191</v>
      </c>
      <c r="D626" s="223" t="s">
        <v>9904</v>
      </c>
      <c r="E626" s="221" t="s">
        <v>3236</v>
      </c>
      <c r="F626" s="221" t="s">
        <v>3237</v>
      </c>
      <c r="G626" s="221" t="s">
        <v>322</v>
      </c>
    </row>
    <row r="627" spans="2:7" ht="30" customHeight="1" thickBot="1" x14ac:dyDescent="0.3">
      <c r="B627" s="221"/>
      <c r="C627" s="221"/>
      <c r="D627" s="223"/>
      <c r="E627" s="221"/>
      <c r="F627" s="221"/>
      <c r="G627" s="221"/>
    </row>
    <row r="628" spans="2:7" ht="30" customHeight="1" thickBot="1" x14ac:dyDescent="0.3">
      <c r="B628" s="221"/>
      <c r="C628" s="221"/>
      <c r="D628" s="223" t="s">
        <v>3238</v>
      </c>
      <c r="E628" s="221"/>
      <c r="F628" s="221"/>
      <c r="G628" s="221"/>
    </row>
    <row r="629" spans="2:7" ht="30" customHeight="1" thickBot="1" x14ac:dyDescent="0.3">
      <c r="B629" s="223" t="s">
        <v>3239</v>
      </c>
      <c r="C629" s="223" t="s">
        <v>3191</v>
      </c>
      <c r="D629" s="223" t="s">
        <v>3240</v>
      </c>
      <c r="E629" s="223" t="s">
        <v>7218</v>
      </c>
      <c r="F629" s="223" t="s">
        <v>3241</v>
      </c>
      <c r="G629" s="223" t="s">
        <v>322</v>
      </c>
    </row>
    <row r="630" spans="2:7" ht="30" customHeight="1" thickBot="1" x14ac:dyDescent="0.3">
      <c r="B630" s="221" t="s">
        <v>3242</v>
      </c>
      <c r="C630" s="221" t="s">
        <v>3191</v>
      </c>
      <c r="D630" s="223" t="s">
        <v>9905</v>
      </c>
      <c r="E630" s="221" t="s">
        <v>7170</v>
      </c>
      <c r="F630" s="221" t="s">
        <v>3243</v>
      </c>
      <c r="G630" s="221" t="s">
        <v>322</v>
      </c>
    </row>
    <row r="631" spans="2:7" ht="30" customHeight="1" thickBot="1" x14ac:dyDescent="0.3">
      <c r="B631" s="221"/>
      <c r="C631" s="221"/>
      <c r="D631" s="223"/>
      <c r="E631" s="221"/>
      <c r="F631" s="221"/>
      <c r="G631" s="221"/>
    </row>
    <row r="632" spans="2:7" ht="30" customHeight="1" thickBot="1" x14ac:dyDescent="0.3">
      <c r="B632" s="221"/>
      <c r="C632" s="221"/>
      <c r="D632" s="223" t="s">
        <v>2679</v>
      </c>
      <c r="E632" s="221"/>
      <c r="F632" s="221"/>
      <c r="G632" s="221"/>
    </row>
    <row r="633" spans="2:7" ht="30" customHeight="1" thickBot="1" x14ac:dyDescent="0.3">
      <c r="B633" s="221"/>
      <c r="C633" s="221"/>
      <c r="D633" s="223"/>
      <c r="E633" s="221"/>
      <c r="F633" s="221"/>
      <c r="G633" s="221"/>
    </row>
    <row r="634" spans="2:7" ht="30" customHeight="1" thickBot="1" x14ac:dyDescent="0.3">
      <c r="B634" s="221"/>
      <c r="C634" s="221"/>
      <c r="D634" s="223" t="s">
        <v>3244</v>
      </c>
      <c r="E634" s="221"/>
      <c r="F634" s="221"/>
      <c r="G634" s="221"/>
    </row>
    <row r="635" spans="2:7" ht="30" customHeight="1" thickBot="1" x14ac:dyDescent="0.3">
      <c r="B635" s="221"/>
      <c r="C635" s="221"/>
      <c r="D635" s="223"/>
      <c r="E635" s="221"/>
      <c r="F635" s="221"/>
      <c r="G635" s="221"/>
    </row>
    <row r="636" spans="2:7" ht="30" customHeight="1" thickBot="1" x14ac:dyDescent="0.3">
      <c r="B636" s="221"/>
      <c r="C636" s="221"/>
      <c r="D636" s="223" t="s">
        <v>3245</v>
      </c>
      <c r="E636" s="221"/>
      <c r="F636" s="221"/>
      <c r="G636" s="221"/>
    </row>
    <row r="637" spans="2:7" ht="30" customHeight="1" thickBot="1" x14ac:dyDescent="0.3">
      <c r="B637" s="223" t="s">
        <v>3246</v>
      </c>
      <c r="C637" s="223" t="s">
        <v>3191</v>
      </c>
      <c r="D637" s="223" t="s">
        <v>9906</v>
      </c>
      <c r="E637" s="223" t="s">
        <v>3247</v>
      </c>
      <c r="F637" s="223" t="s">
        <v>3248</v>
      </c>
      <c r="G637" s="223" t="s">
        <v>322</v>
      </c>
    </row>
    <row r="638" spans="2:7" ht="30" customHeight="1" thickBot="1" x14ac:dyDescent="0.3">
      <c r="B638" s="221" t="s">
        <v>3249</v>
      </c>
      <c r="C638" s="221" t="s">
        <v>3191</v>
      </c>
      <c r="D638" s="221" t="s">
        <v>3250</v>
      </c>
      <c r="E638" s="221" t="s">
        <v>7514</v>
      </c>
      <c r="F638" s="221" t="s">
        <v>3251</v>
      </c>
      <c r="G638" s="221" t="s">
        <v>322</v>
      </c>
    </row>
    <row r="639" spans="2:7" ht="30" customHeight="1" thickBot="1" x14ac:dyDescent="0.3">
      <c r="B639" s="221"/>
      <c r="C639" s="221"/>
      <c r="D639" s="221"/>
      <c r="E639" s="221"/>
      <c r="F639" s="221"/>
      <c r="G639" s="221"/>
    </row>
    <row r="640" spans="2:7" ht="30" customHeight="1" thickBot="1" x14ac:dyDescent="0.3">
      <c r="B640" s="221" t="s">
        <v>3252</v>
      </c>
      <c r="C640" s="221" t="s">
        <v>3191</v>
      </c>
      <c r="D640" s="223" t="s">
        <v>9907</v>
      </c>
      <c r="E640" s="221" t="s">
        <v>8360</v>
      </c>
      <c r="F640" s="221" t="s">
        <v>3253</v>
      </c>
      <c r="G640" s="221" t="s">
        <v>120</v>
      </c>
    </row>
    <row r="641" spans="2:7" ht="30" customHeight="1" thickBot="1" x14ac:dyDescent="0.3">
      <c r="B641" s="221"/>
      <c r="C641" s="221"/>
      <c r="D641" s="223"/>
      <c r="E641" s="221"/>
      <c r="F641" s="221"/>
      <c r="G641" s="221"/>
    </row>
    <row r="642" spans="2:7" ht="30" customHeight="1" thickBot="1" x14ac:dyDescent="0.3">
      <c r="B642" s="221"/>
      <c r="C642" s="221"/>
      <c r="D642" s="223" t="s">
        <v>3254</v>
      </c>
      <c r="E642" s="221"/>
      <c r="F642" s="221"/>
      <c r="G642" s="221"/>
    </row>
    <row r="643" spans="2:7" ht="30" customHeight="1" thickBot="1" x14ac:dyDescent="0.3">
      <c r="B643" s="221" t="s">
        <v>3255</v>
      </c>
      <c r="C643" s="221" t="s">
        <v>3191</v>
      </c>
      <c r="D643" s="223" t="s">
        <v>3256</v>
      </c>
      <c r="E643" s="221" t="s">
        <v>7171</v>
      </c>
      <c r="F643" s="221" t="s">
        <v>3257</v>
      </c>
      <c r="G643" s="221" t="s">
        <v>322</v>
      </c>
    </row>
    <row r="644" spans="2:7" ht="30" customHeight="1" thickBot="1" x14ac:dyDescent="0.3">
      <c r="B644" s="221"/>
      <c r="C644" s="221"/>
      <c r="D644" s="223" t="s">
        <v>9908</v>
      </c>
      <c r="E644" s="221"/>
      <c r="F644" s="221"/>
      <c r="G644" s="221"/>
    </row>
    <row r="645" spans="2:7" ht="30" customHeight="1" thickBot="1" x14ac:dyDescent="0.3">
      <c r="B645" s="221"/>
      <c r="C645" s="221"/>
      <c r="D645" s="223"/>
      <c r="E645" s="221"/>
      <c r="F645" s="221"/>
      <c r="G645" s="221"/>
    </row>
    <row r="646" spans="2:7" ht="30" customHeight="1" thickBot="1" x14ac:dyDescent="0.3">
      <c r="B646" s="221"/>
      <c r="C646" s="221"/>
      <c r="D646" s="223" t="s">
        <v>3258</v>
      </c>
      <c r="E646" s="221"/>
      <c r="F646" s="221"/>
      <c r="G646" s="221"/>
    </row>
    <row r="647" spans="2:7" ht="30" customHeight="1" thickBot="1" x14ac:dyDescent="0.3">
      <c r="B647" s="221"/>
      <c r="C647" s="221"/>
      <c r="D647" s="223"/>
      <c r="E647" s="221"/>
      <c r="F647" s="221"/>
      <c r="G647" s="221"/>
    </row>
    <row r="648" spans="2:7" ht="30" customHeight="1" thickBot="1" x14ac:dyDescent="0.3">
      <c r="B648" s="223" t="s">
        <v>3259</v>
      </c>
      <c r="C648" s="223" t="s">
        <v>3191</v>
      </c>
      <c r="D648" s="223" t="s">
        <v>3260</v>
      </c>
      <c r="E648" s="223" t="s">
        <v>7219</v>
      </c>
      <c r="F648" s="223" t="s">
        <v>3261</v>
      </c>
      <c r="G648" s="223" t="s">
        <v>322</v>
      </c>
    </row>
    <row r="649" spans="2:7" ht="30" customHeight="1" thickBot="1" x14ac:dyDescent="0.3">
      <c r="B649" s="223" t="s">
        <v>3262</v>
      </c>
      <c r="C649" s="223" t="s">
        <v>3191</v>
      </c>
      <c r="D649" s="223" t="s">
        <v>3263</v>
      </c>
      <c r="E649" s="223" t="s">
        <v>3264</v>
      </c>
      <c r="F649" s="223" t="s">
        <v>3265</v>
      </c>
      <c r="G649" s="223" t="s">
        <v>2890</v>
      </c>
    </row>
    <row r="650" spans="2:7" ht="30" customHeight="1" thickBot="1" x14ac:dyDescent="0.3">
      <c r="B650" s="223" t="s">
        <v>3266</v>
      </c>
      <c r="C650" s="223" t="s">
        <v>3191</v>
      </c>
      <c r="D650" s="223" t="s">
        <v>9909</v>
      </c>
      <c r="E650" s="223" t="s">
        <v>3267</v>
      </c>
      <c r="F650" s="223" t="s">
        <v>3268</v>
      </c>
      <c r="G650" s="223" t="s">
        <v>1018</v>
      </c>
    </row>
    <row r="651" spans="2:7" ht="89.25" customHeight="1" thickBot="1" x14ac:dyDescent="0.3">
      <c r="B651" s="223" t="s">
        <v>3269</v>
      </c>
      <c r="C651" s="223" t="s">
        <v>3191</v>
      </c>
      <c r="D651" s="223" t="s">
        <v>3270</v>
      </c>
      <c r="E651" s="223" t="s">
        <v>8619</v>
      </c>
      <c r="F651" s="223" t="s">
        <v>3271</v>
      </c>
      <c r="G651" s="223" t="s">
        <v>322</v>
      </c>
    </row>
    <row r="652" spans="2:7" ht="64.5" customHeight="1" thickBot="1" x14ac:dyDescent="0.3">
      <c r="B652" s="223" t="s">
        <v>3272</v>
      </c>
      <c r="C652" s="223" t="s">
        <v>3191</v>
      </c>
      <c r="D652" s="223" t="s">
        <v>3273</v>
      </c>
      <c r="E652" s="223" t="s">
        <v>9237</v>
      </c>
      <c r="F652" s="223" t="s">
        <v>3274</v>
      </c>
      <c r="G652" s="223" t="s">
        <v>322</v>
      </c>
    </row>
    <row r="653" spans="2:7" ht="87.75" customHeight="1" thickBot="1" x14ac:dyDescent="0.3">
      <c r="B653" s="223" t="s">
        <v>3275</v>
      </c>
      <c r="C653" s="223" t="s">
        <v>3191</v>
      </c>
      <c r="D653" s="223" t="s">
        <v>3276</v>
      </c>
      <c r="E653" s="223" t="s">
        <v>9031</v>
      </c>
      <c r="F653" s="223" t="s">
        <v>3277</v>
      </c>
      <c r="G653" s="223" t="s">
        <v>322</v>
      </c>
    </row>
    <row r="654" spans="2:7" ht="90.75" customHeight="1" thickBot="1" x14ac:dyDescent="0.3">
      <c r="B654" s="223" t="s">
        <v>3278</v>
      </c>
      <c r="C654" s="223" t="s">
        <v>3191</v>
      </c>
      <c r="D654" s="223" t="s">
        <v>9910</v>
      </c>
      <c r="E654" s="223" t="s">
        <v>9226</v>
      </c>
      <c r="F654" s="223" t="s">
        <v>3279</v>
      </c>
      <c r="G654" s="223" t="s">
        <v>322</v>
      </c>
    </row>
    <row r="655" spans="2:7" ht="30" customHeight="1" thickBot="1" x14ac:dyDescent="0.3">
      <c r="B655" s="223" t="s">
        <v>3280</v>
      </c>
      <c r="C655" s="223" t="s">
        <v>3191</v>
      </c>
      <c r="D655" s="223" t="s">
        <v>9911</v>
      </c>
      <c r="E655" s="223" t="s">
        <v>9032</v>
      </c>
      <c r="F655" s="223" t="s">
        <v>3281</v>
      </c>
      <c r="G655" s="223" t="s">
        <v>322</v>
      </c>
    </row>
    <row r="656" spans="2:7" ht="30" customHeight="1" thickBot="1" x14ac:dyDescent="0.3">
      <c r="B656" s="221" t="s">
        <v>3282</v>
      </c>
      <c r="C656" s="221" t="s">
        <v>3191</v>
      </c>
      <c r="D656" s="223" t="s">
        <v>9912</v>
      </c>
      <c r="E656" s="221" t="s">
        <v>9267</v>
      </c>
      <c r="F656" s="221" t="s">
        <v>3283</v>
      </c>
      <c r="G656" s="221" t="s">
        <v>120</v>
      </c>
    </row>
    <row r="657" spans="2:7" ht="30" customHeight="1" thickBot="1" x14ac:dyDescent="0.3">
      <c r="B657" s="221"/>
      <c r="C657" s="221"/>
      <c r="D657" s="223"/>
      <c r="E657" s="221"/>
      <c r="F657" s="221"/>
      <c r="G657" s="221"/>
    </row>
    <row r="658" spans="2:7" ht="30" customHeight="1" thickBot="1" x14ac:dyDescent="0.3">
      <c r="B658" s="221"/>
      <c r="C658" s="221"/>
      <c r="D658" s="223" t="s">
        <v>3284</v>
      </c>
      <c r="E658" s="221"/>
      <c r="F658" s="221"/>
      <c r="G658" s="221"/>
    </row>
    <row r="659" spans="2:7" ht="30" customHeight="1" thickBot="1" x14ac:dyDescent="0.3">
      <c r="B659" s="223" t="s">
        <v>3285</v>
      </c>
      <c r="C659" s="223" t="s">
        <v>3191</v>
      </c>
      <c r="D659" s="223" t="s">
        <v>3286</v>
      </c>
      <c r="E659" s="223" t="s">
        <v>8696</v>
      </c>
      <c r="F659" s="223" t="s">
        <v>3287</v>
      </c>
      <c r="G659" s="223" t="s">
        <v>322</v>
      </c>
    </row>
    <row r="660" spans="2:7" ht="30" customHeight="1" thickBot="1" x14ac:dyDescent="0.3">
      <c r="B660" s="223" t="s">
        <v>3288</v>
      </c>
      <c r="C660" s="223" t="s">
        <v>3191</v>
      </c>
      <c r="D660" s="223" t="s">
        <v>9913</v>
      </c>
      <c r="E660" s="223" t="s">
        <v>7172</v>
      </c>
      <c r="F660" s="223" t="s">
        <v>3289</v>
      </c>
      <c r="G660" s="223" t="s">
        <v>322</v>
      </c>
    </row>
    <row r="661" spans="2:7" ht="30" customHeight="1" thickBot="1" x14ac:dyDescent="0.3">
      <c r="B661" s="221" t="s">
        <v>3290</v>
      </c>
      <c r="C661" s="221" t="s">
        <v>3191</v>
      </c>
      <c r="D661" s="223" t="s">
        <v>9914</v>
      </c>
      <c r="E661" s="221" t="s">
        <v>7220</v>
      </c>
      <c r="F661" s="221" t="s">
        <v>3291</v>
      </c>
      <c r="G661" s="221" t="s">
        <v>322</v>
      </c>
    </row>
    <row r="662" spans="2:7" ht="30" customHeight="1" thickBot="1" x14ac:dyDescent="0.3">
      <c r="B662" s="221"/>
      <c r="C662" s="221"/>
      <c r="D662" s="223"/>
      <c r="E662" s="221"/>
      <c r="F662" s="221"/>
      <c r="G662" s="221"/>
    </row>
    <row r="663" spans="2:7" ht="30" customHeight="1" thickBot="1" x14ac:dyDescent="0.3">
      <c r="B663" s="221"/>
      <c r="C663" s="221"/>
      <c r="D663" s="223" t="s">
        <v>3292</v>
      </c>
      <c r="E663" s="221"/>
      <c r="F663" s="221"/>
      <c r="G663" s="221"/>
    </row>
    <row r="664" spans="2:7" ht="30" customHeight="1" thickBot="1" x14ac:dyDescent="0.3">
      <c r="B664" s="221"/>
      <c r="C664" s="221"/>
      <c r="D664" s="223"/>
      <c r="E664" s="221"/>
      <c r="F664" s="221"/>
      <c r="G664" s="221"/>
    </row>
    <row r="665" spans="2:7" ht="30" customHeight="1" thickBot="1" x14ac:dyDescent="0.3">
      <c r="B665" s="221"/>
      <c r="C665" s="221"/>
      <c r="D665" s="223" t="s">
        <v>3293</v>
      </c>
      <c r="E665" s="221"/>
      <c r="F665" s="221"/>
      <c r="G665" s="221"/>
    </row>
    <row r="666" spans="2:7" ht="30" customHeight="1" thickBot="1" x14ac:dyDescent="0.3">
      <c r="B666" s="221"/>
      <c r="C666" s="221"/>
      <c r="D666" s="223"/>
      <c r="E666" s="221"/>
      <c r="F666" s="221"/>
      <c r="G666" s="221"/>
    </row>
    <row r="667" spans="2:7" ht="30" customHeight="1" thickBot="1" x14ac:dyDescent="0.3">
      <c r="B667" s="223" t="s">
        <v>3294</v>
      </c>
      <c r="C667" s="223" t="s">
        <v>3191</v>
      </c>
      <c r="D667" s="223" t="s">
        <v>3295</v>
      </c>
      <c r="E667" s="223" t="s">
        <v>7173</v>
      </c>
      <c r="F667" s="223" t="s">
        <v>3296</v>
      </c>
      <c r="G667" s="223" t="s">
        <v>322</v>
      </c>
    </row>
    <row r="668" spans="2:7" ht="30" customHeight="1" thickBot="1" x14ac:dyDescent="0.3">
      <c r="B668" s="221" t="s">
        <v>3297</v>
      </c>
      <c r="C668" s="221" t="s">
        <v>3191</v>
      </c>
      <c r="D668" s="223" t="s">
        <v>9915</v>
      </c>
      <c r="E668" s="221" t="s">
        <v>7221</v>
      </c>
      <c r="F668" s="221" t="s">
        <v>3298</v>
      </c>
      <c r="G668" s="221" t="s">
        <v>322</v>
      </c>
    </row>
    <row r="669" spans="2:7" ht="30" customHeight="1" thickBot="1" x14ac:dyDescent="0.3">
      <c r="B669" s="221"/>
      <c r="C669" s="221"/>
      <c r="D669" s="223"/>
      <c r="E669" s="221"/>
      <c r="F669" s="221"/>
      <c r="G669" s="221"/>
    </row>
    <row r="670" spans="2:7" ht="30" customHeight="1" thickBot="1" x14ac:dyDescent="0.3">
      <c r="B670" s="221"/>
      <c r="C670" s="221"/>
      <c r="D670" s="223" t="s">
        <v>3299</v>
      </c>
      <c r="E670" s="221"/>
      <c r="F670" s="221"/>
      <c r="G670" s="221"/>
    </row>
    <row r="671" spans="2:7" ht="30" customHeight="1" thickBot="1" x14ac:dyDescent="0.3">
      <c r="B671" s="223" t="s">
        <v>3300</v>
      </c>
      <c r="C671" s="223" t="s">
        <v>3191</v>
      </c>
      <c r="D671" s="223" t="s">
        <v>3301</v>
      </c>
      <c r="E671" s="223" t="s">
        <v>7222</v>
      </c>
      <c r="F671" s="223" t="s">
        <v>3302</v>
      </c>
      <c r="G671" s="223" t="s">
        <v>322</v>
      </c>
    </row>
    <row r="672" spans="2:7" ht="30" customHeight="1" thickBot="1" x14ac:dyDescent="0.3">
      <c r="B672" s="223" t="s">
        <v>3303</v>
      </c>
      <c r="C672" s="223" t="s">
        <v>3191</v>
      </c>
      <c r="D672" s="223" t="s">
        <v>3304</v>
      </c>
      <c r="E672" s="223" t="s">
        <v>7223</v>
      </c>
      <c r="F672" s="223" t="s">
        <v>3305</v>
      </c>
      <c r="G672" s="223" t="s">
        <v>322</v>
      </c>
    </row>
    <row r="673" spans="2:7" ht="30" customHeight="1" thickBot="1" x14ac:dyDescent="0.3">
      <c r="B673" s="223" t="s">
        <v>3306</v>
      </c>
      <c r="C673" s="223" t="s">
        <v>3191</v>
      </c>
      <c r="D673" s="223" t="s">
        <v>3307</v>
      </c>
      <c r="E673" s="223" t="s">
        <v>7173</v>
      </c>
      <c r="F673" s="223" t="s">
        <v>3308</v>
      </c>
      <c r="G673" s="223" t="s">
        <v>322</v>
      </c>
    </row>
    <row r="674" spans="2:7" ht="30" customHeight="1" thickBot="1" x14ac:dyDescent="0.3">
      <c r="B674" s="223" t="s">
        <v>3309</v>
      </c>
      <c r="C674" s="223" t="s">
        <v>3191</v>
      </c>
      <c r="D674" s="223" t="s">
        <v>3310</v>
      </c>
      <c r="E674" s="223" t="s">
        <v>7224</v>
      </c>
      <c r="F674" s="223" t="s">
        <v>3311</v>
      </c>
      <c r="G674" s="223" t="s">
        <v>322</v>
      </c>
    </row>
    <row r="675" spans="2:7" ht="30" customHeight="1" thickBot="1" x14ac:dyDescent="0.3">
      <c r="B675" s="223" t="s">
        <v>3312</v>
      </c>
      <c r="C675" s="223" t="s">
        <v>3191</v>
      </c>
      <c r="D675" s="223" t="s">
        <v>3313</v>
      </c>
      <c r="E675" s="223" t="s">
        <v>7225</v>
      </c>
      <c r="F675" s="223" t="s">
        <v>3314</v>
      </c>
      <c r="G675" s="223" t="s">
        <v>322</v>
      </c>
    </row>
    <row r="676" spans="2:7" ht="30" customHeight="1" thickBot="1" x14ac:dyDescent="0.3">
      <c r="B676" s="223" t="s">
        <v>3315</v>
      </c>
      <c r="C676" s="223" t="s">
        <v>3191</v>
      </c>
      <c r="D676" s="223" t="s">
        <v>3316</v>
      </c>
      <c r="E676" s="223" t="s">
        <v>8649</v>
      </c>
      <c r="F676" s="223" t="s">
        <v>3317</v>
      </c>
      <c r="G676" s="223" t="s">
        <v>108</v>
      </c>
    </row>
    <row r="677" spans="2:7" ht="30" customHeight="1" thickBot="1" x14ac:dyDescent="0.3">
      <c r="B677" s="223" t="s">
        <v>3318</v>
      </c>
      <c r="C677" s="223" t="s">
        <v>3191</v>
      </c>
      <c r="D677" s="223" t="s">
        <v>3319</v>
      </c>
      <c r="E677" s="223" t="s">
        <v>7239</v>
      </c>
      <c r="F677" s="223" t="s">
        <v>3320</v>
      </c>
      <c r="G677" s="223" t="s">
        <v>322</v>
      </c>
    </row>
    <row r="678" spans="2:7" ht="30" customHeight="1" thickBot="1" x14ac:dyDescent="0.3">
      <c r="B678" s="223" t="s">
        <v>3321</v>
      </c>
      <c r="C678" s="223" t="s">
        <v>3191</v>
      </c>
      <c r="D678" s="223" t="s">
        <v>3322</v>
      </c>
      <c r="E678" s="223" t="s">
        <v>8650</v>
      </c>
      <c r="F678" s="223" t="s">
        <v>3323</v>
      </c>
      <c r="G678" s="223" t="s">
        <v>108</v>
      </c>
    </row>
    <row r="679" spans="2:7" ht="30" customHeight="1" thickBot="1" x14ac:dyDescent="0.3">
      <c r="B679" s="221" t="s">
        <v>3324</v>
      </c>
      <c r="C679" s="221" t="s">
        <v>3191</v>
      </c>
      <c r="D679" s="223" t="s">
        <v>9916</v>
      </c>
      <c r="E679" s="221" t="s">
        <v>8517</v>
      </c>
      <c r="F679" s="221" t="s">
        <v>3325</v>
      </c>
      <c r="G679" s="221" t="s">
        <v>322</v>
      </c>
    </row>
    <row r="680" spans="2:7" ht="30" customHeight="1" thickBot="1" x14ac:dyDescent="0.3">
      <c r="B680" s="221"/>
      <c r="C680" s="221"/>
      <c r="D680" s="223"/>
      <c r="E680" s="221"/>
      <c r="F680" s="221"/>
      <c r="G680" s="221"/>
    </row>
    <row r="681" spans="2:7" ht="30" customHeight="1" thickBot="1" x14ac:dyDescent="0.3">
      <c r="B681" s="221"/>
      <c r="C681" s="221"/>
      <c r="D681" s="223" t="s">
        <v>9917</v>
      </c>
      <c r="E681" s="221"/>
      <c r="F681" s="221"/>
      <c r="G681" s="221"/>
    </row>
    <row r="682" spans="2:7" ht="30" customHeight="1" thickBot="1" x14ac:dyDescent="0.3">
      <c r="B682" s="221"/>
      <c r="C682" s="221"/>
      <c r="D682" s="223"/>
      <c r="E682" s="221"/>
      <c r="F682" s="221"/>
      <c r="G682" s="221"/>
    </row>
    <row r="683" spans="2:7" ht="30" customHeight="1" thickBot="1" x14ac:dyDescent="0.3">
      <c r="B683" s="223" t="s">
        <v>3326</v>
      </c>
      <c r="C683" s="223" t="s">
        <v>3191</v>
      </c>
      <c r="D683" s="223" t="s">
        <v>3327</v>
      </c>
      <c r="E683" s="223" t="s">
        <v>7984</v>
      </c>
      <c r="F683" s="223" t="s">
        <v>3328</v>
      </c>
      <c r="G683" s="223" t="s">
        <v>322</v>
      </c>
    </row>
    <row r="684" spans="2:7" ht="30" customHeight="1" thickBot="1" x14ac:dyDescent="0.3">
      <c r="B684" s="221" t="s">
        <v>3329</v>
      </c>
      <c r="C684" s="221" t="s">
        <v>3191</v>
      </c>
      <c r="D684" s="223" t="s">
        <v>3330</v>
      </c>
      <c r="E684" s="221" t="s">
        <v>8697</v>
      </c>
      <c r="F684" s="221" t="s">
        <v>3331</v>
      </c>
      <c r="G684" s="221" t="s">
        <v>322</v>
      </c>
    </row>
    <row r="685" spans="2:7" ht="30" customHeight="1" thickBot="1" x14ac:dyDescent="0.3">
      <c r="B685" s="221"/>
      <c r="C685" s="221"/>
      <c r="D685" s="223"/>
      <c r="E685" s="221"/>
      <c r="F685" s="221"/>
      <c r="G685" s="221"/>
    </row>
    <row r="686" spans="2:7" ht="30" customHeight="1" thickBot="1" x14ac:dyDescent="0.3">
      <c r="B686" s="221"/>
      <c r="C686" s="221"/>
      <c r="D686" s="223" t="s">
        <v>3332</v>
      </c>
      <c r="E686" s="221"/>
      <c r="F686" s="221"/>
      <c r="G686" s="221"/>
    </row>
    <row r="687" spans="2:7" ht="30" customHeight="1" thickBot="1" x14ac:dyDescent="0.3">
      <c r="B687" s="221" t="s">
        <v>3333</v>
      </c>
      <c r="C687" s="221" t="s">
        <v>3191</v>
      </c>
      <c r="D687" s="223" t="s">
        <v>3334</v>
      </c>
      <c r="E687" s="221" t="s">
        <v>8518</v>
      </c>
      <c r="F687" s="221" t="s">
        <v>3335</v>
      </c>
      <c r="G687" s="221" t="s">
        <v>322</v>
      </c>
    </row>
    <row r="688" spans="2:7" ht="30" customHeight="1" thickBot="1" x14ac:dyDescent="0.3">
      <c r="B688" s="221"/>
      <c r="C688" s="221"/>
      <c r="D688" s="223"/>
      <c r="E688" s="221"/>
      <c r="F688" s="221"/>
      <c r="G688" s="221"/>
    </row>
    <row r="689" spans="2:7" ht="30" customHeight="1" thickBot="1" x14ac:dyDescent="0.3">
      <c r="B689" s="221"/>
      <c r="C689" s="221"/>
      <c r="D689" s="225" t="s">
        <v>9918</v>
      </c>
      <c r="E689" s="221"/>
      <c r="F689" s="221"/>
      <c r="G689" s="221"/>
    </row>
    <row r="690" spans="2:7" ht="30" customHeight="1" thickBot="1" x14ac:dyDescent="0.3">
      <c r="B690" s="221"/>
      <c r="C690" s="221"/>
      <c r="D690" s="225"/>
      <c r="E690" s="221"/>
      <c r="F690" s="221"/>
      <c r="G690" s="221"/>
    </row>
    <row r="691" spans="2:7" ht="30" customHeight="1" thickBot="1" x14ac:dyDescent="0.3">
      <c r="B691" s="221"/>
      <c r="C691" s="221"/>
      <c r="D691" s="223"/>
      <c r="E691" s="221"/>
      <c r="F691" s="221"/>
      <c r="G691" s="221"/>
    </row>
    <row r="692" spans="2:7" ht="30" customHeight="1" thickBot="1" x14ac:dyDescent="0.3">
      <c r="B692" s="223" t="s">
        <v>3336</v>
      </c>
      <c r="C692" s="223" t="s">
        <v>3191</v>
      </c>
      <c r="D692" s="223" t="s">
        <v>9919</v>
      </c>
      <c r="E692" s="223" t="s">
        <v>7226</v>
      </c>
      <c r="F692" s="223" t="s">
        <v>3337</v>
      </c>
      <c r="G692" s="223" t="s">
        <v>322</v>
      </c>
    </row>
    <row r="693" spans="2:7" ht="30" customHeight="1" thickBot="1" x14ac:dyDescent="0.3">
      <c r="B693" s="223" t="s">
        <v>3338</v>
      </c>
      <c r="C693" s="223" t="s">
        <v>3191</v>
      </c>
      <c r="D693" s="223" t="s">
        <v>3339</v>
      </c>
      <c r="E693" s="223" t="s">
        <v>7227</v>
      </c>
      <c r="F693" s="223" t="s">
        <v>3340</v>
      </c>
      <c r="G693" s="223" t="s">
        <v>322</v>
      </c>
    </row>
    <row r="694" spans="2:7" ht="30" customHeight="1" thickBot="1" x14ac:dyDescent="0.3">
      <c r="B694" s="223" t="s">
        <v>3341</v>
      </c>
      <c r="C694" s="223" t="s">
        <v>3191</v>
      </c>
      <c r="D694" s="223" t="s">
        <v>3342</v>
      </c>
      <c r="E694" s="223" t="s">
        <v>9268</v>
      </c>
      <c r="F694" s="223" t="s">
        <v>3343</v>
      </c>
      <c r="G694" s="223" t="s">
        <v>120</v>
      </c>
    </row>
    <row r="695" spans="2:7" ht="30" customHeight="1" thickBot="1" x14ac:dyDescent="0.3">
      <c r="B695" s="221" t="s">
        <v>3344</v>
      </c>
      <c r="C695" s="221" t="s">
        <v>3191</v>
      </c>
      <c r="D695" s="223" t="s">
        <v>9920</v>
      </c>
      <c r="E695" s="221" t="s">
        <v>7240</v>
      </c>
      <c r="F695" s="221" t="s">
        <v>3343</v>
      </c>
      <c r="G695" s="221" t="s">
        <v>322</v>
      </c>
    </row>
    <row r="696" spans="2:7" ht="30" customHeight="1" thickBot="1" x14ac:dyDescent="0.3">
      <c r="B696" s="221"/>
      <c r="C696" s="221"/>
      <c r="D696" s="223"/>
      <c r="E696" s="221"/>
      <c r="F696" s="221"/>
      <c r="G696" s="221"/>
    </row>
    <row r="697" spans="2:7" ht="30" customHeight="1" thickBot="1" x14ac:dyDescent="0.3">
      <c r="B697" s="221"/>
      <c r="C697" s="221"/>
      <c r="D697" s="223" t="s">
        <v>3345</v>
      </c>
      <c r="E697" s="221"/>
      <c r="F697" s="221"/>
      <c r="G697" s="221"/>
    </row>
    <row r="698" spans="2:7" ht="30" customHeight="1" thickBot="1" x14ac:dyDescent="0.3">
      <c r="B698" s="221" t="s">
        <v>3346</v>
      </c>
      <c r="C698" s="221" t="s">
        <v>3191</v>
      </c>
      <c r="D698" s="223" t="s">
        <v>3347</v>
      </c>
      <c r="E698" s="221" t="s">
        <v>9269</v>
      </c>
      <c r="F698" s="221" t="s">
        <v>3343</v>
      </c>
      <c r="G698" s="221" t="s">
        <v>120</v>
      </c>
    </row>
    <row r="699" spans="2:7" ht="30" customHeight="1" thickBot="1" x14ac:dyDescent="0.3">
      <c r="B699" s="221"/>
      <c r="C699" s="221"/>
      <c r="D699" s="223"/>
      <c r="E699" s="221"/>
      <c r="F699" s="221"/>
      <c r="G699" s="221"/>
    </row>
    <row r="700" spans="2:7" ht="30" customHeight="1" thickBot="1" x14ac:dyDescent="0.3">
      <c r="B700" s="221"/>
      <c r="C700" s="221"/>
      <c r="D700" s="223" t="s">
        <v>3348</v>
      </c>
      <c r="E700" s="221"/>
      <c r="F700" s="221"/>
      <c r="G700" s="221"/>
    </row>
    <row r="701" spans="2:7" ht="30" customHeight="1" thickBot="1" x14ac:dyDescent="0.3">
      <c r="B701" s="221" t="s">
        <v>3349</v>
      </c>
      <c r="C701" s="221" t="s">
        <v>3191</v>
      </c>
      <c r="D701" s="223" t="s">
        <v>9921</v>
      </c>
      <c r="E701" s="221" t="s">
        <v>7515</v>
      </c>
      <c r="F701" s="221" t="s">
        <v>3343</v>
      </c>
      <c r="G701" s="221" t="s">
        <v>322</v>
      </c>
    </row>
    <row r="702" spans="2:7" ht="30" customHeight="1" thickBot="1" x14ac:dyDescent="0.3">
      <c r="B702" s="221"/>
      <c r="C702" s="221"/>
      <c r="D702" s="223"/>
      <c r="E702" s="221"/>
      <c r="F702" s="221"/>
      <c r="G702" s="221"/>
    </row>
    <row r="703" spans="2:7" ht="30" customHeight="1" thickBot="1" x14ac:dyDescent="0.3">
      <c r="B703" s="221"/>
      <c r="C703" s="221"/>
      <c r="D703" s="223" t="s">
        <v>3350</v>
      </c>
      <c r="E703" s="221"/>
      <c r="F703" s="221"/>
      <c r="G703" s="221"/>
    </row>
    <row r="704" spans="2:7" ht="30" customHeight="1" thickBot="1" x14ac:dyDescent="0.3">
      <c r="B704" s="223" t="s">
        <v>3351</v>
      </c>
      <c r="C704" s="223" t="s">
        <v>3191</v>
      </c>
      <c r="D704" s="223" t="s">
        <v>3352</v>
      </c>
      <c r="E704" s="223" t="s">
        <v>7516</v>
      </c>
      <c r="F704" s="223" t="s">
        <v>3353</v>
      </c>
      <c r="G704" s="223" t="s">
        <v>322</v>
      </c>
    </row>
    <row r="705" spans="2:7" ht="30" customHeight="1" thickBot="1" x14ac:dyDescent="0.3">
      <c r="B705" s="221" t="s">
        <v>3354</v>
      </c>
      <c r="C705" s="221" t="s">
        <v>3191</v>
      </c>
      <c r="D705" s="223"/>
      <c r="E705" s="221" t="s">
        <v>8683</v>
      </c>
      <c r="F705" s="223" t="s">
        <v>3355</v>
      </c>
      <c r="G705" s="221" t="s">
        <v>322</v>
      </c>
    </row>
    <row r="706" spans="2:7" ht="30" customHeight="1" thickBot="1" x14ac:dyDescent="0.3">
      <c r="B706" s="221"/>
      <c r="C706" s="221"/>
      <c r="D706" s="223" t="s">
        <v>3356</v>
      </c>
      <c r="E706" s="221"/>
      <c r="F706" s="223"/>
      <c r="G706" s="221"/>
    </row>
    <row r="707" spans="2:7" ht="30" customHeight="1" thickBot="1" x14ac:dyDescent="0.3">
      <c r="B707" s="221"/>
      <c r="C707" s="221"/>
      <c r="D707" s="223"/>
      <c r="E707" s="221"/>
      <c r="F707" s="223" t="s">
        <v>3357</v>
      </c>
      <c r="G707" s="221"/>
    </row>
    <row r="708" spans="2:7" ht="30" customHeight="1" thickBot="1" x14ac:dyDescent="0.3">
      <c r="B708" s="221"/>
      <c r="C708" s="221"/>
      <c r="D708" s="223" t="s">
        <v>3358</v>
      </c>
      <c r="E708" s="221"/>
      <c r="F708" s="223"/>
      <c r="G708" s="221"/>
    </row>
    <row r="709" spans="2:7" ht="30" customHeight="1" thickBot="1" x14ac:dyDescent="0.3">
      <c r="B709" s="221"/>
      <c r="C709" s="221"/>
      <c r="D709" s="223" t="s">
        <v>3359</v>
      </c>
      <c r="E709" s="221"/>
      <c r="F709" s="223" t="s">
        <v>3360</v>
      </c>
      <c r="G709" s="221"/>
    </row>
    <row r="710" spans="2:7" ht="30" customHeight="1" thickBot="1" x14ac:dyDescent="0.3">
      <c r="B710" s="221"/>
      <c r="C710" s="221"/>
      <c r="D710" s="223" t="s">
        <v>3361</v>
      </c>
      <c r="E710" s="221"/>
      <c r="F710" s="223"/>
      <c r="G710" s="221"/>
    </row>
    <row r="711" spans="2:7" ht="30" customHeight="1" thickBot="1" x14ac:dyDescent="0.3">
      <c r="B711" s="221"/>
      <c r="C711" s="221"/>
      <c r="D711" s="223"/>
      <c r="E711" s="221"/>
      <c r="F711" s="223"/>
      <c r="G711" s="221"/>
    </row>
    <row r="712" spans="2:7" ht="30" customHeight="1" thickBot="1" x14ac:dyDescent="0.3">
      <c r="B712" s="221" t="s">
        <v>3362</v>
      </c>
      <c r="C712" s="221" t="s">
        <v>3191</v>
      </c>
      <c r="D712" s="221" t="s">
        <v>3363</v>
      </c>
      <c r="E712" s="221" t="s">
        <v>8625</v>
      </c>
      <c r="F712" s="223" t="s">
        <v>3355</v>
      </c>
      <c r="G712" s="221" t="s">
        <v>108</v>
      </c>
    </row>
    <row r="713" spans="2:7" ht="30" customHeight="1" thickBot="1" x14ac:dyDescent="0.3">
      <c r="B713" s="221"/>
      <c r="C713" s="221"/>
      <c r="D713" s="221"/>
      <c r="E713" s="221"/>
      <c r="F713" s="223"/>
      <c r="G713" s="221"/>
    </row>
    <row r="714" spans="2:7" ht="30" customHeight="1" thickBot="1" x14ac:dyDescent="0.3">
      <c r="B714" s="221"/>
      <c r="C714" s="221"/>
      <c r="D714" s="221"/>
      <c r="E714" s="221"/>
      <c r="F714" s="223" t="s">
        <v>3364</v>
      </c>
      <c r="G714" s="221"/>
    </row>
    <row r="715" spans="2:7" ht="30" customHeight="1" thickBot="1" x14ac:dyDescent="0.3">
      <c r="B715" s="221"/>
      <c r="C715" s="221"/>
      <c r="D715" s="221"/>
      <c r="E715" s="221"/>
      <c r="F715" s="223"/>
      <c r="G715" s="221"/>
    </row>
    <row r="716" spans="2:7" ht="30" customHeight="1" thickBot="1" x14ac:dyDescent="0.3">
      <c r="B716" s="221"/>
      <c r="C716" s="221"/>
      <c r="D716" s="221"/>
      <c r="E716" s="221"/>
      <c r="F716" s="223" t="s">
        <v>3365</v>
      </c>
      <c r="G716" s="221"/>
    </row>
    <row r="717" spans="2:7" ht="30" customHeight="1" thickBot="1" x14ac:dyDescent="0.3">
      <c r="B717" s="221">
        <v>1078</v>
      </c>
      <c r="C717" s="221" t="s">
        <v>3366</v>
      </c>
      <c r="D717" s="221" t="s">
        <v>3367</v>
      </c>
      <c r="E717" s="221" t="s">
        <v>6981</v>
      </c>
      <c r="F717" s="223" t="s">
        <v>3368</v>
      </c>
      <c r="G717" s="221" t="s">
        <v>108</v>
      </c>
    </row>
    <row r="718" spans="2:7" ht="30" customHeight="1" thickBot="1" x14ac:dyDescent="0.3">
      <c r="B718" s="221"/>
      <c r="C718" s="221"/>
      <c r="D718" s="221"/>
      <c r="E718" s="221"/>
      <c r="F718" s="227">
        <v>1167</v>
      </c>
      <c r="G718" s="221"/>
    </row>
    <row r="719" spans="2:7" ht="30" customHeight="1" thickBot="1" x14ac:dyDescent="0.3">
      <c r="B719" s="221">
        <v>1079</v>
      </c>
      <c r="C719" s="221" t="s">
        <v>3366</v>
      </c>
      <c r="D719" s="223" t="s">
        <v>3369</v>
      </c>
      <c r="E719" s="221" t="s">
        <v>8626</v>
      </c>
      <c r="F719" s="223" t="s">
        <v>3368</v>
      </c>
      <c r="G719" s="221" t="s">
        <v>108</v>
      </c>
    </row>
    <row r="720" spans="2:7" ht="30" customHeight="1" thickBot="1" x14ac:dyDescent="0.3">
      <c r="B720" s="221"/>
      <c r="C720" s="221"/>
      <c r="D720" s="223"/>
      <c r="E720" s="221"/>
      <c r="F720" s="223" t="s">
        <v>3370</v>
      </c>
      <c r="G720" s="221"/>
    </row>
    <row r="721" spans="2:7" ht="30" customHeight="1" thickBot="1" x14ac:dyDescent="0.3">
      <c r="B721" s="221"/>
      <c r="C721" s="221"/>
      <c r="D721" s="223" t="s">
        <v>3371</v>
      </c>
      <c r="E721" s="221"/>
      <c r="F721" s="223"/>
      <c r="G721" s="221"/>
    </row>
    <row r="722" spans="2:7" ht="30" customHeight="1" thickBot="1" x14ac:dyDescent="0.3">
      <c r="B722" s="221"/>
      <c r="C722" s="221"/>
      <c r="D722" s="223"/>
      <c r="E722" s="221"/>
      <c r="F722" s="223"/>
      <c r="G722" s="221"/>
    </row>
    <row r="723" spans="2:7" ht="30" customHeight="1" thickBot="1" x14ac:dyDescent="0.3">
      <c r="B723" s="221"/>
      <c r="C723" s="221"/>
      <c r="D723" s="223" t="s">
        <v>3372</v>
      </c>
      <c r="E723" s="221"/>
      <c r="F723" s="223"/>
      <c r="G723" s="221"/>
    </row>
    <row r="724" spans="2:7" ht="30" customHeight="1" thickBot="1" x14ac:dyDescent="0.3">
      <c r="B724" s="221"/>
      <c r="C724" s="221"/>
      <c r="D724" s="223"/>
      <c r="E724" s="221"/>
      <c r="F724" s="223"/>
      <c r="G724" s="221"/>
    </row>
    <row r="725" spans="2:7" ht="30" customHeight="1" thickBot="1" x14ac:dyDescent="0.3">
      <c r="B725" s="221">
        <v>1080</v>
      </c>
      <c r="C725" s="221" t="s">
        <v>3373</v>
      </c>
      <c r="D725" s="223" t="s">
        <v>3374</v>
      </c>
      <c r="E725" s="221" t="s">
        <v>8263</v>
      </c>
      <c r="F725" s="223" t="s">
        <v>3368</v>
      </c>
      <c r="G725" s="221" t="s">
        <v>3375</v>
      </c>
    </row>
    <row r="726" spans="2:7" ht="30" customHeight="1" thickBot="1" x14ac:dyDescent="0.3">
      <c r="B726" s="221"/>
      <c r="C726" s="221"/>
      <c r="D726" s="223"/>
      <c r="E726" s="221"/>
      <c r="F726" s="223" t="s">
        <v>3376</v>
      </c>
      <c r="G726" s="221"/>
    </row>
    <row r="727" spans="2:7" ht="30" customHeight="1" thickBot="1" x14ac:dyDescent="0.3">
      <c r="B727" s="221"/>
      <c r="C727" s="221"/>
      <c r="D727" s="223" t="s">
        <v>3377</v>
      </c>
      <c r="E727" s="221"/>
      <c r="F727" s="223"/>
      <c r="G727" s="221"/>
    </row>
    <row r="728" spans="2:7" ht="30" customHeight="1" thickBot="1" x14ac:dyDescent="0.3">
      <c r="B728" s="221"/>
      <c r="C728" s="221"/>
      <c r="D728" s="223"/>
      <c r="E728" s="221"/>
      <c r="F728" s="223"/>
      <c r="G728" s="221"/>
    </row>
    <row r="729" spans="2:7" ht="30" customHeight="1" thickBot="1" x14ac:dyDescent="0.3">
      <c r="B729" s="221">
        <v>1081</v>
      </c>
      <c r="C729" s="221" t="s">
        <v>3366</v>
      </c>
      <c r="D729" s="223" t="s">
        <v>3378</v>
      </c>
      <c r="E729" s="221" t="s">
        <v>8698</v>
      </c>
      <c r="F729" s="221" t="s">
        <v>3368</v>
      </c>
      <c r="G729" s="221" t="s">
        <v>3379</v>
      </c>
    </row>
    <row r="730" spans="2:7" ht="30" customHeight="1" thickBot="1" x14ac:dyDescent="0.3">
      <c r="B730" s="221"/>
      <c r="C730" s="221"/>
      <c r="D730" s="228" t="s">
        <v>9922</v>
      </c>
      <c r="E730" s="221"/>
      <c r="F730" s="221"/>
      <c r="G730" s="221"/>
    </row>
    <row r="731" spans="2:7" ht="30" customHeight="1" thickBot="1" x14ac:dyDescent="0.3">
      <c r="B731" s="221"/>
      <c r="C731" s="221"/>
      <c r="D731" s="229"/>
      <c r="E731" s="221"/>
      <c r="F731" s="221"/>
      <c r="G731" s="221"/>
    </row>
    <row r="732" spans="2:7" ht="30" customHeight="1" thickBot="1" x14ac:dyDescent="0.3">
      <c r="B732" s="221"/>
      <c r="C732" s="221"/>
      <c r="D732" s="230"/>
      <c r="E732" s="221"/>
      <c r="F732" s="221"/>
      <c r="G732" s="221"/>
    </row>
    <row r="733" spans="2:7" ht="30" customHeight="1" thickBot="1" x14ac:dyDescent="0.3">
      <c r="B733" s="221"/>
      <c r="C733" s="221"/>
      <c r="D733" s="228" t="s">
        <v>3380</v>
      </c>
      <c r="E733" s="221"/>
      <c r="F733" s="221"/>
      <c r="G733" s="221"/>
    </row>
    <row r="734" spans="2:7" ht="30" customHeight="1" thickBot="1" x14ac:dyDescent="0.3">
      <c r="B734" s="221"/>
      <c r="C734" s="221"/>
      <c r="D734" s="229"/>
      <c r="E734" s="221"/>
      <c r="F734" s="221"/>
      <c r="G734" s="221"/>
    </row>
    <row r="735" spans="2:7" ht="30" customHeight="1" thickBot="1" x14ac:dyDescent="0.3">
      <c r="B735" s="221"/>
      <c r="C735" s="221"/>
      <c r="D735" s="230"/>
      <c r="E735" s="221"/>
      <c r="F735" s="221"/>
      <c r="G735" s="221"/>
    </row>
    <row r="736" spans="2:7" ht="30" customHeight="1" thickBot="1" x14ac:dyDescent="0.3">
      <c r="B736" s="221">
        <v>1082</v>
      </c>
      <c r="C736" s="221" t="s">
        <v>3366</v>
      </c>
      <c r="D736" s="223" t="s">
        <v>3381</v>
      </c>
      <c r="E736" s="221" t="s">
        <v>7985</v>
      </c>
      <c r="F736" s="223" t="s">
        <v>3368</v>
      </c>
      <c r="G736" s="221" t="s">
        <v>322</v>
      </c>
    </row>
    <row r="737" spans="2:7" ht="30" customHeight="1" thickBot="1" x14ac:dyDescent="0.3">
      <c r="B737" s="221"/>
      <c r="C737" s="221"/>
      <c r="D737" s="223"/>
      <c r="E737" s="221"/>
      <c r="F737" s="223" t="s">
        <v>3382</v>
      </c>
      <c r="G737" s="221"/>
    </row>
    <row r="738" spans="2:7" ht="30" customHeight="1" thickBot="1" x14ac:dyDescent="0.3">
      <c r="B738" s="221"/>
      <c r="C738" s="221"/>
      <c r="D738" s="223" t="s">
        <v>3383</v>
      </c>
      <c r="E738" s="221"/>
      <c r="F738" s="223"/>
      <c r="G738" s="221"/>
    </row>
    <row r="739" spans="2:7" ht="30" customHeight="1" thickBot="1" x14ac:dyDescent="0.3">
      <c r="B739" s="221"/>
      <c r="C739" s="221"/>
      <c r="D739" s="223"/>
      <c r="E739" s="221"/>
      <c r="F739" s="223"/>
      <c r="G739" s="221"/>
    </row>
    <row r="740" spans="2:7" ht="30" customHeight="1" thickBot="1" x14ac:dyDescent="0.3">
      <c r="B740" s="221"/>
      <c r="C740" s="221"/>
      <c r="D740" s="223"/>
      <c r="E740" s="221"/>
      <c r="F740" s="223"/>
      <c r="G740" s="221"/>
    </row>
    <row r="741" spans="2:7" ht="30" customHeight="1" thickBot="1" x14ac:dyDescent="0.3">
      <c r="B741" s="221"/>
      <c r="C741" s="221"/>
      <c r="D741" s="223" t="s">
        <v>3384</v>
      </c>
      <c r="E741" s="221"/>
      <c r="F741" s="223"/>
      <c r="G741" s="221"/>
    </row>
    <row r="742" spans="2:7" ht="30" customHeight="1" thickBot="1" x14ac:dyDescent="0.3">
      <c r="B742" s="221"/>
      <c r="C742" s="221"/>
      <c r="D742" s="223"/>
      <c r="E742" s="221"/>
      <c r="F742" s="223"/>
      <c r="G742" s="221"/>
    </row>
    <row r="743" spans="2:7" ht="30" customHeight="1" thickBot="1" x14ac:dyDescent="0.3">
      <c r="B743" s="221"/>
      <c r="C743" s="221"/>
      <c r="D743" s="223" t="s">
        <v>3385</v>
      </c>
      <c r="E743" s="221"/>
      <c r="F743" s="223"/>
      <c r="G743" s="221"/>
    </row>
    <row r="744" spans="2:7" ht="30" customHeight="1" thickBot="1" x14ac:dyDescent="0.3">
      <c r="B744" s="221"/>
      <c r="C744" s="221"/>
      <c r="D744" s="223"/>
      <c r="E744" s="221"/>
      <c r="F744" s="223"/>
      <c r="G744" s="221"/>
    </row>
    <row r="745" spans="2:7" ht="30" customHeight="1" thickBot="1" x14ac:dyDescent="0.3">
      <c r="B745" s="221"/>
      <c r="C745" s="221"/>
      <c r="D745" s="223" t="s">
        <v>3386</v>
      </c>
      <c r="E745" s="221"/>
      <c r="F745" s="223"/>
      <c r="G745" s="221"/>
    </row>
    <row r="746" spans="2:7" ht="30" customHeight="1" thickBot="1" x14ac:dyDescent="0.3">
      <c r="B746" s="221"/>
      <c r="C746" s="221"/>
      <c r="D746" s="223"/>
      <c r="E746" s="221"/>
      <c r="F746" s="223"/>
      <c r="G746" s="221"/>
    </row>
    <row r="747" spans="2:7" ht="30" customHeight="1" thickBot="1" x14ac:dyDescent="0.3">
      <c r="B747" s="221"/>
      <c r="C747" s="221"/>
      <c r="D747" s="223" t="s">
        <v>3387</v>
      </c>
      <c r="E747" s="221"/>
      <c r="F747" s="223"/>
      <c r="G747" s="221"/>
    </row>
    <row r="748" spans="2:7" ht="30" customHeight="1" thickBot="1" x14ac:dyDescent="0.3">
      <c r="B748" s="221"/>
      <c r="C748" s="221"/>
      <c r="D748" s="223"/>
      <c r="E748" s="221"/>
      <c r="F748" s="223"/>
      <c r="G748" s="221"/>
    </row>
    <row r="749" spans="2:7" ht="30" customHeight="1" thickBot="1" x14ac:dyDescent="0.3">
      <c r="B749" s="221"/>
      <c r="C749" s="221"/>
      <c r="D749" s="223"/>
      <c r="E749" s="221"/>
      <c r="F749" s="223"/>
      <c r="G749" s="221"/>
    </row>
    <row r="750" spans="2:7" ht="30" customHeight="1" thickBot="1" x14ac:dyDescent="0.3">
      <c r="B750" s="221"/>
      <c r="C750" s="221"/>
      <c r="D750" s="223"/>
      <c r="E750" s="221"/>
      <c r="F750" s="223"/>
      <c r="G750" s="221"/>
    </row>
    <row r="751" spans="2:7" ht="30" customHeight="1" thickBot="1" x14ac:dyDescent="0.3">
      <c r="B751" s="221">
        <v>1083</v>
      </c>
      <c r="C751" s="223"/>
      <c r="D751" s="223" t="s">
        <v>9144</v>
      </c>
      <c r="E751" s="221" t="s">
        <v>7174</v>
      </c>
      <c r="F751" s="221" t="s">
        <v>3388</v>
      </c>
      <c r="G751" s="221" t="s">
        <v>108</v>
      </c>
    </row>
    <row r="752" spans="2:7" ht="30" customHeight="1" thickBot="1" x14ac:dyDescent="0.3">
      <c r="B752" s="221"/>
      <c r="C752" s="223" t="s">
        <v>3389</v>
      </c>
      <c r="D752" s="223" t="s">
        <v>3390</v>
      </c>
      <c r="E752" s="221"/>
      <c r="F752" s="221"/>
      <c r="G752" s="221"/>
    </row>
    <row r="753" spans="2:7" ht="30" customHeight="1" thickBot="1" x14ac:dyDescent="0.3">
      <c r="B753" s="220">
        <v>1084</v>
      </c>
      <c r="C753" s="220" t="s">
        <v>3391</v>
      </c>
      <c r="D753" s="220" t="s">
        <v>3392</v>
      </c>
      <c r="E753" s="220" t="s">
        <v>7175</v>
      </c>
      <c r="F753" s="220" t="s">
        <v>3393</v>
      </c>
      <c r="G753" s="220" t="s">
        <v>327</v>
      </c>
    </row>
    <row r="754" spans="2:7" ht="30" customHeight="1" thickBot="1" x14ac:dyDescent="0.3">
      <c r="B754" s="220">
        <v>1085</v>
      </c>
      <c r="C754" s="220" t="s">
        <v>3391</v>
      </c>
      <c r="D754" s="220" t="s">
        <v>3394</v>
      </c>
      <c r="E754" s="220" t="s">
        <v>7175</v>
      </c>
      <c r="F754" s="220" t="s">
        <v>3393</v>
      </c>
      <c r="G754" s="220" t="s">
        <v>327</v>
      </c>
    </row>
    <row r="755" spans="2:7" ht="30" customHeight="1" thickBot="1" x14ac:dyDescent="0.3">
      <c r="B755" s="220">
        <v>1086</v>
      </c>
      <c r="C755" s="220" t="s">
        <v>3391</v>
      </c>
      <c r="D755" s="220" t="s">
        <v>3395</v>
      </c>
      <c r="E755" s="220" t="s">
        <v>7175</v>
      </c>
      <c r="F755" s="220" t="s">
        <v>3393</v>
      </c>
      <c r="G755" s="220" t="s">
        <v>327</v>
      </c>
    </row>
    <row r="756" spans="2:7" ht="30" customHeight="1" thickBot="1" x14ac:dyDescent="0.3">
      <c r="B756" s="220">
        <v>1087</v>
      </c>
      <c r="C756" s="220" t="s">
        <v>3391</v>
      </c>
      <c r="D756" s="220" t="s">
        <v>3396</v>
      </c>
      <c r="E756" s="220" t="s">
        <v>7175</v>
      </c>
      <c r="F756" s="220" t="s">
        <v>3393</v>
      </c>
      <c r="G756" s="220" t="s">
        <v>327</v>
      </c>
    </row>
    <row r="757" spans="2:7" ht="30" customHeight="1" thickBot="1" x14ac:dyDescent="0.3">
      <c r="B757" s="220">
        <v>1088</v>
      </c>
      <c r="C757" s="220" t="s">
        <v>3391</v>
      </c>
      <c r="D757" s="220" t="s">
        <v>3397</v>
      </c>
      <c r="E757" s="220" t="s">
        <v>7175</v>
      </c>
      <c r="F757" s="220" t="s">
        <v>3393</v>
      </c>
      <c r="G757" s="220" t="s">
        <v>327</v>
      </c>
    </row>
    <row r="758" spans="2:7" ht="30" customHeight="1" thickBot="1" x14ac:dyDescent="0.3">
      <c r="B758" s="220">
        <v>1089</v>
      </c>
      <c r="C758" s="220" t="s">
        <v>3391</v>
      </c>
      <c r="D758" s="220" t="s">
        <v>3398</v>
      </c>
      <c r="E758" s="220" t="s">
        <v>3399</v>
      </c>
      <c r="F758" s="220" t="s">
        <v>3400</v>
      </c>
      <c r="G758" s="220" t="s">
        <v>3401</v>
      </c>
    </row>
    <row r="759" spans="2:7" ht="30" customHeight="1" thickBot="1" x14ac:dyDescent="0.3">
      <c r="B759" s="220">
        <v>1090</v>
      </c>
      <c r="C759" s="220" t="s">
        <v>3391</v>
      </c>
      <c r="D759" s="220" t="s">
        <v>3402</v>
      </c>
      <c r="E759" s="220" t="s">
        <v>3403</v>
      </c>
      <c r="F759" s="220" t="s">
        <v>3404</v>
      </c>
      <c r="G759" s="220" t="s">
        <v>3405</v>
      </c>
    </row>
    <row r="760" spans="2:7" ht="30" customHeight="1" thickBot="1" x14ac:dyDescent="0.3">
      <c r="B760" s="220">
        <v>1091</v>
      </c>
      <c r="C760" s="220" t="s">
        <v>3391</v>
      </c>
      <c r="D760" s="220" t="s">
        <v>3406</v>
      </c>
      <c r="E760" s="220" t="s">
        <v>3407</v>
      </c>
      <c r="F760" s="220" t="s">
        <v>3408</v>
      </c>
      <c r="G760" s="220" t="s">
        <v>3409</v>
      </c>
    </row>
    <row r="761" spans="2:7" ht="30" customHeight="1" thickBot="1" x14ac:dyDescent="0.3">
      <c r="B761" s="220">
        <v>1092</v>
      </c>
      <c r="C761" s="220" t="s">
        <v>3391</v>
      </c>
      <c r="D761" s="220" t="s">
        <v>3410</v>
      </c>
      <c r="E761" s="220" t="s">
        <v>6982</v>
      </c>
      <c r="F761" s="220" t="s">
        <v>388</v>
      </c>
      <c r="G761" s="220" t="s">
        <v>84</v>
      </c>
    </row>
    <row r="762" spans="2:7" ht="30" customHeight="1" thickBot="1" x14ac:dyDescent="0.3">
      <c r="B762" s="220">
        <v>1093</v>
      </c>
      <c r="C762" s="220" t="s">
        <v>3391</v>
      </c>
      <c r="D762" s="220" t="s">
        <v>3411</v>
      </c>
      <c r="E762" s="220" t="s">
        <v>3412</v>
      </c>
      <c r="F762" s="220" t="s">
        <v>3413</v>
      </c>
      <c r="G762" s="220" t="s">
        <v>84</v>
      </c>
    </row>
    <row r="763" spans="2:7" ht="30" customHeight="1" thickBot="1" x14ac:dyDescent="0.3">
      <c r="B763" s="220">
        <v>1094</v>
      </c>
      <c r="C763" s="220" t="s">
        <v>3391</v>
      </c>
      <c r="D763" s="220" t="s">
        <v>3414</v>
      </c>
      <c r="E763" s="220" t="s">
        <v>8651</v>
      </c>
      <c r="F763" s="220" t="s">
        <v>3415</v>
      </c>
      <c r="G763" s="220" t="s">
        <v>84</v>
      </c>
    </row>
    <row r="764" spans="2:7" ht="30" customHeight="1" thickBot="1" x14ac:dyDescent="0.3">
      <c r="B764" s="220">
        <v>1095</v>
      </c>
      <c r="C764" s="220" t="s">
        <v>3391</v>
      </c>
      <c r="D764" s="220" t="s">
        <v>3416</v>
      </c>
      <c r="E764" s="220" t="s">
        <v>7700</v>
      </c>
      <c r="F764" s="220" t="s">
        <v>3417</v>
      </c>
      <c r="G764" s="220" t="s">
        <v>565</v>
      </c>
    </row>
    <row r="765" spans="2:7" ht="30" customHeight="1" thickBot="1" x14ac:dyDescent="0.3">
      <c r="B765" s="220">
        <v>1096</v>
      </c>
      <c r="C765" s="220" t="s">
        <v>3391</v>
      </c>
      <c r="D765" s="220" t="s">
        <v>3418</v>
      </c>
      <c r="E765" s="220" t="s">
        <v>9270</v>
      </c>
      <c r="F765" s="220" t="s">
        <v>3419</v>
      </c>
      <c r="G765" s="220" t="s">
        <v>3420</v>
      </c>
    </row>
    <row r="766" spans="2:7" ht="105" customHeight="1" thickBot="1" x14ac:dyDescent="0.3">
      <c r="B766" s="220">
        <v>1097</v>
      </c>
      <c r="C766" s="220" t="s">
        <v>3391</v>
      </c>
      <c r="D766" s="220" t="s">
        <v>3421</v>
      </c>
      <c r="E766" s="220" t="s">
        <v>9223</v>
      </c>
      <c r="F766" s="220" t="s">
        <v>3422</v>
      </c>
      <c r="G766" s="220" t="s">
        <v>84</v>
      </c>
    </row>
    <row r="767" spans="2:7" ht="30" customHeight="1" thickBot="1" x14ac:dyDescent="0.3">
      <c r="B767" s="220">
        <v>1098</v>
      </c>
      <c r="C767" s="220" t="s">
        <v>3391</v>
      </c>
      <c r="D767" s="220" t="s">
        <v>9923</v>
      </c>
      <c r="E767" s="220" t="s">
        <v>3423</v>
      </c>
      <c r="F767" s="220" t="s">
        <v>3424</v>
      </c>
      <c r="G767" s="220" t="s">
        <v>84</v>
      </c>
    </row>
    <row r="768" spans="2:7" ht="30" customHeight="1" thickBot="1" x14ac:dyDescent="0.3">
      <c r="B768" s="220">
        <v>1099</v>
      </c>
      <c r="C768" s="220" t="s">
        <v>3391</v>
      </c>
      <c r="D768" s="220" t="s">
        <v>3425</v>
      </c>
      <c r="E768" s="220" t="s">
        <v>7998</v>
      </c>
      <c r="F768" s="220" t="s">
        <v>3426</v>
      </c>
      <c r="G768" s="220" t="s">
        <v>3427</v>
      </c>
    </row>
    <row r="769" spans="2:7" ht="30" customHeight="1" thickBot="1" x14ac:dyDescent="0.3">
      <c r="B769" s="220">
        <v>1100</v>
      </c>
      <c r="C769" s="220" t="s">
        <v>3391</v>
      </c>
      <c r="D769" s="220" t="s">
        <v>3428</v>
      </c>
      <c r="E769" s="220" t="s">
        <v>9271</v>
      </c>
      <c r="F769" s="220" t="s">
        <v>3429</v>
      </c>
      <c r="G769" s="220" t="s">
        <v>565</v>
      </c>
    </row>
    <row r="770" spans="2:7" ht="30" customHeight="1" thickBot="1" x14ac:dyDescent="0.3">
      <c r="B770" s="220">
        <v>1101</v>
      </c>
      <c r="C770" s="220" t="s">
        <v>3391</v>
      </c>
      <c r="D770" s="220" t="s">
        <v>3430</v>
      </c>
      <c r="E770" s="220" t="s">
        <v>7241</v>
      </c>
      <c r="F770" s="220" t="s">
        <v>3431</v>
      </c>
      <c r="G770" s="220" t="s">
        <v>565</v>
      </c>
    </row>
    <row r="771" spans="2:7" ht="30" customHeight="1" thickBot="1" x14ac:dyDescent="0.3">
      <c r="B771" s="220">
        <v>1102</v>
      </c>
      <c r="C771" s="220" t="s">
        <v>3391</v>
      </c>
      <c r="D771" s="220" t="s">
        <v>3432</v>
      </c>
      <c r="E771" s="220" t="s">
        <v>7176</v>
      </c>
      <c r="F771" s="220" t="s">
        <v>3433</v>
      </c>
      <c r="G771" s="220" t="s">
        <v>565</v>
      </c>
    </row>
    <row r="772" spans="2:7" ht="30" customHeight="1" thickBot="1" x14ac:dyDescent="0.3">
      <c r="B772" s="220">
        <v>1103</v>
      </c>
      <c r="C772" s="220" t="s">
        <v>3391</v>
      </c>
      <c r="D772" s="220" t="s">
        <v>3434</v>
      </c>
      <c r="E772" s="220" t="s">
        <v>7176</v>
      </c>
      <c r="F772" s="220" t="s">
        <v>3433</v>
      </c>
      <c r="G772" s="220" t="s">
        <v>565</v>
      </c>
    </row>
    <row r="773" spans="2:7" ht="30" customHeight="1" thickBot="1" x14ac:dyDescent="0.3">
      <c r="B773" s="220">
        <v>1104</v>
      </c>
      <c r="C773" s="220" t="s">
        <v>3391</v>
      </c>
      <c r="D773" s="220" t="s">
        <v>3435</v>
      </c>
      <c r="E773" s="220" t="s">
        <v>7176</v>
      </c>
      <c r="F773" s="220" t="s">
        <v>3436</v>
      </c>
      <c r="G773" s="220" t="s">
        <v>565</v>
      </c>
    </row>
    <row r="774" spans="2:7" ht="30" customHeight="1" thickBot="1" x14ac:dyDescent="0.3">
      <c r="B774" s="220">
        <v>1105</v>
      </c>
      <c r="C774" s="220" t="s">
        <v>3391</v>
      </c>
      <c r="D774" s="220" t="s">
        <v>3437</v>
      </c>
      <c r="E774" s="220" t="s">
        <v>9272</v>
      </c>
      <c r="F774" s="220" t="s">
        <v>3438</v>
      </c>
      <c r="G774" s="220" t="s">
        <v>565</v>
      </c>
    </row>
    <row r="775" spans="2:7" ht="30" customHeight="1" thickBot="1" x14ac:dyDescent="0.3">
      <c r="B775" s="220">
        <v>1106</v>
      </c>
      <c r="C775" s="220" t="s">
        <v>3391</v>
      </c>
      <c r="D775" s="220" t="s">
        <v>3439</v>
      </c>
      <c r="E775" s="220" t="s">
        <v>7177</v>
      </c>
      <c r="F775" s="220" t="s">
        <v>3440</v>
      </c>
      <c r="G775" s="220" t="s">
        <v>565</v>
      </c>
    </row>
    <row r="776" spans="2:7" ht="30" customHeight="1" thickBot="1" x14ac:dyDescent="0.3">
      <c r="B776" s="220">
        <v>1107</v>
      </c>
      <c r="C776" s="220" t="s">
        <v>3391</v>
      </c>
      <c r="D776" s="220" t="s">
        <v>3441</v>
      </c>
      <c r="E776" s="220" t="s">
        <v>7177</v>
      </c>
      <c r="F776" s="220" t="s">
        <v>3440</v>
      </c>
      <c r="G776" s="220" t="s">
        <v>565</v>
      </c>
    </row>
    <row r="777" spans="2:7" ht="30" customHeight="1" thickBot="1" x14ac:dyDescent="0.3">
      <c r="B777" s="220">
        <v>1108</v>
      </c>
      <c r="C777" s="220" t="s">
        <v>3391</v>
      </c>
      <c r="D777" s="220" t="s">
        <v>3442</v>
      </c>
      <c r="E777" s="220" t="s">
        <v>7177</v>
      </c>
      <c r="F777" s="220" t="s">
        <v>3440</v>
      </c>
      <c r="G777" s="220" t="s">
        <v>565</v>
      </c>
    </row>
    <row r="778" spans="2:7" ht="30" customHeight="1" thickBot="1" x14ac:dyDescent="0.3">
      <c r="B778" s="220">
        <v>1109</v>
      </c>
      <c r="C778" s="220" t="s">
        <v>3391</v>
      </c>
      <c r="D778" s="220" t="s">
        <v>3443</v>
      </c>
      <c r="E778" s="220" t="s">
        <v>7177</v>
      </c>
      <c r="F778" s="220" t="s">
        <v>3440</v>
      </c>
      <c r="G778" s="220" t="s">
        <v>565</v>
      </c>
    </row>
    <row r="779" spans="2:7" ht="30" customHeight="1" thickBot="1" x14ac:dyDescent="0.3">
      <c r="B779" s="220">
        <v>1110</v>
      </c>
      <c r="C779" s="220" t="s">
        <v>3391</v>
      </c>
      <c r="D779" s="220" t="s">
        <v>3444</v>
      </c>
      <c r="E779" s="220" t="s">
        <v>7177</v>
      </c>
      <c r="F779" s="220" t="s">
        <v>3445</v>
      </c>
      <c r="G779" s="220" t="s">
        <v>565</v>
      </c>
    </row>
    <row r="780" spans="2:7" ht="30" customHeight="1" thickBot="1" x14ac:dyDescent="0.3">
      <c r="B780" s="220">
        <v>1111</v>
      </c>
      <c r="C780" s="220" t="s">
        <v>3391</v>
      </c>
      <c r="D780" s="220" t="s">
        <v>3446</v>
      </c>
      <c r="E780" s="220" t="s">
        <v>7177</v>
      </c>
      <c r="F780" s="220" t="s">
        <v>3440</v>
      </c>
      <c r="G780" s="220" t="s">
        <v>565</v>
      </c>
    </row>
    <row r="781" spans="2:7" ht="30" customHeight="1" thickBot="1" x14ac:dyDescent="0.3">
      <c r="B781" s="220">
        <v>1112</v>
      </c>
      <c r="C781" s="220" t="s">
        <v>3391</v>
      </c>
      <c r="D781" s="220" t="s">
        <v>3447</v>
      </c>
      <c r="E781" s="220" t="s">
        <v>7177</v>
      </c>
      <c r="F781" s="220" t="s">
        <v>3440</v>
      </c>
      <c r="G781" s="220" t="s">
        <v>565</v>
      </c>
    </row>
    <row r="782" spans="2:7" ht="30" customHeight="1" thickBot="1" x14ac:dyDescent="0.3">
      <c r="B782" s="220">
        <v>1113</v>
      </c>
      <c r="C782" s="220" t="s">
        <v>3391</v>
      </c>
      <c r="D782" s="220" t="s">
        <v>3448</v>
      </c>
      <c r="E782" s="220" t="s">
        <v>7176</v>
      </c>
      <c r="F782" s="220" t="s">
        <v>3449</v>
      </c>
      <c r="G782" s="220" t="s">
        <v>565</v>
      </c>
    </row>
    <row r="783" spans="2:7" ht="30" customHeight="1" thickBot="1" x14ac:dyDescent="0.3">
      <c r="B783" s="220">
        <v>1114</v>
      </c>
      <c r="C783" s="220" t="s">
        <v>3391</v>
      </c>
      <c r="D783" s="220" t="s">
        <v>3450</v>
      </c>
      <c r="E783" s="223" t="s">
        <v>9273</v>
      </c>
      <c r="F783" s="220" t="s">
        <v>3451</v>
      </c>
      <c r="G783" s="220" t="s">
        <v>565</v>
      </c>
    </row>
    <row r="784" spans="2:7" ht="30" customHeight="1" thickBot="1" x14ac:dyDescent="0.3">
      <c r="B784" s="220">
        <v>1115</v>
      </c>
      <c r="C784" s="220" t="s">
        <v>3391</v>
      </c>
      <c r="D784" s="220" t="s">
        <v>3452</v>
      </c>
      <c r="E784" s="223" t="s">
        <v>9274</v>
      </c>
      <c r="F784" s="220" t="s">
        <v>3440</v>
      </c>
      <c r="G784" s="220" t="s">
        <v>565</v>
      </c>
    </row>
    <row r="785" spans="2:7" ht="30" customHeight="1" thickBot="1" x14ac:dyDescent="0.3">
      <c r="B785" s="220">
        <v>1116</v>
      </c>
      <c r="C785" s="220" t="s">
        <v>3391</v>
      </c>
      <c r="D785" s="220" t="s">
        <v>3453</v>
      </c>
      <c r="E785" s="223" t="s">
        <v>9275</v>
      </c>
      <c r="F785" s="220" t="s">
        <v>3454</v>
      </c>
      <c r="G785" s="220" t="s">
        <v>565</v>
      </c>
    </row>
    <row r="786" spans="2:7" ht="30" customHeight="1" thickBot="1" x14ac:dyDescent="0.3">
      <c r="B786" s="220">
        <v>1117</v>
      </c>
      <c r="C786" s="220" t="s">
        <v>3391</v>
      </c>
      <c r="D786" s="220" t="s">
        <v>3455</v>
      </c>
      <c r="E786" s="223" t="s">
        <v>9276</v>
      </c>
      <c r="F786" s="220" t="s">
        <v>3456</v>
      </c>
      <c r="G786" s="220" t="s">
        <v>565</v>
      </c>
    </row>
    <row r="787" spans="2:7" ht="30" customHeight="1" thickBot="1" x14ac:dyDescent="0.3">
      <c r="B787" s="220">
        <v>1118</v>
      </c>
      <c r="C787" s="220" t="s">
        <v>3391</v>
      </c>
      <c r="D787" s="220" t="s">
        <v>3457</v>
      </c>
      <c r="E787" s="223" t="s">
        <v>9277</v>
      </c>
      <c r="F787" s="220" t="s">
        <v>3458</v>
      </c>
      <c r="G787" s="220" t="s">
        <v>565</v>
      </c>
    </row>
    <row r="788" spans="2:7" ht="30" customHeight="1" thickBot="1" x14ac:dyDescent="0.3">
      <c r="B788" s="220">
        <v>1119</v>
      </c>
      <c r="C788" s="220" t="s">
        <v>3391</v>
      </c>
      <c r="D788" s="220" t="s">
        <v>3459</v>
      </c>
      <c r="E788" s="223" t="s">
        <v>9278</v>
      </c>
      <c r="F788" s="220" t="s">
        <v>3460</v>
      </c>
      <c r="G788" s="220" t="s">
        <v>565</v>
      </c>
    </row>
    <row r="789" spans="2:7" ht="30" customHeight="1" thickBot="1" x14ac:dyDescent="0.3">
      <c r="B789" s="220">
        <v>1120</v>
      </c>
      <c r="C789" s="220" t="s">
        <v>3391</v>
      </c>
      <c r="D789" s="220" t="s">
        <v>3461</v>
      </c>
      <c r="E789" s="223" t="s">
        <v>9279</v>
      </c>
      <c r="F789" s="220" t="s">
        <v>3462</v>
      </c>
      <c r="G789" s="220" t="s">
        <v>565</v>
      </c>
    </row>
    <row r="790" spans="2:7" ht="30" customHeight="1" thickBot="1" x14ac:dyDescent="0.3">
      <c r="B790" s="220">
        <v>1121</v>
      </c>
      <c r="C790" s="220" t="s">
        <v>3391</v>
      </c>
      <c r="D790" s="220" t="s">
        <v>3463</v>
      </c>
      <c r="E790" s="220" t="s">
        <v>7165</v>
      </c>
      <c r="F790" s="220" t="s">
        <v>3464</v>
      </c>
      <c r="G790" s="220" t="s">
        <v>565</v>
      </c>
    </row>
    <row r="791" spans="2:7" ht="30" customHeight="1" thickBot="1" x14ac:dyDescent="0.3">
      <c r="B791" s="220">
        <v>1122</v>
      </c>
      <c r="C791" s="220" t="s">
        <v>3391</v>
      </c>
      <c r="D791" s="220" t="s">
        <v>3465</v>
      </c>
      <c r="E791" s="220" t="s">
        <v>8264</v>
      </c>
      <c r="F791" s="220" t="s">
        <v>3466</v>
      </c>
      <c r="G791" s="220" t="s">
        <v>565</v>
      </c>
    </row>
    <row r="792" spans="2:7" ht="30" customHeight="1" thickBot="1" x14ac:dyDescent="0.3">
      <c r="B792" s="219">
        <v>1123</v>
      </c>
      <c r="C792" s="220" t="s">
        <v>3467</v>
      </c>
      <c r="D792" s="220" t="s">
        <v>3468</v>
      </c>
      <c r="E792" s="220" t="s">
        <v>349</v>
      </c>
      <c r="F792" s="220" t="s">
        <v>914</v>
      </c>
      <c r="G792" s="220" t="s">
        <v>74</v>
      </c>
    </row>
    <row r="793" spans="2:7" ht="30" customHeight="1" thickBot="1" x14ac:dyDescent="0.3">
      <c r="B793" s="219">
        <v>1124</v>
      </c>
      <c r="C793" s="220" t="s">
        <v>3467</v>
      </c>
      <c r="D793" s="220" t="s">
        <v>3469</v>
      </c>
      <c r="E793" s="220" t="s">
        <v>349</v>
      </c>
      <c r="F793" s="220" t="s">
        <v>914</v>
      </c>
      <c r="G793" s="220" t="s">
        <v>74</v>
      </c>
    </row>
    <row r="794" spans="2:7" ht="30" customHeight="1" thickBot="1" x14ac:dyDescent="0.3">
      <c r="B794" s="219">
        <v>1125</v>
      </c>
      <c r="C794" s="220" t="s">
        <v>3467</v>
      </c>
      <c r="D794" s="220" t="s">
        <v>918</v>
      </c>
      <c r="E794" s="220" t="s">
        <v>6025</v>
      </c>
      <c r="F794" s="220" t="s">
        <v>919</v>
      </c>
      <c r="G794" s="220" t="s">
        <v>74</v>
      </c>
    </row>
    <row r="795" spans="2:7" ht="30" customHeight="1" thickBot="1" x14ac:dyDescent="0.3">
      <c r="B795" s="219">
        <v>1126</v>
      </c>
      <c r="C795" s="220" t="s">
        <v>3467</v>
      </c>
      <c r="D795" s="220" t="s">
        <v>3470</v>
      </c>
      <c r="E795" s="220" t="s">
        <v>9210</v>
      </c>
      <c r="F795" s="220" t="s">
        <v>921</v>
      </c>
      <c r="G795" s="220" t="s">
        <v>322</v>
      </c>
    </row>
    <row r="796" spans="2:7" ht="30" customHeight="1" thickBot="1" x14ac:dyDescent="0.3">
      <c r="B796" s="219">
        <v>1127</v>
      </c>
      <c r="C796" s="220" t="s">
        <v>3467</v>
      </c>
      <c r="D796" s="220" t="s">
        <v>3471</v>
      </c>
      <c r="E796" s="220" t="s">
        <v>8699</v>
      </c>
      <c r="F796" s="220" t="s">
        <v>941</v>
      </c>
      <c r="G796" s="220" t="s">
        <v>322</v>
      </c>
    </row>
    <row r="797" spans="2:7" ht="30" customHeight="1" thickBot="1" x14ac:dyDescent="0.3">
      <c r="B797" s="219">
        <v>1128</v>
      </c>
      <c r="C797" s="220" t="s">
        <v>3467</v>
      </c>
      <c r="D797" s="220" t="s">
        <v>943</v>
      </c>
      <c r="E797" s="220" t="s">
        <v>7228</v>
      </c>
      <c r="F797" s="220" t="s">
        <v>944</v>
      </c>
      <c r="G797" s="220" t="s">
        <v>322</v>
      </c>
    </row>
    <row r="798" spans="2:7" ht="30" customHeight="1" thickBot="1" x14ac:dyDescent="0.3">
      <c r="B798" s="219">
        <v>1129</v>
      </c>
      <c r="C798" s="220" t="s">
        <v>3467</v>
      </c>
      <c r="D798" s="220" t="s">
        <v>946</v>
      </c>
      <c r="E798" s="220" t="s">
        <v>3472</v>
      </c>
      <c r="F798" s="220" t="s">
        <v>947</v>
      </c>
      <c r="G798" s="220" t="s">
        <v>322</v>
      </c>
    </row>
    <row r="799" spans="2:7" ht="30" customHeight="1" thickBot="1" x14ac:dyDescent="0.3">
      <c r="B799" s="219">
        <v>1130</v>
      </c>
      <c r="C799" s="220" t="s">
        <v>3467</v>
      </c>
      <c r="D799" s="220" t="s">
        <v>949</v>
      </c>
      <c r="E799" s="220" t="s">
        <v>7986</v>
      </c>
      <c r="F799" s="220" t="s">
        <v>950</v>
      </c>
      <c r="G799" s="220" t="s">
        <v>322</v>
      </c>
    </row>
    <row r="800" spans="2:7" ht="30" customHeight="1" thickBot="1" x14ac:dyDescent="0.3">
      <c r="B800" s="219">
        <v>1131</v>
      </c>
      <c r="C800" s="220" t="s">
        <v>3467</v>
      </c>
      <c r="D800" s="220" t="s">
        <v>951</v>
      </c>
      <c r="E800" s="220" t="s">
        <v>9280</v>
      </c>
      <c r="F800" s="220" t="s">
        <v>952</v>
      </c>
      <c r="G800" s="220" t="s">
        <v>565</v>
      </c>
    </row>
    <row r="801" spans="2:7" ht="30" customHeight="1" thickBot="1" x14ac:dyDescent="0.3">
      <c r="B801" s="219">
        <v>1132</v>
      </c>
      <c r="C801" s="220" t="s">
        <v>3467</v>
      </c>
      <c r="D801" s="220" t="s">
        <v>953</v>
      </c>
      <c r="E801" s="220" t="s">
        <v>7178</v>
      </c>
      <c r="F801" s="220" t="s">
        <v>954</v>
      </c>
      <c r="G801" s="220" t="s">
        <v>565</v>
      </c>
    </row>
    <row r="802" spans="2:7" ht="30" customHeight="1" thickBot="1" x14ac:dyDescent="0.3">
      <c r="B802" s="219">
        <v>1133</v>
      </c>
      <c r="C802" s="220" t="s">
        <v>3467</v>
      </c>
      <c r="D802" s="220" t="s">
        <v>3473</v>
      </c>
      <c r="E802" s="220" t="s">
        <v>7179</v>
      </c>
      <c r="F802" s="220" t="s">
        <v>954</v>
      </c>
      <c r="G802" s="220" t="s">
        <v>565</v>
      </c>
    </row>
    <row r="803" spans="2:7" ht="30" customHeight="1" thickBot="1" x14ac:dyDescent="0.3">
      <c r="B803" s="219">
        <v>1134</v>
      </c>
      <c r="C803" s="220" t="s">
        <v>3467</v>
      </c>
      <c r="D803" s="220" t="s">
        <v>9924</v>
      </c>
      <c r="E803" s="220" t="s">
        <v>7180</v>
      </c>
      <c r="F803" s="220" t="s">
        <v>954</v>
      </c>
      <c r="G803" s="220"/>
    </row>
    <row r="804" spans="2:7" ht="30" customHeight="1" thickBot="1" x14ac:dyDescent="0.3">
      <c r="B804" s="219">
        <v>1135</v>
      </c>
      <c r="C804" s="220" t="s">
        <v>3467</v>
      </c>
      <c r="D804" s="220" t="s">
        <v>972</v>
      </c>
      <c r="E804" s="220" t="s">
        <v>7118</v>
      </c>
      <c r="F804" s="220" t="s">
        <v>973</v>
      </c>
      <c r="G804" s="220" t="s">
        <v>322</v>
      </c>
    </row>
    <row r="805" spans="2:7" ht="30" customHeight="1" thickBot="1" x14ac:dyDescent="0.3">
      <c r="B805" s="219">
        <v>1136</v>
      </c>
      <c r="C805" s="220" t="s">
        <v>3467</v>
      </c>
      <c r="D805" s="220" t="s">
        <v>974</v>
      </c>
      <c r="E805" s="220" t="s">
        <v>651</v>
      </c>
      <c r="F805" s="220" t="s">
        <v>975</v>
      </c>
      <c r="G805" s="220" t="s">
        <v>108</v>
      </c>
    </row>
    <row r="806" spans="2:7" ht="30" customHeight="1" thickBot="1" x14ac:dyDescent="0.3">
      <c r="B806" s="219">
        <v>1137</v>
      </c>
      <c r="C806" s="220" t="s">
        <v>3467</v>
      </c>
      <c r="D806" s="220" t="s">
        <v>976</v>
      </c>
      <c r="E806" s="220" t="s">
        <v>21</v>
      </c>
      <c r="F806" s="220" t="s">
        <v>977</v>
      </c>
      <c r="G806" s="220" t="s">
        <v>3474</v>
      </c>
    </row>
    <row r="807" spans="2:7" ht="30" customHeight="1" thickBot="1" x14ac:dyDescent="0.3">
      <c r="B807" s="219">
        <v>1138</v>
      </c>
      <c r="C807" s="220" t="s">
        <v>3467</v>
      </c>
      <c r="D807" s="220" t="s">
        <v>3475</v>
      </c>
      <c r="E807" s="220" t="s">
        <v>9281</v>
      </c>
      <c r="F807" s="220" t="s">
        <v>980</v>
      </c>
      <c r="G807" s="220" t="s">
        <v>565</v>
      </c>
    </row>
    <row r="808" spans="2:7" ht="30" customHeight="1" thickBot="1" x14ac:dyDescent="0.3">
      <c r="B808" s="219">
        <v>1139</v>
      </c>
      <c r="C808" s="220" t="s">
        <v>3467</v>
      </c>
      <c r="D808" s="220" t="s">
        <v>983</v>
      </c>
      <c r="E808" s="220" t="s">
        <v>7120</v>
      </c>
      <c r="F808" s="220" t="s">
        <v>984</v>
      </c>
      <c r="G808" s="220" t="s">
        <v>565</v>
      </c>
    </row>
    <row r="809" spans="2:7" ht="30" customHeight="1" thickBot="1" x14ac:dyDescent="0.3">
      <c r="B809" s="219">
        <v>1140</v>
      </c>
      <c r="C809" s="220" t="s">
        <v>3467</v>
      </c>
      <c r="D809" s="220" t="s">
        <v>3476</v>
      </c>
      <c r="E809" s="220" t="s">
        <v>3477</v>
      </c>
      <c r="F809" s="220" t="s">
        <v>3478</v>
      </c>
      <c r="G809" s="220" t="s">
        <v>84</v>
      </c>
    </row>
    <row r="810" spans="2:7" ht="30" customHeight="1" thickBot="1" x14ac:dyDescent="0.3">
      <c r="B810" s="219">
        <v>1141</v>
      </c>
      <c r="C810" s="220" t="s">
        <v>3467</v>
      </c>
      <c r="D810" s="220" t="s">
        <v>3479</v>
      </c>
      <c r="E810" s="220" t="s">
        <v>7534</v>
      </c>
      <c r="F810" s="220" t="s">
        <v>3478</v>
      </c>
      <c r="G810" s="220" t="s">
        <v>84</v>
      </c>
    </row>
    <row r="811" spans="2:7" ht="30" customHeight="1" thickBot="1" x14ac:dyDescent="0.3">
      <c r="B811" s="219">
        <v>1142</v>
      </c>
      <c r="C811" s="220" t="s">
        <v>3467</v>
      </c>
      <c r="D811" s="220" t="s">
        <v>3480</v>
      </c>
      <c r="E811" s="220" t="s">
        <v>8700</v>
      </c>
      <c r="F811" s="220" t="s">
        <v>3481</v>
      </c>
      <c r="G811" s="220" t="s">
        <v>322</v>
      </c>
    </row>
    <row r="812" spans="2:7" ht="30" customHeight="1" thickBot="1" x14ac:dyDescent="0.3">
      <c r="B812" s="219">
        <v>1143</v>
      </c>
      <c r="C812" s="220" t="s">
        <v>3467</v>
      </c>
      <c r="D812" s="220" t="s">
        <v>3482</v>
      </c>
      <c r="E812" s="220" t="s">
        <v>8627</v>
      </c>
      <c r="F812" s="220" t="s">
        <v>3483</v>
      </c>
      <c r="G812" s="220" t="s">
        <v>108</v>
      </c>
    </row>
    <row r="813" spans="2:7" ht="30" customHeight="1" thickBot="1" x14ac:dyDescent="0.3">
      <c r="B813" s="219">
        <v>1144</v>
      </c>
      <c r="C813" s="220" t="s">
        <v>3467</v>
      </c>
      <c r="D813" s="220" t="s">
        <v>9925</v>
      </c>
      <c r="E813" s="220" t="s">
        <v>9038</v>
      </c>
      <c r="F813" s="220" t="s">
        <v>9926</v>
      </c>
      <c r="G813" s="220" t="s">
        <v>108</v>
      </c>
    </row>
    <row r="814" spans="2:7" ht="30" customHeight="1" thickBot="1" x14ac:dyDescent="0.3">
      <c r="B814" s="219">
        <v>1145</v>
      </c>
      <c r="C814" s="220" t="s">
        <v>3467</v>
      </c>
      <c r="D814" s="220" t="s">
        <v>3484</v>
      </c>
      <c r="E814" s="220" t="s">
        <v>7181</v>
      </c>
      <c r="F814" s="220" t="s">
        <v>3485</v>
      </c>
      <c r="G814" s="220" t="s">
        <v>322</v>
      </c>
    </row>
    <row r="815" spans="2:7" ht="30" customHeight="1" thickBot="1" x14ac:dyDescent="0.3">
      <c r="B815" s="219">
        <v>1146</v>
      </c>
      <c r="C815" s="220" t="s">
        <v>3467</v>
      </c>
      <c r="D815" s="220" t="s">
        <v>3486</v>
      </c>
      <c r="E815" s="220" t="s">
        <v>7535</v>
      </c>
      <c r="F815" s="220" t="s">
        <v>3487</v>
      </c>
      <c r="G815" s="220" t="s">
        <v>84</v>
      </c>
    </row>
    <row r="816" spans="2:7" ht="30" customHeight="1" thickBot="1" x14ac:dyDescent="0.3">
      <c r="B816" s="219">
        <v>1147</v>
      </c>
      <c r="C816" s="220" t="s">
        <v>3467</v>
      </c>
      <c r="D816" s="220" t="s">
        <v>3488</v>
      </c>
      <c r="E816" s="220" t="s">
        <v>7179</v>
      </c>
      <c r="F816" s="220" t="s">
        <v>346</v>
      </c>
      <c r="G816" s="220" t="s">
        <v>565</v>
      </c>
    </row>
    <row r="817" spans="2:7" ht="30" customHeight="1" thickBot="1" x14ac:dyDescent="0.3">
      <c r="B817" s="219">
        <v>1148</v>
      </c>
      <c r="C817" s="220" t="s">
        <v>3467</v>
      </c>
      <c r="D817" s="220" t="s">
        <v>3489</v>
      </c>
      <c r="E817" s="220" t="s">
        <v>7242</v>
      </c>
      <c r="F817" s="220" t="s">
        <v>3490</v>
      </c>
      <c r="G817" s="220" t="s">
        <v>565</v>
      </c>
    </row>
    <row r="818" spans="2:7" ht="30" customHeight="1" thickBot="1" x14ac:dyDescent="0.3">
      <c r="B818" s="219">
        <v>1149</v>
      </c>
      <c r="C818" s="220" t="s">
        <v>3467</v>
      </c>
      <c r="D818" s="220" t="s">
        <v>3491</v>
      </c>
      <c r="E818" s="220" t="s">
        <v>7243</v>
      </c>
      <c r="F818" s="220" t="s">
        <v>3490</v>
      </c>
      <c r="G818" s="220" t="s">
        <v>565</v>
      </c>
    </row>
    <row r="819" spans="2:7" ht="30" customHeight="1" thickBot="1" x14ac:dyDescent="0.3">
      <c r="B819" s="220">
        <v>1150</v>
      </c>
      <c r="C819" s="220" t="s">
        <v>3492</v>
      </c>
      <c r="D819" s="220" t="s">
        <v>3493</v>
      </c>
      <c r="E819" s="220" t="s">
        <v>8701</v>
      </c>
      <c r="F819" s="220" t="s">
        <v>3494</v>
      </c>
      <c r="G819" s="220" t="s">
        <v>565</v>
      </c>
    </row>
    <row r="820" spans="2:7" ht="30" customHeight="1" thickBot="1" x14ac:dyDescent="0.3">
      <c r="B820" s="220">
        <v>1151</v>
      </c>
      <c r="C820" s="220" t="s">
        <v>3492</v>
      </c>
      <c r="D820" s="220" t="s">
        <v>3495</v>
      </c>
      <c r="E820" s="220" t="s">
        <v>21</v>
      </c>
      <c r="F820" s="220" t="s">
        <v>3496</v>
      </c>
      <c r="G820" s="220" t="s">
        <v>3497</v>
      </c>
    </row>
    <row r="821" spans="2:7" ht="30" customHeight="1" thickBot="1" x14ac:dyDescent="0.3">
      <c r="B821" s="220">
        <v>1152</v>
      </c>
      <c r="C821" s="220" t="s">
        <v>3492</v>
      </c>
      <c r="D821" s="220" t="s">
        <v>3498</v>
      </c>
      <c r="E821" s="220" t="s">
        <v>8702</v>
      </c>
      <c r="F821" s="220" t="s">
        <v>3499</v>
      </c>
      <c r="G821" s="220" t="s">
        <v>52</v>
      </c>
    </row>
    <row r="822" spans="2:7" ht="30" customHeight="1" thickBot="1" x14ac:dyDescent="0.3">
      <c r="B822" s="220">
        <v>1153</v>
      </c>
      <c r="C822" s="220" t="s">
        <v>3492</v>
      </c>
      <c r="D822" s="220" t="s">
        <v>3500</v>
      </c>
      <c r="E822" s="220" t="s">
        <v>3501</v>
      </c>
      <c r="F822" s="220" t="s">
        <v>3502</v>
      </c>
      <c r="G822" s="220" t="s">
        <v>52</v>
      </c>
    </row>
    <row r="823" spans="2:7" ht="30" customHeight="1" thickBot="1" x14ac:dyDescent="0.3">
      <c r="B823" s="220">
        <v>1154</v>
      </c>
      <c r="C823" s="220" t="s">
        <v>3492</v>
      </c>
      <c r="D823" s="220" t="s">
        <v>3503</v>
      </c>
      <c r="E823" s="220" t="s">
        <v>3158</v>
      </c>
      <c r="F823" s="220" t="s">
        <v>3504</v>
      </c>
      <c r="G823" s="220" t="s">
        <v>52</v>
      </c>
    </row>
    <row r="824" spans="2:7" ht="30" customHeight="1" thickBot="1" x14ac:dyDescent="0.3">
      <c r="B824" s="220">
        <v>1155</v>
      </c>
      <c r="C824" s="220" t="s">
        <v>3492</v>
      </c>
      <c r="D824" s="220" t="s">
        <v>3505</v>
      </c>
      <c r="E824" s="220" t="s">
        <v>7014</v>
      </c>
      <c r="F824" s="220" t="s">
        <v>3506</v>
      </c>
      <c r="G824" s="220" t="s">
        <v>52</v>
      </c>
    </row>
    <row r="825" spans="2:7" ht="30" customHeight="1" thickBot="1" x14ac:dyDescent="0.3">
      <c r="B825" s="220">
        <v>1156</v>
      </c>
      <c r="C825" s="220" t="s">
        <v>3492</v>
      </c>
      <c r="D825" s="220" t="s">
        <v>3507</v>
      </c>
      <c r="E825" s="220" t="s">
        <v>9036</v>
      </c>
      <c r="F825" s="220" t="s">
        <v>3506</v>
      </c>
      <c r="G825" s="220" t="s">
        <v>52</v>
      </c>
    </row>
    <row r="826" spans="2:7" ht="30" customHeight="1" thickBot="1" x14ac:dyDescent="0.3">
      <c r="B826" s="220">
        <v>1157</v>
      </c>
      <c r="C826" s="220" t="s">
        <v>3492</v>
      </c>
      <c r="D826" s="220" t="s">
        <v>3508</v>
      </c>
      <c r="E826" s="262" t="s">
        <v>9098</v>
      </c>
      <c r="F826" s="220" t="s">
        <v>3509</v>
      </c>
      <c r="G826" s="220" t="s">
        <v>52</v>
      </c>
    </row>
    <row r="827" spans="2:7" ht="141.75" customHeight="1" thickBot="1" x14ac:dyDescent="0.3">
      <c r="B827" s="220">
        <v>1158</v>
      </c>
      <c r="C827" s="220" t="s">
        <v>3492</v>
      </c>
      <c r="D827" s="220" t="s">
        <v>3510</v>
      </c>
      <c r="E827" s="262" t="s">
        <v>9170</v>
      </c>
      <c r="F827" s="220" t="s">
        <v>3511</v>
      </c>
      <c r="G827" s="220" t="s">
        <v>52</v>
      </c>
    </row>
    <row r="828" spans="2:7" ht="30" customHeight="1" thickBot="1" x14ac:dyDescent="0.3">
      <c r="B828" s="220">
        <v>1159</v>
      </c>
      <c r="C828" s="220" t="s">
        <v>3492</v>
      </c>
      <c r="D828" s="220" t="s">
        <v>3512</v>
      </c>
      <c r="E828" s="220" t="s">
        <v>9169</v>
      </c>
      <c r="F828" s="220" t="s">
        <v>3513</v>
      </c>
      <c r="G828" s="220" t="s">
        <v>52</v>
      </c>
    </row>
    <row r="829" spans="2:7" ht="30" customHeight="1" thickBot="1" x14ac:dyDescent="0.3">
      <c r="B829" s="220">
        <v>1160</v>
      </c>
      <c r="C829" s="220" t="s">
        <v>3492</v>
      </c>
      <c r="D829" s="220" t="s">
        <v>3514</v>
      </c>
      <c r="E829" s="220" t="s">
        <v>7015</v>
      </c>
      <c r="F829" s="220" t="s">
        <v>3515</v>
      </c>
      <c r="G829" s="220" t="s">
        <v>52</v>
      </c>
    </row>
    <row r="830" spans="2:7" ht="30" customHeight="1" thickBot="1" x14ac:dyDescent="0.3">
      <c r="B830" s="220">
        <v>1161</v>
      </c>
      <c r="C830" s="220" t="s">
        <v>3492</v>
      </c>
      <c r="D830" s="220" t="s">
        <v>3516</v>
      </c>
      <c r="E830" s="220" t="s">
        <v>7016</v>
      </c>
      <c r="F830" s="220" t="s">
        <v>3515</v>
      </c>
      <c r="G830" s="220" t="s">
        <v>52</v>
      </c>
    </row>
    <row r="831" spans="2:7" ht="30" customHeight="1" thickBot="1" x14ac:dyDescent="0.3">
      <c r="B831" s="220">
        <v>1162</v>
      </c>
      <c r="C831" s="220" t="s">
        <v>3492</v>
      </c>
      <c r="D831" s="220" t="s">
        <v>3517</v>
      </c>
      <c r="E831" s="220" t="s">
        <v>7017</v>
      </c>
      <c r="F831" s="220" t="s">
        <v>3518</v>
      </c>
      <c r="G831" s="220" t="s">
        <v>52</v>
      </c>
    </row>
    <row r="832" spans="2:7" ht="30" customHeight="1" thickBot="1" x14ac:dyDescent="0.3">
      <c r="B832" s="220">
        <v>1163</v>
      </c>
      <c r="C832" s="220" t="s">
        <v>3492</v>
      </c>
      <c r="D832" s="220" t="s">
        <v>3519</v>
      </c>
      <c r="E832" s="220" t="s">
        <v>7018</v>
      </c>
      <c r="F832" s="220" t="s">
        <v>3518</v>
      </c>
      <c r="G832" s="220" t="s">
        <v>52</v>
      </c>
    </row>
    <row r="833" spans="2:7" ht="30" customHeight="1" thickBot="1" x14ac:dyDescent="0.3">
      <c r="B833" s="220">
        <v>1164</v>
      </c>
      <c r="C833" s="220" t="s">
        <v>3492</v>
      </c>
      <c r="D833" s="220" t="s">
        <v>3520</v>
      </c>
      <c r="E833" s="220" t="s">
        <v>7019</v>
      </c>
      <c r="F833" s="220" t="s">
        <v>3521</v>
      </c>
      <c r="G833" s="220" t="s">
        <v>52</v>
      </c>
    </row>
    <row r="834" spans="2:7" ht="30" customHeight="1" thickBot="1" x14ac:dyDescent="0.3">
      <c r="B834" s="220">
        <v>1165</v>
      </c>
      <c r="C834" s="220" t="s">
        <v>3492</v>
      </c>
      <c r="D834" s="220" t="s">
        <v>3522</v>
      </c>
      <c r="E834" s="220" t="s">
        <v>7020</v>
      </c>
      <c r="F834" s="220" t="s">
        <v>3523</v>
      </c>
      <c r="G834" s="220" t="s">
        <v>52</v>
      </c>
    </row>
    <row r="835" spans="2:7" ht="30" customHeight="1" thickBot="1" x14ac:dyDescent="0.3">
      <c r="B835" s="220">
        <v>1166</v>
      </c>
      <c r="C835" s="220" t="s">
        <v>3492</v>
      </c>
      <c r="D835" s="220" t="s">
        <v>3524</v>
      </c>
      <c r="E835" s="220" t="s">
        <v>7021</v>
      </c>
      <c r="F835" s="220" t="s">
        <v>3525</v>
      </c>
      <c r="G835" s="220" t="s">
        <v>52</v>
      </c>
    </row>
    <row r="836" spans="2:7" ht="30" customHeight="1" thickBot="1" x14ac:dyDescent="0.3">
      <c r="B836" s="220">
        <v>1167</v>
      </c>
      <c r="C836" s="220" t="s">
        <v>3492</v>
      </c>
      <c r="D836" s="220" t="s">
        <v>3526</v>
      </c>
      <c r="E836" s="220" t="s">
        <v>3527</v>
      </c>
      <c r="F836" s="220" t="s">
        <v>3528</v>
      </c>
      <c r="G836" s="220" t="s">
        <v>52</v>
      </c>
    </row>
    <row r="837" spans="2:7" ht="30" customHeight="1" thickBot="1" x14ac:dyDescent="0.3">
      <c r="B837" s="220">
        <v>1168</v>
      </c>
      <c r="C837" s="220" t="s">
        <v>3492</v>
      </c>
      <c r="D837" s="220" t="s">
        <v>3529</v>
      </c>
      <c r="E837" s="220" t="s">
        <v>7022</v>
      </c>
      <c r="F837" s="220" t="s">
        <v>3530</v>
      </c>
      <c r="G837" s="220" t="s">
        <v>52</v>
      </c>
    </row>
    <row r="838" spans="2:7" ht="30" customHeight="1" thickBot="1" x14ac:dyDescent="0.3">
      <c r="B838" s="220">
        <v>1169</v>
      </c>
      <c r="C838" s="220" t="s">
        <v>3492</v>
      </c>
      <c r="D838" s="220" t="s">
        <v>3531</v>
      </c>
      <c r="E838" s="220" t="s">
        <v>3532</v>
      </c>
      <c r="F838" s="220" t="s">
        <v>3533</v>
      </c>
      <c r="G838" s="220" t="s">
        <v>52</v>
      </c>
    </row>
    <row r="839" spans="2:7" ht="30" customHeight="1" thickBot="1" x14ac:dyDescent="0.3">
      <c r="B839" s="220">
        <v>1170</v>
      </c>
      <c r="C839" s="220" t="s">
        <v>3492</v>
      </c>
      <c r="D839" s="220" t="s">
        <v>3534</v>
      </c>
      <c r="E839" s="220" t="s">
        <v>3158</v>
      </c>
      <c r="F839" s="220" t="s">
        <v>3535</v>
      </c>
      <c r="G839" s="220" t="s">
        <v>52</v>
      </c>
    </row>
    <row r="840" spans="2:7" ht="30" customHeight="1" thickBot="1" x14ac:dyDescent="0.3">
      <c r="B840" s="220">
        <v>1171</v>
      </c>
      <c r="C840" s="220" t="s">
        <v>3492</v>
      </c>
      <c r="D840" s="220" t="s">
        <v>3536</v>
      </c>
      <c r="E840" s="220" t="s">
        <v>7536</v>
      </c>
      <c r="F840" s="220" t="s">
        <v>3537</v>
      </c>
      <c r="G840" s="220" t="s">
        <v>52</v>
      </c>
    </row>
    <row r="841" spans="2:7" ht="30" customHeight="1" thickBot="1" x14ac:dyDescent="0.3">
      <c r="B841" s="220">
        <v>1172</v>
      </c>
      <c r="C841" s="220" t="s">
        <v>3492</v>
      </c>
      <c r="D841" s="220" t="s">
        <v>3538</v>
      </c>
      <c r="E841" s="220" t="s">
        <v>7279</v>
      </c>
      <c r="F841" s="220" t="s">
        <v>3539</v>
      </c>
      <c r="G841" s="220" t="s">
        <v>52</v>
      </c>
    </row>
    <row r="842" spans="2:7" ht="30" customHeight="1" thickBot="1" x14ac:dyDescent="0.3">
      <c r="B842" s="220">
        <v>1173</v>
      </c>
      <c r="C842" s="220" t="s">
        <v>3492</v>
      </c>
      <c r="D842" s="220" t="s">
        <v>3540</v>
      </c>
      <c r="E842" s="220" t="s">
        <v>3541</v>
      </c>
      <c r="F842" s="220" t="s">
        <v>3542</v>
      </c>
      <c r="G842" s="220" t="s">
        <v>52</v>
      </c>
    </row>
    <row r="843" spans="2:7" ht="30" customHeight="1" thickBot="1" x14ac:dyDescent="0.3">
      <c r="B843" s="220">
        <v>1174</v>
      </c>
      <c r="C843" s="220" t="s">
        <v>3492</v>
      </c>
      <c r="D843" s="220" t="s">
        <v>3543</v>
      </c>
      <c r="E843" s="220" t="s">
        <v>7023</v>
      </c>
      <c r="F843" s="220" t="s">
        <v>3542</v>
      </c>
      <c r="G843" s="220" t="s">
        <v>52</v>
      </c>
    </row>
    <row r="844" spans="2:7" ht="30" customHeight="1" thickBot="1" x14ac:dyDescent="0.3">
      <c r="B844" s="220">
        <v>1175</v>
      </c>
      <c r="C844" s="220" t="s">
        <v>3492</v>
      </c>
      <c r="D844" s="220" t="s">
        <v>3544</v>
      </c>
      <c r="E844" s="220" t="s">
        <v>7184</v>
      </c>
      <c r="F844" s="220" t="s">
        <v>3545</v>
      </c>
      <c r="G844" s="220" t="s">
        <v>52</v>
      </c>
    </row>
    <row r="845" spans="2:7" ht="30" customHeight="1" thickBot="1" x14ac:dyDescent="0.3">
      <c r="B845" s="220">
        <v>1176</v>
      </c>
      <c r="C845" s="220" t="s">
        <v>3492</v>
      </c>
      <c r="D845" s="220" t="s">
        <v>3546</v>
      </c>
      <c r="E845" s="220" t="s">
        <v>7024</v>
      </c>
      <c r="F845" s="220" t="s">
        <v>3518</v>
      </c>
      <c r="G845" s="220" t="s">
        <v>52</v>
      </c>
    </row>
    <row r="846" spans="2:7" ht="30" customHeight="1" thickBot="1" x14ac:dyDescent="0.3">
      <c r="B846" s="220">
        <v>1177</v>
      </c>
      <c r="C846" s="220" t="s">
        <v>3492</v>
      </c>
      <c r="D846" s="220" t="s">
        <v>3547</v>
      </c>
      <c r="E846" s="220" t="s">
        <v>7229</v>
      </c>
      <c r="F846" s="220" t="s">
        <v>3548</v>
      </c>
      <c r="G846" s="220" t="s">
        <v>322</v>
      </c>
    </row>
    <row r="847" spans="2:7" ht="30" customHeight="1" thickBot="1" x14ac:dyDescent="0.3">
      <c r="B847" s="220">
        <v>1178</v>
      </c>
      <c r="C847" s="220" t="s">
        <v>3492</v>
      </c>
      <c r="D847" s="220" t="s">
        <v>3549</v>
      </c>
      <c r="E847" s="220" t="s">
        <v>3550</v>
      </c>
      <c r="F847" s="220" t="s">
        <v>3551</v>
      </c>
      <c r="G847" s="220" t="s">
        <v>322</v>
      </c>
    </row>
    <row r="848" spans="2:7" ht="30" customHeight="1" thickBot="1" x14ac:dyDescent="0.3">
      <c r="B848" s="220">
        <v>1179</v>
      </c>
      <c r="C848" s="220" t="s">
        <v>3492</v>
      </c>
      <c r="D848" s="220" t="s">
        <v>3552</v>
      </c>
      <c r="E848" s="220" t="s">
        <v>3553</v>
      </c>
      <c r="F848" s="220" t="s">
        <v>3554</v>
      </c>
      <c r="G848" s="220" t="s">
        <v>322</v>
      </c>
    </row>
    <row r="849" spans="2:7" ht="30" customHeight="1" thickBot="1" x14ac:dyDescent="0.3">
      <c r="B849" s="220">
        <v>1180</v>
      </c>
      <c r="C849" s="220" t="s">
        <v>3492</v>
      </c>
      <c r="D849" s="220" t="s">
        <v>3555</v>
      </c>
      <c r="E849" s="220" t="s">
        <v>3556</v>
      </c>
      <c r="F849" s="220" t="s">
        <v>3557</v>
      </c>
      <c r="G849" s="220" t="s">
        <v>322</v>
      </c>
    </row>
    <row r="850" spans="2:7" ht="30" customHeight="1" thickBot="1" x14ac:dyDescent="0.3">
      <c r="B850" s="220">
        <v>1181</v>
      </c>
      <c r="C850" s="220" t="s">
        <v>3492</v>
      </c>
      <c r="D850" s="220" t="s">
        <v>3558</v>
      </c>
      <c r="E850" s="220" t="s">
        <v>7244</v>
      </c>
      <c r="F850" s="220" t="s">
        <v>3559</v>
      </c>
      <c r="G850" s="220" t="s">
        <v>565</v>
      </c>
    </row>
    <row r="851" spans="2:7" ht="30" customHeight="1" thickBot="1" x14ac:dyDescent="0.3">
      <c r="B851" s="220">
        <v>1182</v>
      </c>
      <c r="C851" s="220" t="s">
        <v>3492</v>
      </c>
      <c r="D851" s="220" t="s">
        <v>3560</v>
      </c>
      <c r="E851" s="220" t="s">
        <v>7245</v>
      </c>
      <c r="F851" s="220" t="s">
        <v>3561</v>
      </c>
      <c r="G851" s="220" t="s">
        <v>565</v>
      </c>
    </row>
    <row r="852" spans="2:7" ht="30" customHeight="1" thickBot="1" x14ac:dyDescent="0.3">
      <c r="B852" s="220">
        <v>1183</v>
      </c>
      <c r="C852" s="220" t="s">
        <v>3492</v>
      </c>
      <c r="D852" s="220" t="s">
        <v>3562</v>
      </c>
      <c r="E852" s="220" t="s">
        <v>9282</v>
      </c>
      <c r="F852" s="220" t="s">
        <v>3563</v>
      </c>
      <c r="G852" s="220" t="s">
        <v>1608</v>
      </c>
    </row>
    <row r="853" spans="2:7" ht="30" customHeight="1" thickBot="1" x14ac:dyDescent="0.3">
      <c r="B853" s="220">
        <v>1184</v>
      </c>
      <c r="C853" s="220" t="s">
        <v>3492</v>
      </c>
      <c r="D853" s="220" t="s">
        <v>3564</v>
      </c>
      <c r="E853" s="220" t="s">
        <v>8074</v>
      </c>
      <c r="F853" s="220" t="s">
        <v>3565</v>
      </c>
      <c r="G853" s="220" t="s">
        <v>1608</v>
      </c>
    </row>
    <row r="854" spans="2:7" ht="30" customHeight="1" thickBot="1" x14ac:dyDescent="0.3">
      <c r="B854" s="220">
        <v>1185</v>
      </c>
      <c r="C854" s="220" t="s">
        <v>3492</v>
      </c>
      <c r="D854" s="220" t="s">
        <v>3566</v>
      </c>
      <c r="E854" s="220" t="s">
        <v>9283</v>
      </c>
      <c r="F854" s="220" t="s">
        <v>3567</v>
      </c>
      <c r="G854" s="220" t="s">
        <v>1608</v>
      </c>
    </row>
    <row r="855" spans="2:7" ht="30" customHeight="1" thickBot="1" x14ac:dyDescent="0.3">
      <c r="B855" s="220">
        <v>1186</v>
      </c>
      <c r="C855" s="220" t="s">
        <v>3492</v>
      </c>
      <c r="D855" s="220" t="s">
        <v>3568</v>
      </c>
      <c r="E855" s="220" t="s">
        <v>7517</v>
      </c>
      <c r="F855" s="220" t="s">
        <v>3569</v>
      </c>
      <c r="G855" s="220" t="s">
        <v>253</v>
      </c>
    </row>
    <row r="856" spans="2:7" ht="30" customHeight="1" thickBot="1" x14ac:dyDescent="0.3">
      <c r="B856" s="220">
        <v>1187</v>
      </c>
      <c r="C856" s="220" t="s">
        <v>3492</v>
      </c>
      <c r="D856" s="220" t="s">
        <v>3570</v>
      </c>
      <c r="E856" s="220" t="s">
        <v>9284</v>
      </c>
      <c r="F856" s="220" t="s">
        <v>3571</v>
      </c>
      <c r="G856" s="220" t="s">
        <v>253</v>
      </c>
    </row>
    <row r="857" spans="2:7" ht="30" customHeight="1" thickBot="1" x14ac:dyDescent="0.3">
      <c r="B857" s="220">
        <v>1188</v>
      </c>
      <c r="C857" s="220" t="s">
        <v>3492</v>
      </c>
      <c r="D857" s="220" t="s">
        <v>3572</v>
      </c>
      <c r="E857" s="220" t="s">
        <v>7246</v>
      </c>
      <c r="F857" s="220" t="s">
        <v>3573</v>
      </c>
      <c r="G857" s="220" t="s">
        <v>565</v>
      </c>
    </row>
    <row r="858" spans="2:7" ht="30" customHeight="1" thickBot="1" x14ac:dyDescent="0.3">
      <c r="B858" s="220">
        <v>1189</v>
      </c>
      <c r="C858" s="220" t="s">
        <v>3492</v>
      </c>
      <c r="D858" s="220" t="s">
        <v>3574</v>
      </c>
      <c r="E858" s="220" t="s">
        <v>7247</v>
      </c>
      <c r="F858" s="220" t="s">
        <v>3575</v>
      </c>
      <c r="G858" s="220" t="s">
        <v>565</v>
      </c>
    </row>
    <row r="859" spans="2:7" ht="30" customHeight="1" thickBot="1" x14ac:dyDescent="0.3">
      <c r="B859" s="220">
        <v>1190</v>
      </c>
      <c r="C859" s="220" t="s">
        <v>3492</v>
      </c>
      <c r="D859" s="220" t="s">
        <v>3576</v>
      </c>
      <c r="E859" s="220" t="s">
        <v>7248</v>
      </c>
      <c r="F859" s="220" t="s">
        <v>3577</v>
      </c>
      <c r="G859" s="220" t="s">
        <v>565</v>
      </c>
    </row>
    <row r="860" spans="2:7" ht="30" customHeight="1" thickBot="1" x14ac:dyDescent="0.3">
      <c r="B860" s="220">
        <v>1191</v>
      </c>
      <c r="C860" s="220" t="s">
        <v>3492</v>
      </c>
      <c r="D860" s="220" t="s">
        <v>3578</v>
      </c>
      <c r="E860" s="220" t="s">
        <v>7701</v>
      </c>
      <c r="F860" s="220" t="s">
        <v>3579</v>
      </c>
      <c r="G860" s="220" t="s">
        <v>565</v>
      </c>
    </row>
    <row r="861" spans="2:7" ht="30" customHeight="1" thickBot="1" x14ac:dyDescent="0.3">
      <c r="B861" s="220">
        <v>1192</v>
      </c>
      <c r="C861" s="220" t="s">
        <v>3580</v>
      </c>
      <c r="D861" s="220" t="s">
        <v>3581</v>
      </c>
      <c r="E861" s="220" t="s">
        <v>7295</v>
      </c>
      <c r="F861" s="220" t="s">
        <v>3582</v>
      </c>
      <c r="G861" s="220" t="s">
        <v>987</v>
      </c>
    </row>
    <row r="862" spans="2:7" ht="30" customHeight="1" thickBot="1" x14ac:dyDescent="0.3">
      <c r="B862" s="220">
        <v>1193</v>
      </c>
      <c r="C862" s="220" t="s">
        <v>3580</v>
      </c>
      <c r="D862" s="220" t="s">
        <v>3583</v>
      </c>
      <c r="E862" s="220" t="s">
        <v>3584</v>
      </c>
      <c r="F862" s="220" t="s">
        <v>3585</v>
      </c>
      <c r="G862" s="220" t="s">
        <v>3379</v>
      </c>
    </row>
    <row r="863" spans="2:7" ht="30" customHeight="1" thickBot="1" x14ac:dyDescent="0.3">
      <c r="B863" s="220">
        <v>1194</v>
      </c>
      <c r="C863" s="220" t="s">
        <v>3580</v>
      </c>
      <c r="D863" s="220" t="s">
        <v>3586</v>
      </c>
      <c r="E863" s="220" t="s">
        <v>9099</v>
      </c>
      <c r="F863" s="220" t="s">
        <v>3587</v>
      </c>
      <c r="G863" s="220" t="s">
        <v>52</v>
      </c>
    </row>
    <row r="864" spans="2:7" ht="30" customHeight="1" thickBot="1" x14ac:dyDescent="0.3">
      <c r="B864" s="220">
        <v>1195</v>
      </c>
      <c r="C864" s="220" t="s">
        <v>3580</v>
      </c>
      <c r="D864" s="220" t="s">
        <v>3588</v>
      </c>
      <c r="E864" s="220" t="s">
        <v>7280</v>
      </c>
      <c r="F864" s="220" t="s">
        <v>3589</v>
      </c>
      <c r="G864" s="220" t="s">
        <v>3379</v>
      </c>
    </row>
    <row r="865" spans="2:7" ht="30" customHeight="1" thickBot="1" x14ac:dyDescent="0.3">
      <c r="B865" s="220">
        <v>1196</v>
      </c>
      <c r="C865" s="220" t="s">
        <v>3580</v>
      </c>
      <c r="D865" s="220" t="s">
        <v>3590</v>
      </c>
      <c r="E865" s="220" t="s">
        <v>8703</v>
      </c>
      <c r="F865" s="220" t="s">
        <v>3591</v>
      </c>
      <c r="G865" s="220" t="s">
        <v>987</v>
      </c>
    </row>
    <row r="866" spans="2:7" ht="30" customHeight="1" thickBot="1" x14ac:dyDescent="0.3">
      <c r="B866" s="220">
        <v>1197</v>
      </c>
      <c r="C866" s="220" t="s">
        <v>3580</v>
      </c>
      <c r="D866" s="220" t="s">
        <v>3592</v>
      </c>
      <c r="E866" s="220" t="s">
        <v>8704</v>
      </c>
      <c r="F866" s="220" t="s">
        <v>3593</v>
      </c>
      <c r="G866" s="220" t="s">
        <v>987</v>
      </c>
    </row>
    <row r="867" spans="2:7" ht="30" customHeight="1" thickBot="1" x14ac:dyDescent="0.3">
      <c r="B867" s="220">
        <v>1198</v>
      </c>
      <c r="C867" s="220" t="s">
        <v>3580</v>
      </c>
      <c r="D867" s="220" t="s">
        <v>3594</v>
      </c>
      <c r="E867" s="220" t="s">
        <v>8704</v>
      </c>
      <c r="F867" s="220" t="s">
        <v>3595</v>
      </c>
      <c r="G867" s="220" t="s">
        <v>987</v>
      </c>
    </row>
    <row r="868" spans="2:7" ht="30" customHeight="1" thickBot="1" x14ac:dyDescent="0.3">
      <c r="B868" s="220">
        <v>1199</v>
      </c>
      <c r="C868" s="220" t="s">
        <v>3596</v>
      </c>
      <c r="D868" s="220" t="s">
        <v>3597</v>
      </c>
      <c r="E868" s="220" t="s">
        <v>8242</v>
      </c>
      <c r="F868" s="220" t="s">
        <v>1173</v>
      </c>
      <c r="G868" s="220" t="s">
        <v>565</v>
      </c>
    </row>
    <row r="869" spans="2:7" ht="30" customHeight="1" thickBot="1" x14ac:dyDescent="0.3">
      <c r="B869" s="220">
        <v>1200</v>
      </c>
      <c r="C869" s="220" t="s">
        <v>3596</v>
      </c>
      <c r="D869" s="220" t="s">
        <v>3598</v>
      </c>
      <c r="E869" s="220" t="s">
        <v>7182</v>
      </c>
      <c r="F869" s="220" t="s">
        <v>1173</v>
      </c>
      <c r="G869" s="220" t="s">
        <v>565</v>
      </c>
    </row>
    <row r="870" spans="2:7" ht="30" customHeight="1" thickBot="1" x14ac:dyDescent="0.3">
      <c r="B870" s="220">
        <v>1201</v>
      </c>
      <c r="C870" s="220" t="s">
        <v>3599</v>
      </c>
      <c r="D870" s="220" t="s">
        <v>3106</v>
      </c>
      <c r="E870" s="220" t="s">
        <v>9927</v>
      </c>
      <c r="F870" s="220" t="s">
        <v>3108</v>
      </c>
      <c r="G870" s="220" t="s">
        <v>2065</v>
      </c>
    </row>
    <row r="871" spans="2:7" ht="116.25" customHeight="1" thickBot="1" x14ac:dyDescent="0.3">
      <c r="B871" s="220">
        <v>1202</v>
      </c>
      <c r="C871" s="220" t="s">
        <v>3600</v>
      </c>
      <c r="D871" s="220" t="s">
        <v>3109</v>
      </c>
      <c r="E871" s="220" t="s">
        <v>3601</v>
      </c>
      <c r="F871" s="220" t="s">
        <v>3110</v>
      </c>
      <c r="G871" s="220" t="s">
        <v>2065</v>
      </c>
    </row>
    <row r="872" spans="2:7" ht="30" customHeight="1" thickBot="1" x14ac:dyDescent="0.3">
      <c r="B872" s="220">
        <v>1203</v>
      </c>
      <c r="C872" s="220" t="s">
        <v>3599</v>
      </c>
      <c r="D872" s="220" t="s">
        <v>9898</v>
      </c>
      <c r="E872" s="220" t="s">
        <v>3111</v>
      </c>
      <c r="F872" s="220" t="s">
        <v>3112</v>
      </c>
      <c r="G872" s="220" t="s">
        <v>987</v>
      </c>
    </row>
    <row r="873" spans="2:7" ht="30" customHeight="1" thickBot="1" x14ac:dyDescent="0.3">
      <c r="B873" s="220">
        <v>1204</v>
      </c>
      <c r="C873" s="220" t="s">
        <v>3599</v>
      </c>
      <c r="D873" s="220" t="s">
        <v>3113</v>
      </c>
      <c r="E873" s="220" t="s">
        <v>3114</v>
      </c>
      <c r="F873" s="220" t="s">
        <v>3115</v>
      </c>
      <c r="G873" s="220" t="s">
        <v>2065</v>
      </c>
    </row>
    <row r="874" spans="2:7" ht="30" customHeight="1" thickBot="1" x14ac:dyDescent="0.3">
      <c r="B874" s="220">
        <v>1205</v>
      </c>
      <c r="C874" s="220" t="s">
        <v>3599</v>
      </c>
      <c r="D874" s="220" t="s">
        <v>9899</v>
      </c>
      <c r="E874" s="220" t="s">
        <v>3116</v>
      </c>
      <c r="F874" s="220" t="s">
        <v>3117</v>
      </c>
      <c r="G874" s="220" t="s">
        <v>2065</v>
      </c>
    </row>
    <row r="875" spans="2:7" ht="130.5" customHeight="1" thickBot="1" x14ac:dyDescent="0.3">
      <c r="B875" s="220">
        <v>1206</v>
      </c>
      <c r="C875" s="220" t="s">
        <v>3599</v>
      </c>
      <c r="D875" s="220" t="s">
        <v>3118</v>
      </c>
      <c r="E875" s="220" t="s">
        <v>9554</v>
      </c>
      <c r="F875" s="220" t="s">
        <v>3119</v>
      </c>
      <c r="G875" s="220" t="s">
        <v>2065</v>
      </c>
    </row>
    <row r="876" spans="2:7" ht="30" customHeight="1" thickBot="1" x14ac:dyDescent="0.3">
      <c r="B876" s="220">
        <v>1207</v>
      </c>
      <c r="C876" s="220" t="s">
        <v>3599</v>
      </c>
      <c r="D876" s="220" t="s">
        <v>3120</v>
      </c>
      <c r="E876" s="220" t="s">
        <v>3602</v>
      </c>
      <c r="F876" s="220" t="s">
        <v>3122</v>
      </c>
      <c r="G876" s="220" t="s">
        <v>2065</v>
      </c>
    </row>
    <row r="877" spans="2:7" ht="143.25" customHeight="1" thickBot="1" x14ac:dyDescent="0.3">
      <c r="B877" s="220">
        <v>1208</v>
      </c>
      <c r="C877" s="220" t="s">
        <v>3599</v>
      </c>
      <c r="D877" s="220" t="s">
        <v>9558</v>
      </c>
      <c r="E877" s="220" t="s">
        <v>9557</v>
      </c>
      <c r="F877" s="220" t="s">
        <v>3124</v>
      </c>
      <c r="G877" s="220" t="s">
        <v>2065</v>
      </c>
    </row>
    <row r="878" spans="2:7" ht="144.75" customHeight="1" thickBot="1" x14ac:dyDescent="0.3">
      <c r="B878" s="220">
        <v>1209</v>
      </c>
      <c r="C878" s="220" t="s">
        <v>3599</v>
      </c>
      <c r="D878" s="220" t="s">
        <v>3127</v>
      </c>
      <c r="E878" s="220" t="s">
        <v>9215</v>
      </c>
      <c r="F878" s="220" t="s">
        <v>3128</v>
      </c>
      <c r="G878" s="220" t="s">
        <v>2065</v>
      </c>
    </row>
    <row r="879" spans="2:7" ht="30" customHeight="1" thickBot="1" x14ac:dyDescent="0.3">
      <c r="B879" s="220">
        <v>1210</v>
      </c>
      <c r="C879" s="220" t="s">
        <v>3603</v>
      </c>
      <c r="D879" s="220" t="s">
        <v>3604</v>
      </c>
      <c r="E879" s="220" t="s">
        <v>21</v>
      </c>
      <c r="F879" s="220" t="s">
        <v>3605</v>
      </c>
      <c r="G879" s="220" t="s">
        <v>74</v>
      </c>
    </row>
    <row r="880" spans="2:7" ht="30" customHeight="1" thickBot="1" x14ac:dyDescent="0.3">
      <c r="B880" s="220">
        <v>1211</v>
      </c>
      <c r="C880" s="220" t="s">
        <v>3603</v>
      </c>
      <c r="D880" s="220" t="s">
        <v>3606</v>
      </c>
      <c r="E880" s="220" t="s">
        <v>7249</v>
      </c>
      <c r="F880" s="220" t="s">
        <v>3607</v>
      </c>
      <c r="G880" s="220" t="s">
        <v>565</v>
      </c>
    </row>
    <row r="881" spans="2:7" ht="30" customHeight="1" thickBot="1" x14ac:dyDescent="0.3">
      <c r="B881" s="220">
        <v>1212</v>
      </c>
      <c r="C881" s="220" t="s">
        <v>3603</v>
      </c>
      <c r="D881" s="220" t="s">
        <v>3608</v>
      </c>
      <c r="E881" s="220" t="s">
        <v>7250</v>
      </c>
      <c r="F881" s="220" t="s">
        <v>3607</v>
      </c>
      <c r="G881" s="220" t="s">
        <v>565</v>
      </c>
    </row>
    <row r="882" spans="2:7" ht="30" customHeight="1" thickBot="1" x14ac:dyDescent="0.3">
      <c r="B882" s="220">
        <v>1213</v>
      </c>
      <c r="C882" s="220" t="s">
        <v>3603</v>
      </c>
      <c r="D882" s="220" t="s">
        <v>3609</v>
      </c>
      <c r="E882" s="220" t="s">
        <v>7251</v>
      </c>
      <c r="F882" s="220" t="s">
        <v>3607</v>
      </c>
      <c r="G882" s="220" t="s">
        <v>565</v>
      </c>
    </row>
    <row r="883" spans="2:7" ht="30" customHeight="1" thickBot="1" x14ac:dyDescent="0.3">
      <c r="B883" s="220">
        <v>1214</v>
      </c>
      <c r="C883" s="220" t="s">
        <v>3603</v>
      </c>
      <c r="D883" s="220" t="s">
        <v>3610</v>
      </c>
      <c r="E883" s="220" t="s">
        <v>7702</v>
      </c>
      <c r="F883" s="220" t="s">
        <v>3607</v>
      </c>
      <c r="G883" s="220" t="s">
        <v>565</v>
      </c>
    </row>
    <row r="884" spans="2:7" ht="30" customHeight="1" thickBot="1" x14ac:dyDescent="0.3">
      <c r="B884" s="220">
        <v>1215</v>
      </c>
      <c r="C884" s="220" t="s">
        <v>3603</v>
      </c>
      <c r="D884" s="220" t="s">
        <v>3611</v>
      </c>
      <c r="E884" s="220" t="s">
        <v>7252</v>
      </c>
      <c r="F884" s="220" t="s">
        <v>3607</v>
      </c>
      <c r="G884" s="220" t="s">
        <v>565</v>
      </c>
    </row>
    <row r="885" spans="2:7" ht="30" customHeight="1" thickBot="1" x14ac:dyDescent="0.3">
      <c r="B885" s="220">
        <v>1216</v>
      </c>
      <c r="C885" s="220" t="s">
        <v>3603</v>
      </c>
      <c r="D885" s="220" t="s">
        <v>3612</v>
      </c>
      <c r="E885" s="220" t="s">
        <v>3613</v>
      </c>
      <c r="F885" s="220" t="s">
        <v>1462</v>
      </c>
      <c r="G885" s="220" t="s">
        <v>84</v>
      </c>
    </row>
    <row r="886" spans="2:7" ht="30" customHeight="1" thickBot="1" x14ac:dyDescent="0.3">
      <c r="B886" s="220">
        <v>1217</v>
      </c>
      <c r="C886" s="220" t="s">
        <v>3603</v>
      </c>
      <c r="D886" s="220" t="s">
        <v>3614</v>
      </c>
      <c r="E886" s="220" t="s">
        <v>3615</v>
      </c>
      <c r="F886" s="220" t="s">
        <v>79</v>
      </c>
      <c r="G886" s="223" t="s">
        <v>322</v>
      </c>
    </row>
    <row r="887" spans="2:7" ht="30" customHeight="1" thickBot="1" x14ac:dyDescent="0.3">
      <c r="B887" s="220">
        <v>1218</v>
      </c>
      <c r="C887" s="220" t="s">
        <v>3603</v>
      </c>
      <c r="D887" s="220" t="s">
        <v>3616</v>
      </c>
      <c r="E887" s="220" t="s">
        <v>7947</v>
      </c>
      <c r="F887" s="220" t="s">
        <v>79</v>
      </c>
      <c r="G887" s="220" t="s">
        <v>565</v>
      </c>
    </row>
    <row r="888" spans="2:7" ht="30" customHeight="1" thickBot="1" x14ac:dyDescent="0.3">
      <c r="B888" s="220">
        <v>1219</v>
      </c>
      <c r="C888" s="220" t="s">
        <v>3603</v>
      </c>
      <c r="D888" s="220" t="s">
        <v>3617</v>
      </c>
      <c r="E888" s="220" t="s">
        <v>3618</v>
      </c>
      <c r="F888" s="220" t="s">
        <v>3619</v>
      </c>
      <c r="G888" s="220" t="s">
        <v>84</v>
      </c>
    </row>
    <row r="889" spans="2:7" ht="30" customHeight="1" thickBot="1" x14ac:dyDescent="0.3">
      <c r="B889" s="220">
        <v>1220</v>
      </c>
      <c r="C889" s="220" t="s">
        <v>3603</v>
      </c>
      <c r="D889" s="220" t="s">
        <v>3620</v>
      </c>
      <c r="E889" s="220" t="s">
        <v>9285</v>
      </c>
      <c r="F889" s="220" t="s">
        <v>3621</v>
      </c>
      <c r="G889" s="220" t="s">
        <v>565</v>
      </c>
    </row>
    <row r="890" spans="2:7" ht="30" customHeight="1" thickBot="1" x14ac:dyDescent="0.3">
      <c r="B890" s="220">
        <v>1221</v>
      </c>
      <c r="C890" s="220" t="s">
        <v>3603</v>
      </c>
      <c r="D890" s="220" t="s">
        <v>3622</v>
      </c>
      <c r="E890" s="220" t="s">
        <v>9286</v>
      </c>
      <c r="F890" s="220" t="s">
        <v>3623</v>
      </c>
      <c r="G890" s="220" t="s">
        <v>565</v>
      </c>
    </row>
    <row r="891" spans="2:7" ht="30" customHeight="1" thickBot="1" x14ac:dyDescent="0.3">
      <c r="B891" s="220">
        <v>1222</v>
      </c>
      <c r="C891" s="220" t="s">
        <v>3603</v>
      </c>
      <c r="D891" s="220" t="s">
        <v>3624</v>
      </c>
      <c r="E891" s="220" t="s">
        <v>7703</v>
      </c>
      <c r="F891" s="220" t="s">
        <v>3625</v>
      </c>
      <c r="G891" s="220" t="s">
        <v>565</v>
      </c>
    </row>
    <row r="892" spans="2:7" ht="30" customHeight="1" thickBot="1" x14ac:dyDescent="0.3">
      <c r="B892" s="220">
        <v>1223</v>
      </c>
      <c r="C892" s="220" t="s">
        <v>3603</v>
      </c>
      <c r="D892" s="220" t="s">
        <v>3626</v>
      </c>
      <c r="E892" s="220" t="s">
        <v>7253</v>
      </c>
      <c r="F892" s="220" t="s">
        <v>3625</v>
      </c>
      <c r="G892" s="220" t="s">
        <v>565</v>
      </c>
    </row>
    <row r="893" spans="2:7" ht="30" customHeight="1" thickBot="1" x14ac:dyDescent="0.3">
      <c r="B893" s="220">
        <v>1224</v>
      </c>
      <c r="C893" s="220" t="s">
        <v>3603</v>
      </c>
      <c r="D893" s="220" t="s">
        <v>3627</v>
      </c>
      <c r="E893" s="220" t="s">
        <v>7230</v>
      </c>
      <c r="F893" s="219" t="s">
        <v>3628</v>
      </c>
      <c r="G893" s="220" t="s">
        <v>987</v>
      </c>
    </row>
    <row r="894" spans="2:7" ht="30" customHeight="1" thickBot="1" x14ac:dyDescent="0.3">
      <c r="B894" s="220">
        <v>1225</v>
      </c>
      <c r="C894" s="220" t="s">
        <v>3603</v>
      </c>
      <c r="D894" s="220" t="s">
        <v>3629</v>
      </c>
      <c r="E894" s="220" t="s">
        <v>3630</v>
      </c>
      <c r="F894" s="220" t="s">
        <v>3631</v>
      </c>
      <c r="G894" s="220" t="s">
        <v>987</v>
      </c>
    </row>
    <row r="895" spans="2:7" ht="30" customHeight="1" thickBot="1" x14ac:dyDescent="0.3">
      <c r="B895" s="220">
        <v>1226</v>
      </c>
      <c r="C895" s="220" t="s">
        <v>3603</v>
      </c>
      <c r="D895" s="220" t="s">
        <v>3632</v>
      </c>
      <c r="E895" s="220" t="s">
        <v>8706</v>
      </c>
      <c r="F895" s="220" t="s">
        <v>3633</v>
      </c>
      <c r="G895" s="220" t="s">
        <v>987</v>
      </c>
    </row>
    <row r="896" spans="2:7" ht="88.5" customHeight="1" thickBot="1" x14ac:dyDescent="0.3">
      <c r="B896" s="220">
        <v>1227</v>
      </c>
      <c r="C896" s="220" t="s">
        <v>3603</v>
      </c>
      <c r="D896" s="220" t="s">
        <v>3634</v>
      </c>
      <c r="E896" s="220" t="s">
        <v>9175</v>
      </c>
      <c r="F896" s="220" t="s">
        <v>3635</v>
      </c>
      <c r="G896" s="220" t="s">
        <v>987</v>
      </c>
    </row>
    <row r="897" spans="2:7" ht="30" customHeight="1" thickBot="1" x14ac:dyDescent="0.3">
      <c r="B897" s="220">
        <v>1228</v>
      </c>
      <c r="C897" s="220" t="s">
        <v>3603</v>
      </c>
      <c r="D897" s="220" t="s">
        <v>3636</v>
      </c>
      <c r="E897" s="220" t="s">
        <v>3637</v>
      </c>
      <c r="F897" s="220" t="s">
        <v>3638</v>
      </c>
      <c r="G897" s="220" t="s">
        <v>987</v>
      </c>
    </row>
    <row r="898" spans="2:7" ht="30" customHeight="1" thickBot="1" x14ac:dyDescent="0.3">
      <c r="B898" s="220">
        <v>1229</v>
      </c>
      <c r="C898" s="220" t="s">
        <v>3603</v>
      </c>
      <c r="D898" s="220" t="s">
        <v>3639</v>
      </c>
      <c r="E898" s="220" t="s">
        <v>3640</v>
      </c>
      <c r="F898" s="220" t="s">
        <v>3641</v>
      </c>
      <c r="G898" s="220" t="s">
        <v>987</v>
      </c>
    </row>
    <row r="899" spans="2:7" ht="30" customHeight="1" thickBot="1" x14ac:dyDescent="0.3">
      <c r="B899" s="220">
        <v>1230</v>
      </c>
      <c r="C899" s="220" t="s">
        <v>3603</v>
      </c>
      <c r="D899" s="220" t="s">
        <v>3642</v>
      </c>
      <c r="E899" s="220" t="s">
        <v>8929</v>
      </c>
      <c r="F899" s="220" t="s">
        <v>3643</v>
      </c>
      <c r="G899" s="220" t="s">
        <v>108</v>
      </c>
    </row>
    <row r="900" spans="2:7" ht="30" customHeight="1" thickBot="1" x14ac:dyDescent="0.3">
      <c r="B900" s="220">
        <v>1231</v>
      </c>
      <c r="C900" s="220" t="s">
        <v>3603</v>
      </c>
      <c r="D900" s="220" t="s">
        <v>3644</v>
      </c>
      <c r="E900" s="220" t="s">
        <v>8930</v>
      </c>
      <c r="F900" s="220" t="s">
        <v>3645</v>
      </c>
      <c r="G900" s="220" t="s">
        <v>108</v>
      </c>
    </row>
    <row r="901" spans="2:7" ht="30" customHeight="1" thickBot="1" x14ac:dyDescent="0.3">
      <c r="B901" s="220">
        <v>1232</v>
      </c>
      <c r="C901" s="220" t="s">
        <v>3603</v>
      </c>
      <c r="D901" s="220" t="s">
        <v>3646</v>
      </c>
      <c r="E901" s="220" t="s">
        <v>7183</v>
      </c>
      <c r="F901" s="220" t="s">
        <v>3647</v>
      </c>
      <c r="G901" s="220" t="s">
        <v>987</v>
      </c>
    </row>
    <row r="902" spans="2:7" ht="30" customHeight="1" thickBot="1" x14ac:dyDescent="0.3">
      <c r="B902" s="220">
        <v>1233</v>
      </c>
      <c r="C902" s="220" t="s">
        <v>3603</v>
      </c>
      <c r="D902" s="220" t="s">
        <v>3648</v>
      </c>
      <c r="E902" s="220" t="s">
        <v>8931</v>
      </c>
      <c r="F902" s="220" t="s">
        <v>3649</v>
      </c>
      <c r="G902" s="220" t="s">
        <v>108</v>
      </c>
    </row>
    <row r="903" spans="2:7" ht="30" customHeight="1" thickBot="1" x14ac:dyDescent="0.3">
      <c r="B903" s="220">
        <v>1234</v>
      </c>
      <c r="C903" s="220" t="s">
        <v>3603</v>
      </c>
      <c r="D903" s="220" t="s">
        <v>3650</v>
      </c>
      <c r="E903" s="220" t="s">
        <v>8932</v>
      </c>
      <c r="F903" s="220" t="s">
        <v>3651</v>
      </c>
      <c r="G903" s="220" t="s">
        <v>108</v>
      </c>
    </row>
    <row r="904" spans="2:7" ht="30" customHeight="1" thickBot="1" x14ac:dyDescent="0.3">
      <c r="B904" s="220">
        <v>1235</v>
      </c>
      <c r="C904" s="220" t="s">
        <v>3603</v>
      </c>
      <c r="D904" s="220" t="s">
        <v>3652</v>
      </c>
      <c r="E904" s="220" t="s">
        <v>8933</v>
      </c>
      <c r="F904" s="220" t="s">
        <v>3651</v>
      </c>
      <c r="G904" s="220" t="s">
        <v>108</v>
      </c>
    </row>
    <row r="905" spans="2:7" ht="30" customHeight="1" thickBot="1" x14ac:dyDescent="0.3">
      <c r="B905" s="220">
        <v>1236</v>
      </c>
      <c r="C905" s="220" t="s">
        <v>3603</v>
      </c>
      <c r="D905" s="220" t="s">
        <v>3653</v>
      </c>
      <c r="E905" s="220" t="s">
        <v>8934</v>
      </c>
      <c r="F905" s="220" t="s">
        <v>3654</v>
      </c>
      <c r="G905" s="220" t="s">
        <v>108</v>
      </c>
    </row>
    <row r="906" spans="2:7" ht="30" customHeight="1" thickBot="1" x14ac:dyDescent="0.3">
      <c r="B906" s="220">
        <v>1237</v>
      </c>
      <c r="C906" s="220" t="s">
        <v>3603</v>
      </c>
      <c r="D906" s="220" t="s">
        <v>3655</v>
      </c>
      <c r="E906" s="220" t="s">
        <v>8935</v>
      </c>
      <c r="F906" s="220" t="s">
        <v>3656</v>
      </c>
      <c r="G906" s="220" t="s">
        <v>108</v>
      </c>
    </row>
    <row r="907" spans="2:7" ht="30" customHeight="1" thickBot="1" x14ac:dyDescent="0.3">
      <c r="B907" s="220">
        <v>1238</v>
      </c>
      <c r="C907" s="220" t="s">
        <v>3603</v>
      </c>
      <c r="D907" s="220" t="s">
        <v>3657</v>
      </c>
      <c r="E907" s="220" t="s">
        <v>3658</v>
      </c>
      <c r="F907" s="219" t="s">
        <v>3659</v>
      </c>
      <c r="G907" s="220" t="s">
        <v>987</v>
      </c>
    </row>
    <row r="908" spans="2:7" ht="30" customHeight="1" thickBot="1" x14ac:dyDescent="0.3">
      <c r="B908" s="220">
        <v>1239</v>
      </c>
      <c r="C908" s="220" t="s">
        <v>3603</v>
      </c>
      <c r="D908" s="220" t="s">
        <v>3660</v>
      </c>
      <c r="E908" s="220" t="s">
        <v>7231</v>
      </c>
      <c r="F908" s="219" t="s">
        <v>2254</v>
      </c>
      <c r="G908" s="220" t="s">
        <v>3661</v>
      </c>
    </row>
    <row r="909" spans="2:7" ht="30" customHeight="1" thickBot="1" x14ac:dyDescent="0.3">
      <c r="B909" s="220">
        <v>1240</v>
      </c>
      <c r="C909" s="220" t="s">
        <v>3603</v>
      </c>
      <c r="D909" s="220" t="s">
        <v>3662</v>
      </c>
      <c r="E909" s="220" t="s">
        <v>7254</v>
      </c>
      <c r="F909" s="219" t="s">
        <v>3663</v>
      </c>
      <c r="G909" s="220" t="s">
        <v>572</v>
      </c>
    </row>
    <row r="910" spans="2:7" ht="30" customHeight="1" thickBot="1" x14ac:dyDescent="0.3">
      <c r="B910" s="220">
        <v>1241</v>
      </c>
      <c r="C910" s="220" t="s">
        <v>3603</v>
      </c>
      <c r="D910" s="220" t="s">
        <v>3664</v>
      </c>
      <c r="E910" s="220" t="s">
        <v>7255</v>
      </c>
      <c r="F910" s="219" t="s">
        <v>3665</v>
      </c>
      <c r="G910" s="220" t="s">
        <v>572</v>
      </c>
    </row>
    <row r="911" spans="2:7" ht="30" customHeight="1" thickBot="1" x14ac:dyDescent="0.3">
      <c r="B911" s="220">
        <v>1242</v>
      </c>
      <c r="C911" s="220" t="s">
        <v>3603</v>
      </c>
      <c r="D911" s="220" t="s">
        <v>3666</v>
      </c>
      <c r="E911" s="220" t="s">
        <v>7256</v>
      </c>
      <c r="F911" s="219" t="s">
        <v>3667</v>
      </c>
      <c r="G911" s="220" t="s">
        <v>572</v>
      </c>
    </row>
    <row r="912" spans="2:7" ht="30" customHeight="1" thickBot="1" x14ac:dyDescent="0.3">
      <c r="B912" s="220">
        <v>1243</v>
      </c>
      <c r="C912" s="220" t="s">
        <v>3668</v>
      </c>
      <c r="D912" s="223" t="s">
        <v>9145</v>
      </c>
      <c r="E912" s="223" t="s">
        <v>7948</v>
      </c>
      <c r="F912" s="223" t="s">
        <v>3669</v>
      </c>
      <c r="G912" s="220"/>
    </row>
    <row r="913" spans="2:7" ht="30" customHeight="1" thickBot="1" x14ac:dyDescent="0.3">
      <c r="B913" s="220">
        <v>1244</v>
      </c>
      <c r="C913" s="220" t="s">
        <v>3668</v>
      </c>
      <c r="D913" s="223" t="s">
        <v>3670</v>
      </c>
      <c r="E913" s="223" t="s">
        <v>8951</v>
      </c>
      <c r="F913" s="223" t="s">
        <v>3671</v>
      </c>
      <c r="G913" s="220" t="s">
        <v>322</v>
      </c>
    </row>
    <row r="914" spans="2:7" ht="30" customHeight="1" thickBot="1" x14ac:dyDescent="0.3">
      <c r="B914" s="220">
        <v>1245</v>
      </c>
      <c r="C914" s="220" t="s">
        <v>3668</v>
      </c>
      <c r="D914" s="223" t="s">
        <v>3672</v>
      </c>
      <c r="E914" s="223" t="s">
        <v>9228</v>
      </c>
      <c r="F914" s="223" t="s">
        <v>3673</v>
      </c>
      <c r="G914" s="220" t="s">
        <v>4041</v>
      </c>
    </row>
    <row r="915" spans="2:7" ht="30" customHeight="1" thickBot="1" x14ac:dyDescent="0.3">
      <c r="B915" s="220">
        <v>1246</v>
      </c>
      <c r="C915" s="220" t="s">
        <v>3668</v>
      </c>
      <c r="D915" s="223" t="s">
        <v>3674</v>
      </c>
      <c r="E915" s="223" t="s">
        <v>7048</v>
      </c>
      <c r="F915" s="223" t="s">
        <v>3675</v>
      </c>
      <c r="G915" s="220"/>
    </row>
    <row r="916" spans="2:7" ht="30" customHeight="1" thickBot="1" x14ac:dyDescent="0.3">
      <c r="B916" s="220">
        <v>1247</v>
      </c>
      <c r="C916" s="220" t="s">
        <v>3668</v>
      </c>
      <c r="D916" s="223" t="s">
        <v>3676</v>
      </c>
      <c r="E916" s="223" t="s">
        <v>7281</v>
      </c>
      <c r="F916" s="223" t="s">
        <v>3677</v>
      </c>
      <c r="G916" s="220"/>
    </row>
    <row r="917" spans="2:7" ht="30" customHeight="1" thickBot="1" x14ac:dyDescent="0.3">
      <c r="B917" s="220">
        <v>1248</v>
      </c>
      <c r="C917" s="220" t="s">
        <v>3668</v>
      </c>
      <c r="D917" s="223" t="s">
        <v>3678</v>
      </c>
      <c r="E917" s="223" t="s">
        <v>8936</v>
      </c>
      <c r="F917" s="223" t="s">
        <v>3679</v>
      </c>
      <c r="G917" s="220" t="s">
        <v>2527</v>
      </c>
    </row>
    <row r="918" spans="2:7" ht="30" customHeight="1" thickBot="1" x14ac:dyDescent="0.3">
      <c r="B918" s="220">
        <v>1249</v>
      </c>
      <c r="C918" s="220" t="s">
        <v>3668</v>
      </c>
      <c r="D918" s="223" t="s">
        <v>3680</v>
      </c>
      <c r="E918" s="223" t="s">
        <v>7513</v>
      </c>
      <c r="F918" s="223" t="s">
        <v>3681</v>
      </c>
      <c r="G918" s="220"/>
    </row>
    <row r="919" spans="2:7" ht="30" customHeight="1" thickBot="1" x14ac:dyDescent="0.3">
      <c r="B919" s="220">
        <v>1250</v>
      </c>
      <c r="C919" s="220" t="s">
        <v>3668</v>
      </c>
      <c r="D919" s="223" t="s">
        <v>3682</v>
      </c>
      <c r="E919" s="223" t="s">
        <v>8937</v>
      </c>
      <c r="F919" s="223" t="s">
        <v>3683</v>
      </c>
      <c r="G919" s="220" t="s">
        <v>8529</v>
      </c>
    </row>
    <row r="920" spans="2:7" ht="30" customHeight="1" thickBot="1" x14ac:dyDescent="0.3">
      <c r="B920" s="220">
        <v>1251</v>
      </c>
      <c r="C920" s="220" t="s">
        <v>3668</v>
      </c>
      <c r="D920" s="223" t="s">
        <v>9928</v>
      </c>
      <c r="E920" s="223" t="s">
        <v>3684</v>
      </c>
      <c r="F920" s="223" t="s">
        <v>3685</v>
      </c>
      <c r="G920" s="340" t="s">
        <v>8530</v>
      </c>
    </row>
    <row r="921" spans="2:7" ht="30" customHeight="1" thickBot="1" x14ac:dyDescent="0.3">
      <c r="B921" s="220">
        <v>1252</v>
      </c>
      <c r="C921" s="220" t="s">
        <v>3668</v>
      </c>
      <c r="D921" s="223" t="s">
        <v>3686</v>
      </c>
      <c r="E921" s="223" t="s">
        <v>8051</v>
      </c>
      <c r="F921" s="223" t="s">
        <v>3687</v>
      </c>
      <c r="G921" s="220"/>
    </row>
    <row r="922" spans="2:7" ht="30" customHeight="1" thickBot="1" x14ac:dyDescent="0.3">
      <c r="B922" s="220">
        <v>1253</v>
      </c>
      <c r="C922" s="220" t="s">
        <v>3668</v>
      </c>
      <c r="D922" s="223" t="s">
        <v>3688</v>
      </c>
      <c r="E922" s="223" t="s">
        <v>7049</v>
      </c>
      <c r="F922" s="223" t="s">
        <v>3689</v>
      </c>
      <c r="G922" s="220"/>
    </row>
    <row r="923" spans="2:7" ht="30" customHeight="1" thickBot="1" x14ac:dyDescent="0.3">
      <c r="B923" s="220">
        <v>1254</v>
      </c>
      <c r="C923" s="220" t="s">
        <v>3668</v>
      </c>
      <c r="D923" s="223" t="s">
        <v>3690</v>
      </c>
      <c r="E923" s="223" t="s">
        <v>8952</v>
      </c>
      <c r="F923" s="223" t="s">
        <v>3691</v>
      </c>
      <c r="G923" s="220" t="s">
        <v>1565</v>
      </c>
    </row>
    <row r="924" spans="2:7" ht="30" customHeight="1" thickBot="1" x14ac:dyDescent="0.3">
      <c r="B924" s="220">
        <v>1255</v>
      </c>
      <c r="C924" s="220" t="s">
        <v>3668</v>
      </c>
      <c r="D924" s="223" t="s">
        <v>3692</v>
      </c>
      <c r="E924" s="223" t="s">
        <v>7949</v>
      </c>
      <c r="F924" s="223" t="s">
        <v>3693</v>
      </c>
      <c r="G924" s="220"/>
    </row>
    <row r="925" spans="2:7" ht="30" customHeight="1" thickBot="1" x14ac:dyDescent="0.3">
      <c r="B925" s="220">
        <v>1256</v>
      </c>
      <c r="C925" s="220" t="s">
        <v>3668</v>
      </c>
      <c r="D925" s="223" t="s">
        <v>3694</v>
      </c>
      <c r="E925" s="223" t="s">
        <v>3695</v>
      </c>
      <c r="F925" s="223" t="s">
        <v>3696</v>
      </c>
      <c r="G925" s="220" t="s">
        <v>8531</v>
      </c>
    </row>
    <row r="926" spans="2:7" ht="30" customHeight="1" thickBot="1" x14ac:dyDescent="0.3">
      <c r="B926" s="220">
        <v>1257</v>
      </c>
      <c r="C926" s="220" t="s">
        <v>3668</v>
      </c>
      <c r="D926" s="223" t="s">
        <v>3697</v>
      </c>
      <c r="E926" s="223" t="s">
        <v>8240</v>
      </c>
      <c r="F926" s="223" t="s">
        <v>3698</v>
      </c>
      <c r="G926" s="220"/>
    </row>
    <row r="927" spans="2:7" ht="30" customHeight="1" thickBot="1" x14ac:dyDescent="0.3">
      <c r="B927" s="220">
        <v>1258</v>
      </c>
      <c r="C927" s="220" t="s">
        <v>3668</v>
      </c>
      <c r="D927" s="223" t="s">
        <v>3699</v>
      </c>
      <c r="E927" s="223" t="s">
        <v>7950</v>
      </c>
      <c r="F927" s="223" t="s">
        <v>3700</v>
      </c>
      <c r="G927" s="220"/>
    </row>
    <row r="928" spans="2:7" ht="30" customHeight="1" thickBot="1" x14ac:dyDescent="0.3">
      <c r="B928" s="220">
        <v>1259</v>
      </c>
      <c r="C928" s="220" t="s">
        <v>3668</v>
      </c>
      <c r="D928" s="223" t="s">
        <v>3701</v>
      </c>
      <c r="E928" s="223" t="s">
        <v>9083</v>
      </c>
      <c r="F928" s="223" t="s">
        <v>3702</v>
      </c>
      <c r="G928" s="220" t="s">
        <v>8532</v>
      </c>
    </row>
    <row r="929" spans="2:7" ht="30" customHeight="1" thickBot="1" x14ac:dyDescent="0.3">
      <c r="B929" s="220">
        <v>1260</v>
      </c>
      <c r="C929" s="220" t="s">
        <v>3668</v>
      </c>
      <c r="D929" s="223" t="s">
        <v>3703</v>
      </c>
      <c r="E929" s="223" t="s">
        <v>8670</v>
      </c>
      <c r="F929" s="223" t="s">
        <v>3704</v>
      </c>
      <c r="G929" s="220" t="s">
        <v>2527</v>
      </c>
    </row>
    <row r="930" spans="2:7" ht="30" customHeight="1" thickBot="1" x14ac:dyDescent="0.3">
      <c r="B930" s="220">
        <v>1261</v>
      </c>
      <c r="C930" s="220" t="s">
        <v>3668</v>
      </c>
      <c r="D930" s="223" t="s">
        <v>3705</v>
      </c>
      <c r="E930" s="223" t="s">
        <v>8953</v>
      </c>
      <c r="F930" s="227" t="s">
        <v>3706</v>
      </c>
      <c r="G930" s="220" t="s">
        <v>8532</v>
      </c>
    </row>
    <row r="931" spans="2:7" ht="30" customHeight="1" thickBot="1" x14ac:dyDescent="0.3">
      <c r="B931" s="220">
        <v>1262</v>
      </c>
      <c r="C931" s="220" t="s">
        <v>3668</v>
      </c>
      <c r="D931" s="223" t="s">
        <v>3707</v>
      </c>
      <c r="E931" s="223" t="s">
        <v>8917</v>
      </c>
      <c r="F931" s="227" t="s">
        <v>3708</v>
      </c>
      <c r="G931" s="220" t="s">
        <v>8533</v>
      </c>
    </row>
    <row r="932" spans="2:7" ht="30" customHeight="1" thickBot="1" x14ac:dyDescent="0.3">
      <c r="B932" s="220">
        <v>1263</v>
      </c>
      <c r="C932" s="220" t="s">
        <v>3668</v>
      </c>
      <c r="D932" s="223" t="s">
        <v>3709</v>
      </c>
      <c r="E932" s="223" t="s">
        <v>8938</v>
      </c>
      <c r="F932" s="227" t="s">
        <v>3710</v>
      </c>
      <c r="G932" s="220" t="s">
        <v>8533</v>
      </c>
    </row>
    <row r="933" spans="2:7" ht="30" customHeight="1" thickBot="1" x14ac:dyDescent="0.3">
      <c r="B933" s="220">
        <v>1264</v>
      </c>
      <c r="C933" s="220" t="s">
        <v>3668</v>
      </c>
      <c r="D933" s="223" t="s">
        <v>3711</v>
      </c>
      <c r="E933" s="223" t="s">
        <v>8918</v>
      </c>
      <c r="F933" s="227" t="s">
        <v>3712</v>
      </c>
      <c r="G933" s="220" t="s">
        <v>2527</v>
      </c>
    </row>
    <row r="934" spans="2:7" ht="30" customHeight="1" thickBot="1" x14ac:dyDescent="0.3">
      <c r="B934" s="220">
        <v>1265</v>
      </c>
      <c r="C934" s="220" t="s">
        <v>3668</v>
      </c>
      <c r="D934" s="223" t="s">
        <v>3713</v>
      </c>
      <c r="E934" s="223" t="s">
        <v>8487</v>
      </c>
      <c r="F934" s="223" t="s">
        <v>3715</v>
      </c>
      <c r="G934" s="220" t="s">
        <v>8532</v>
      </c>
    </row>
    <row r="935" spans="2:7" ht="30" customHeight="1" thickBot="1" x14ac:dyDescent="0.3">
      <c r="B935" s="220">
        <v>1266</v>
      </c>
      <c r="C935" s="220" t="s">
        <v>3668</v>
      </c>
      <c r="D935" s="223" t="s">
        <v>3716</v>
      </c>
      <c r="E935" s="223" t="s">
        <v>8954</v>
      </c>
      <c r="F935" s="223" t="s">
        <v>3717</v>
      </c>
      <c r="G935" s="220" t="s">
        <v>8532</v>
      </c>
    </row>
    <row r="936" spans="2:7" ht="30" customHeight="1" thickBot="1" x14ac:dyDescent="0.3">
      <c r="B936" s="220">
        <v>1267</v>
      </c>
      <c r="C936" s="220" t="s">
        <v>3668</v>
      </c>
      <c r="D936" s="223" t="s">
        <v>3718</v>
      </c>
      <c r="E936" s="223" t="s">
        <v>7050</v>
      </c>
      <c r="F936" s="223" t="s">
        <v>3719</v>
      </c>
      <c r="G936" s="220"/>
    </row>
    <row r="937" spans="2:7" ht="30" customHeight="1" thickBot="1" x14ac:dyDescent="0.3">
      <c r="B937" s="220">
        <v>1268</v>
      </c>
      <c r="C937" s="220" t="s">
        <v>3668</v>
      </c>
      <c r="D937" s="223" t="s">
        <v>3720</v>
      </c>
      <c r="E937" s="223" t="s">
        <v>8955</v>
      </c>
      <c r="F937" s="223" t="s">
        <v>3721</v>
      </c>
      <c r="G937" s="220" t="s">
        <v>8532</v>
      </c>
    </row>
    <row r="938" spans="2:7" ht="30" customHeight="1" thickBot="1" x14ac:dyDescent="0.3">
      <c r="B938" s="220">
        <v>1269</v>
      </c>
      <c r="C938" s="220" t="s">
        <v>3668</v>
      </c>
      <c r="D938" s="223" t="s">
        <v>3722</v>
      </c>
      <c r="E938" s="223" t="s">
        <v>8956</v>
      </c>
      <c r="F938" s="223" t="s">
        <v>3723</v>
      </c>
      <c r="G938" s="220" t="s">
        <v>8532</v>
      </c>
    </row>
    <row r="939" spans="2:7" ht="30" customHeight="1" thickBot="1" x14ac:dyDescent="0.3">
      <c r="B939" s="220">
        <v>1270</v>
      </c>
      <c r="C939" s="220" t="s">
        <v>3668</v>
      </c>
      <c r="D939" s="223" t="s">
        <v>3724</v>
      </c>
      <c r="E939" s="223" t="s">
        <v>9023</v>
      </c>
      <c r="F939" s="223" t="s">
        <v>3725</v>
      </c>
      <c r="G939" s="220"/>
    </row>
    <row r="940" spans="2:7" ht="30" customHeight="1" thickBot="1" x14ac:dyDescent="0.3">
      <c r="B940" s="220">
        <v>1271</v>
      </c>
      <c r="C940" s="220" t="s">
        <v>3668</v>
      </c>
      <c r="D940" s="223" t="s">
        <v>3726</v>
      </c>
      <c r="E940" s="223" t="s">
        <v>7051</v>
      </c>
      <c r="F940" s="223" t="s">
        <v>3727</v>
      </c>
      <c r="G940" s="220"/>
    </row>
    <row r="941" spans="2:7" ht="30" customHeight="1" thickBot="1" x14ac:dyDescent="0.3">
      <c r="B941" s="220">
        <v>1272</v>
      </c>
      <c r="C941" s="220" t="s">
        <v>3668</v>
      </c>
      <c r="D941" s="223" t="s">
        <v>3728</v>
      </c>
      <c r="E941" s="223" t="s">
        <v>6026</v>
      </c>
      <c r="F941" s="223" t="s">
        <v>3729</v>
      </c>
      <c r="G941" s="220"/>
    </row>
    <row r="942" spans="2:7" ht="30" customHeight="1" thickBot="1" x14ac:dyDescent="0.3">
      <c r="B942" s="220">
        <v>1273</v>
      </c>
      <c r="C942" s="220" t="s">
        <v>3668</v>
      </c>
      <c r="D942" s="223" t="s">
        <v>3730</v>
      </c>
      <c r="E942" s="223" t="s">
        <v>7232</v>
      </c>
      <c r="F942" s="223" t="s">
        <v>3731</v>
      </c>
      <c r="G942" s="220"/>
    </row>
    <row r="943" spans="2:7" ht="30" customHeight="1" thickBot="1" x14ac:dyDescent="0.3">
      <c r="B943" s="220">
        <v>1274</v>
      </c>
      <c r="C943" s="220" t="s">
        <v>3668</v>
      </c>
      <c r="D943" s="223" t="s">
        <v>3732</v>
      </c>
      <c r="E943" s="223" t="s">
        <v>8493</v>
      </c>
      <c r="F943" s="223" t="s">
        <v>3733</v>
      </c>
      <c r="G943" s="220" t="s">
        <v>8534</v>
      </c>
    </row>
    <row r="944" spans="2:7" ht="30" customHeight="1" thickBot="1" x14ac:dyDescent="0.3">
      <c r="B944" s="220">
        <v>1275</v>
      </c>
      <c r="C944" s="220" t="s">
        <v>3668</v>
      </c>
      <c r="D944" s="223" t="s">
        <v>3734</v>
      </c>
      <c r="E944" s="223" t="s">
        <v>8493</v>
      </c>
      <c r="F944" s="223" t="s">
        <v>3735</v>
      </c>
      <c r="G944" s="220" t="s">
        <v>8534</v>
      </c>
    </row>
    <row r="945" spans="2:7" ht="30" customHeight="1" thickBot="1" x14ac:dyDescent="0.3">
      <c r="B945" s="220">
        <v>1276</v>
      </c>
      <c r="C945" s="220" t="s">
        <v>3668</v>
      </c>
      <c r="D945" s="223" t="s">
        <v>3736</v>
      </c>
      <c r="E945" s="223" t="s">
        <v>8107</v>
      </c>
      <c r="F945" s="223" t="s">
        <v>3737</v>
      </c>
      <c r="G945" s="220" t="s">
        <v>8534</v>
      </c>
    </row>
    <row r="946" spans="2:7" ht="30" customHeight="1" thickBot="1" x14ac:dyDescent="0.3">
      <c r="B946" s="220">
        <v>1277</v>
      </c>
      <c r="C946" s="220" t="s">
        <v>3668</v>
      </c>
      <c r="D946" s="223" t="s">
        <v>6027</v>
      </c>
      <c r="E946" s="223" t="s">
        <v>3738</v>
      </c>
      <c r="F946" s="223" t="s">
        <v>3739</v>
      </c>
      <c r="G946" s="220"/>
    </row>
    <row r="947" spans="2:7" ht="30" customHeight="1" thickBot="1" x14ac:dyDescent="0.3">
      <c r="B947" s="220">
        <v>1278</v>
      </c>
      <c r="C947" s="220" t="s">
        <v>3668</v>
      </c>
      <c r="D947" s="223" t="s">
        <v>3740</v>
      </c>
      <c r="E947" s="223" t="s">
        <v>8707</v>
      </c>
      <c r="F947" s="223" t="s">
        <v>3741</v>
      </c>
      <c r="G947" s="220" t="s">
        <v>8532</v>
      </c>
    </row>
    <row r="948" spans="2:7" ht="30" customHeight="1" thickBot="1" x14ac:dyDescent="0.3">
      <c r="B948" s="220">
        <v>1279</v>
      </c>
      <c r="C948" s="220" t="s">
        <v>3668</v>
      </c>
      <c r="D948" s="223" t="s">
        <v>3742</v>
      </c>
      <c r="E948" s="223" t="s">
        <v>3743</v>
      </c>
      <c r="F948" s="223" t="s">
        <v>3744</v>
      </c>
      <c r="G948" s="220" t="s">
        <v>74</v>
      </c>
    </row>
    <row r="949" spans="2:7" ht="30" customHeight="1" thickBot="1" x14ac:dyDescent="0.3">
      <c r="B949" s="220">
        <v>1280</v>
      </c>
      <c r="C949" s="220" t="s">
        <v>3668</v>
      </c>
      <c r="D949" s="223" t="s">
        <v>3745</v>
      </c>
      <c r="E949" s="223" t="s">
        <v>8708</v>
      </c>
      <c r="F949" s="223" t="s">
        <v>3746</v>
      </c>
      <c r="G949" s="220" t="s">
        <v>8532</v>
      </c>
    </row>
    <row r="950" spans="2:7" ht="30" customHeight="1" thickBot="1" x14ac:dyDescent="0.3">
      <c r="B950" s="220">
        <v>1281</v>
      </c>
      <c r="C950" s="220" t="s">
        <v>3747</v>
      </c>
      <c r="D950" s="220" t="s">
        <v>3748</v>
      </c>
      <c r="E950" s="220" t="s">
        <v>9287</v>
      </c>
      <c r="F950" s="220" t="s">
        <v>3749</v>
      </c>
      <c r="G950" s="220" t="s">
        <v>565</v>
      </c>
    </row>
    <row r="951" spans="2:7" ht="30" customHeight="1" thickBot="1" x14ac:dyDescent="0.3">
      <c r="B951" s="220">
        <v>1282</v>
      </c>
      <c r="C951" s="220" t="s">
        <v>3747</v>
      </c>
      <c r="D951" s="220" t="s">
        <v>3750</v>
      </c>
      <c r="E951" s="223" t="s">
        <v>9288</v>
      </c>
      <c r="F951" s="220" t="s">
        <v>3751</v>
      </c>
      <c r="G951" s="220" t="s">
        <v>565</v>
      </c>
    </row>
    <row r="952" spans="2:7" ht="30" customHeight="1" thickBot="1" x14ac:dyDescent="0.3">
      <c r="B952" s="220">
        <v>1283</v>
      </c>
      <c r="C952" s="220" t="s">
        <v>3747</v>
      </c>
      <c r="D952" s="220" t="s">
        <v>3752</v>
      </c>
      <c r="E952" s="223" t="s">
        <v>9289</v>
      </c>
      <c r="F952" s="220" t="s">
        <v>3749</v>
      </c>
      <c r="G952" s="220" t="s">
        <v>565</v>
      </c>
    </row>
    <row r="953" spans="2:7" ht="30" customHeight="1" thickBot="1" x14ac:dyDescent="0.3">
      <c r="B953" s="220">
        <v>1284</v>
      </c>
      <c r="C953" s="220" t="s">
        <v>3747</v>
      </c>
      <c r="D953" s="220" t="s">
        <v>3753</v>
      </c>
      <c r="E953" s="220" t="s">
        <v>3754</v>
      </c>
      <c r="F953" s="220"/>
      <c r="G953" s="220" t="s">
        <v>84</v>
      </c>
    </row>
    <row r="954" spans="2:7" ht="30" customHeight="1" thickBot="1" x14ac:dyDescent="0.3">
      <c r="B954" s="220">
        <v>1285</v>
      </c>
      <c r="C954" s="220" t="s">
        <v>3747</v>
      </c>
      <c r="D954" s="220" t="s">
        <v>3755</v>
      </c>
      <c r="E954" s="220" t="s">
        <v>8919</v>
      </c>
      <c r="F954" s="220"/>
      <c r="G954" s="220" t="s">
        <v>84</v>
      </c>
    </row>
    <row r="955" spans="2:7" ht="30" customHeight="1" thickBot="1" x14ac:dyDescent="0.3">
      <c r="B955" s="220">
        <v>1286</v>
      </c>
      <c r="C955" s="220" t="s">
        <v>3747</v>
      </c>
      <c r="D955" s="220" t="s">
        <v>3757</v>
      </c>
      <c r="E955" s="220" t="s">
        <v>7295</v>
      </c>
      <c r="F955" s="220" t="s">
        <v>3758</v>
      </c>
      <c r="G955" s="220" t="s">
        <v>322</v>
      </c>
    </row>
    <row r="956" spans="2:7" ht="57.75" customHeight="1" thickBot="1" x14ac:dyDescent="0.3">
      <c r="B956" s="220">
        <v>1287</v>
      </c>
      <c r="C956" s="220" t="s">
        <v>3747</v>
      </c>
      <c r="D956" s="220" t="s">
        <v>9929</v>
      </c>
      <c r="E956" s="220" t="s">
        <v>8436</v>
      </c>
      <c r="F956" s="220" t="s">
        <v>3759</v>
      </c>
      <c r="G956" s="220" t="s">
        <v>322</v>
      </c>
    </row>
    <row r="957" spans="2:7" ht="30" customHeight="1" thickBot="1" x14ac:dyDescent="0.3">
      <c r="B957" s="220">
        <v>1288</v>
      </c>
      <c r="C957" s="220" t="s">
        <v>3747</v>
      </c>
      <c r="D957" s="220" t="s">
        <v>9930</v>
      </c>
      <c r="E957" s="220" t="s">
        <v>8709</v>
      </c>
      <c r="F957" s="220" t="s">
        <v>3760</v>
      </c>
      <c r="G957" s="220" t="s">
        <v>322</v>
      </c>
    </row>
    <row r="958" spans="2:7" ht="30" customHeight="1" thickBot="1" x14ac:dyDescent="0.3">
      <c r="B958" s="220">
        <v>1289</v>
      </c>
      <c r="C958" s="220" t="s">
        <v>3747</v>
      </c>
      <c r="D958" s="220" t="s">
        <v>9931</v>
      </c>
      <c r="E958" s="220" t="s">
        <v>8710</v>
      </c>
      <c r="F958" s="220" t="s">
        <v>3761</v>
      </c>
      <c r="G958" s="220" t="s">
        <v>322</v>
      </c>
    </row>
    <row r="959" spans="2:7" ht="30" customHeight="1" thickBot="1" x14ac:dyDescent="0.3">
      <c r="B959" s="220">
        <v>1290</v>
      </c>
      <c r="C959" s="220" t="s">
        <v>3747</v>
      </c>
      <c r="D959" s="220" t="s">
        <v>3762</v>
      </c>
      <c r="E959" s="220" t="s">
        <v>8889</v>
      </c>
      <c r="F959" s="220" t="s">
        <v>3763</v>
      </c>
      <c r="G959" s="220" t="s">
        <v>108</v>
      </c>
    </row>
    <row r="960" spans="2:7" ht="30" customHeight="1" thickBot="1" x14ac:dyDescent="0.3">
      <c r="B960" s="220">
        <v>1291</v>
      </c>
      <c r="C960" s="220" t="s">
        <v>3747</v>
      </c>
      <c r="D960" s="220" t="s">
        <v>3764</v>
      </c>
      <c r="E960" s="220" t="s">
        <v>7295</v>
      </c>
      <c r="F960" s="220"/>
      <c r="G960" s="220" t="s">
        <v>322</v>
      </c>
    </row>
    <row r="961" spans="2:7" ht="30" customHeight="1" thickBot="1" x14ac:dyDescent="0.3">
      <c r="B961" s="220">
        <v>1292</v>
      </c>
      <c r="C961" s="220" t="s">
        <v>3747</v>
      </c>
      <c r="D961" s="220" t="s">
        <v>3765</v>
      </c>
      <c r="E961" s="220" t="s">
        <v>8920</v>
      </c>
      <c r="F961" s="220" t="s">
        <v>3766</v>
      </c>
      <c r="G961" s="220" t="s">
        <v>3767</v>
      </c>
    </row>
    <row r="962" spans="2:7" ht="30" customHeight="1" thickBot="1" x14ac:dyDescent="0.3">
      <c r="B962" s="220">
        <v>1293</v>
      </c>
      <c r="C962" s="220" t="s">
        <v>3747</v>
      </c>
      <c r="D962" s="220" t="s">
        <v>3768</v>
      </c>
      <c r="E962" s="220" t="s">
        <v>8921</v>
      </c>
      <c r="F962" s="219"/>
      <c r="G962" s="220" t="s">
        <v>565</v>
      </c>
    </row>
    <row r="963" spans="2:7" ht="30" customHeight="1" thickBot="1" x14ac:dyDescent="0.3">
      <c r="B963" s="220">
        <v>1294</v>
      </c>
      <c r="C963" s="220" t="s">
        <v>3747</v>
      </c>
      <c r="D963" s="220" t="s">
        <v>3769</v>
      </c>
      <c r="E963" s="220" t="s">
        <v>8922</v>
      </c>
      <c r="F963" s="219"/>
      <c r="G963" s="220" t="s">
        <v>565</v>
      </c>
    </row>
    <row r="964" spans="2:7" ht="105.75" customHeight="1" thickBot="1" x14ac:dyDescent="0.3">
      <c r="B964" s="220">
        <v>1295</v>
      </c>
      <c r="C964" s="220" t="s">
        <v>3747</v>
      </c>
      <c r="D964" s="220" t="s">
        <v>3770</v>
      </c>
      <c r="E964" s="220" t="s">
        <v>9171</v>
      </c>
      <c r="F964" s="219"/>
      <c r="G964" s="220" t="s">
        <v>565</v>
      </c>
    </row>
    <row r="965" spans="2:7" ht="30" customHeight="1" thickBot="1" x14ac:dyDescent="0.3">
      <c r="B965" s="220">
        <v>1296</v>
      </c>
      <c r="C965" s="220" t="s">
        <v>3747</v>
      </c>
      <c r="D965" s="220" t="s">
        <v>3771</v>
      </c>
      <c r="E965" s="220" t="s">
        <v>7053</v>
      </c>
      <c r="F965" s="219"/>
      <c r="G965" s="220" t="s">
        <v>565</v>
      </c>
    </row>
    <row r="966" spans="2:7" ht="30" customHeight="1" thickBot="1" x14ac:dyDescent="0.3">
      <c r="B966" s="220">
        <v>1297</v>
      </c>
      <c r="C966" s="220" t="s">
        <v>3747</v>
      </c>
      <c r="D966" s="220" t="s">
        <v>3772</v>
      </c>
      <c r="E966" s="223" t="s">
        <v>9290</v>
      </c>
      <c r="F966" s="219"/>
      <c r="G966" s="220" t="s">
        <v>565</v>
      </c>
    </row>
    <row r="967" spans="2:7" ht="30" customHeight="1" thickBot="1" x14ac:dyDescent="0.3">
      <c r="B967" s="220">
        <v>1298</v>
      </c>
      <c r="C967" s="220" t="s">
        <v>3747</v>
      </c>
      <c r="D967" s="220" t="s">
        <v>3773</v>
      </c>
      <c r="E967" s="223" t="s">
        <v>9291</v>
      </c>
      <c r="F967" s="219"/>
      <c r="G967" s="220" t="s">
        <v>565</v>
      </c>
    </row>
    <row r="968" spans="2:7" ht="30" customHeight="1" thickBot="1" x14ac:dyDescent="0.3">
      <c r="B968" s="220">
        <v>1299</v>
      </c>
      <c r="C968" s="220" t="s">
        <v>3747</v>
      </c>
      <c r="D968" s="220" t="s">
        <v>3774</v>
      </c>
      <c r="E968" s="220" t="s">
        <v>7054</v>
      </c>
      <c r="F968" s="219"/>
      <c r="G968" s="220" t="s">
        <v>565</v>
      </c>
    </row>
    <row r="969" spans="2:7" ht="30" customHeight="1" thickBot="1" x14ac:dyDescent="0.3">
      <c r="B969" s="220">
        <v>1300</v>
      </c>
      <c r="C969" s="220" t="s">
        <v>3747</v>
      </c>
      <c r="D969" s="220" t="s">
        <v>3775</v>
      </c>
      <c r="E969" s="220" t="s">
        <v>8923</v>
      </c>
      <c r="F969" s="219"/>
      <c r="G969" s="220" t="s">
        <v>565</v>
      </c>
    </row>
    <row r="970" spans="2:7" ht="30" customHeight="1" thickBot="1" x14ac:dyDescent="0.3">
      <c r="B970" s="220">
        <v>1301</v>
      </c>
      <c r="C970" s="220" t="s">
        <v>3747</v>
      </c>
      <c r="D970" s="220" t="s">
        <v>3776</v>
      </c>
      <c r="E970" s="220" t="s">
        <v>7055</v>
      </c>
      <c r="F970" s="220" t="s">
        <v>3777</v>
      </c>
      <c r="G970" s="220" t="s">
        <v>565</v>
      </c>
    </row>
    <row r="971" spans="2:7" ht="30" customHeight="1" thickBot="1" x14ac:dyDescent="0.3">
      <c r="B971" s="220">
        <v>1302</v>
      </c>
      <c r="C971" s="220" t="s">
        <v>3747</v>
      </c>
      <c r="D971" s="220" t="s">
        <v>3778</v>
      </c>
      <c r="E971" s="220" t="s">
        <v>8924</v>
      </c>
      <c r="F971" s="220" t="s">
        <v>3779</v>
      </c>
      <c r="G971" s="220" t="s">
        <v>84</v>
      </c>
    </row>
    <row r="972" spans="2:7" ht="30" customHeight="1" thickBot="1" x14ac:dyDescent="0.3">
      <c r="B972" s="220">
        <v>1303</v>
      </c>
      <c r="C972" s="220" t="s">
        <v>3747</v>
      </c>
      <c r="D972" s="220" t="s">
        <v>3780</v>
      </c>
      <c r="E972" s="220" t="s">
        <v>8925</v>
      </c>
      <c r="F972" s="220" t="s">
        <v>3781</v>
      </c>
      <c r="G972" s="220" t="s">
        <v>565</v>
      </c>
    </row>
    <row r="973" spans="2:7" ht="30" customHeight="1" thickBot="1" x14ac:dyDescent="0.3">
      <c r="B973" s="220">
        <v>1304</v>
      </c>
      <c r="C973" s="220" t="s">
        <v>3747</v>
      </c>
      <c r="D973" s="220" t="s">
        <v>3782</v>
      </c>
      <c r="E973" s="220" t="s">
        <v>9292</v>
      </c>
      <c r="F973" s="220" t="s">
        <v>3783</v>
      </c>
      <c r="G973" s="220" t="s">
        <v>565</v>
      </c>
    </row>
    <row r="974" spans="2:7" ht="30" customHeight="1" thickBot="1" x14ac:dyDescent="0.3">
      <c r="B974" s="220">
        <v>1305</v>
      </c>
      <c r="C974" s="220" t="s">
        <v>3747</v>
      </c>
      <c r="D974" s="220" t="s">
        <v>3784</v>
      </c>
      <c r="E974" s="220" t="s">
        <v>8926</v>
      </c>
      <c r="F974" s="220" t="s">
        <v>9932</v>
      </c>
      <c r="G974" s="220" t="s">
        <v>565</v>
      </c>
    </row>
    <row r="975" spans="2:7" ht="30" customHeight="1" thickBot="1" x14ac:dyDescent="0.3">
      <c r="B975" s="220">
        <v>1306</v>
      </c>
      <c r="C975" s="220" t="s">
        <v>3747</v>
      </c>
      <c r="D975" s="220" t="s">
        <v>3785</v>
      </c>
      <c r="E975" s="220" t="s">
        <v>7540</v>
      </c>
      <c r="F975" s="220" t="s">
        <v>3786</v>
      </c>
      <c r="G975" s="220" t="s">
        <v>565</v>
      </c>
    </row>
    <row r="976" spans="2:7" ht="30" customHeight="1" thickBot="1" x14ac:dyDescent="0.3">
      <c r="B976" s="220">
        <v>1307</v>
      </c>
      <c r="C976" s="220" t="s">
        <v>3747</v>
      </c>
      <c r="D976" s="220" t="s">
        <v>3787</v>
      </c>
      <c r="E976" s="220" t="s">
        <v>7056</v>
      </c>
      <c r="F976" s="231" t="s">
        <v>3788</v>
      </c>
      <c r="G976" s="220" t="s">
        <v>565</v>
      </c>
    </row>
    <row r="977" spans="2:7" ht="30" customHeight="1" thickBot="1" x14ac:dyDescent="0.3">
      <c r="B977" s="223" t="s">
        <v>3789</v>
      </c>
      <c r="C977" s="223" t="s">
        <v>3790</v>
      </c>
      <c r="D977" s="223" t="s">
        <v>3791</v>
      </c>
      <c r="E977" s="223" t="s">
        <v>7951</v>
      </c>
      <c r="F977" s="223" t="s">
        <v>3792</v>
      </c>
      <c r="G977" s="223" t="s">
        <v>322</v>
      </c>
    </row>
    <row r="978" spans="2:7" ht="30" customHeight="1" thickBot="1" x14ac:dyDescent="0.3">
      <c r="B978" s="221" t="s">
        <v>3793</v>
      </c>
      <c r="C978" s="221" t="s">
        <v>3790</v>
      </c>
      <c r="D978" s="223" t="s">
        <v>9933</v>
      </c>
      <c r="E978" s="221" t="s">
        <v>8460</v>
      </c>
      <c r="F978" s="221" t="s">
        <v>3794</v>
      </c>
      <c r="G978" s="221" t="s">
        <v>322</v>
      </c>
    </row>
    <row r="979" spans="2:7" ht="30" customHeight="1" thickBot="1" x14ac:dyDescent="0.3">
      <c r="B979" s="221"/>
      <c r="C979" s="221"/>
      <c r="D979" s="223" t="s">
        <v>3795</v>
      </c>
      <c r="E979" s="221"/>
      <c r="F979" s="221"/>
      <c r="G979" s="221"/>
    </row>
    <row r="980" spans="2:7" ht="30" customHeight="1" thickBot="1" x14ac:dyDescent="0.3">
      <c r="B980" s="221" t="s">
        <v>3796</v>
      </c>
      <c r="C980" s="221" t="s">
        <v>3790</v>
      </c>
      <c r="D980" s="223" t="s">
        <v>3797</v>
      </c>
      <c r="E980" s="221" t="s">
        <v>8102</v>
      </c>
      <c r="F980" s="221" t="s">
        <v>3798</v>
      </c>
      <c r="G980" s="221" t="s">
        <v>322</v>
      </c>
    </row>
    <row r="981" spans="2:7" ht="30" customHeight="1" thickBot="1" x14ac:dyDescent="0.3">
      <c r="B981" s="221"/>
      <c r="C981" s="221"/>
      <c r="D981" s="225" t="s">
        <v>9934</v>
      </c>
      <c r="E981" s="221"/>
      <c r="F981" s="221"/>
      <c r="G981" s="221"/>
    </row>
    <row r="982" spans="2:7" ht="30" customHeight="1" thickBot="1" x14ac:dyDescent="0.3">
      <c r="B982" s="221"/>
      <c r="C982" s="221"/>
      <c r="D982" s="223" t="s">
        <v>9935</v>
      </c>
      <c r="E982" s="221"/>
      <c r="F982" s="221"/>
      <c r="G982" s="221"/>
    </row>
    <row r="983" spans="2:7" ht="30" customHeight="1" thickBot="1" x14ac:dyDescent="0.3">
      <c r="B983" s="221"/>
      <c r="C983" s="221"/>
      <c r="D983" s="223" t="s">
        <v>9936</v>
      </c>
      <c r="E983" s="221"/>
      <c r="F983" s="221"/>
      <c r="G983" s="221"/>
    </row>
    <row r="984" spans="2:7" ht="30" customHeight="1" thickBot="1" x14ac:dyDescent="0.3">
      <c r="B984" s="221" t="s">
        <v>3799</v>
      </c>
      <c r="C984" s="221" t="s">
        <v>3790</v>
      </c>
      <c r="D984" s="223" t="s">
        <v>9937</v>
      </c>
      <c r="E984" s="221" t="s">
        <v>3630</v>
      </c>
      <c r="F984" s="221" t="s">
        <v>3800</v>
      </c>
      <c r="G984" s="221" t="s">
        <v>322</v>
      </c>
    </row>
    <row r="985" spans="2:7" ht="30" customHeight="1" thickBot="1" x14ac:dyDescent="0.3">
      <c r="B985" s="221"/>
      <c r="C985" s="221"/>
      <c r="D985" s="223" t="s">
        <v>9938</v>
      </c>
      <c r="E985" s="221"/>
      <c r="F985" s="221"/>
      <c r="G985" s="221"/>
    </row>
    <row r="986" spans="2:7" ht="30" customHeight="1" thickBot="1" x14ac:dyDescent="0.3">
      <c r="B986" s="221" t="s">
        <v>3801</v>
      </c>
      <c r="C986" s="221" t="s">
        <v>3790</v>
      </c>
      <c r="D986" s="223" t="s">
        <v>9939</v>
      </c>
      <c r="E986" s="221" t="s">
        <v>9216</v>
      </c>
      <c r="F986" s="221" t="s">
        <v>3802</v>
      </c>
      <c r="G986" s="221" t="s">
        <v>322</v>
      </c>
    </row>
    <row r="987" spans="2:7" ht="30" customHeight="1" thickBot="1" x14ac:dyDescent="0.3">
      <c r="B987" s="221"/>
      <c r="C987" s="221"/>
      <c r="D987" s="223" t="s">
        <v>3803</v>
      </c>
      <c r="E987" s="221"/>
      <c r="F987" s="221"/>
      <c r="G987" s="221"/>
    </row>
    <row r="988" spans="2:7" ht="30" customHeight="1" thickBot="1" x14ac:dyDescent="0.3">
      <c r="B988" s="221"/>
      <c r="C988" s="221"/>
      <c r="D988" s="223" t="s">
        <v>9940</v>
      </c>
      <c r="E988" s="221"/>
      <c r="F988" s="221"/>
      <c r="G988" s="221"/>
    </row>
    <row r="989" spans="2:7" ht="30" customHeight="1" thickBot="1" x14ac:dyDescent="0.3">
      <c r="B989" s="221"/>
      <c r="C989" s="221"/>
      <c r="D989" s="223" t="s">
        <v>3804</v>
      </c>
      <c r="E989" s="221"/>
      <c r="F989" s="221"/>
      <c r="G989" s="221"/>
    </row>
    <row r="990" spans="2:7" ht="30" customHeight="1" thickBot="1" x14ac:dyDescent="0.3">
      <c r="B990" s="221"/>
      <c r="C990" s="221"/>
      <c r="D990" s="223" t="s">
        <v>3805</v>
      </c>
      <c r="E990" s="221"/>
      <c r="F990" s="221"/>
      <c r="G990" s="221"/>
    </row>
    <row r="991" spans="2:7" ht="30" customHeight="1" thickBot="1" x14ac:dyDescent="0.3">
      <c r="B991" s="221"/>
      <c r="C991" s="221"/>
      <c r="D991" s="223" t="s">
        <v>3806</v>
      </c>
      <c r="E991" s="221"/>
      <c r="F991" s="221"/>
      <c r="G991" s="221"/>
    </row>
    <row r="992" spans="2:7" ht="30" customHeight="1" thickBot="1" x14ac:dyDescent="0.3">
      <c r="B992" s="221"/>
      <c r="C992" s="221"/>
      <c r="D992" s="225" t="s">
        <v>3807</v>
      </c>
      <c r="E992" s="221"/>
      <c r="F992" s="221"/>
      <c r="G992" s="221"/>
    </row>
    <row r="993" spans="2:7" ht="30" customHeight="1" thickBot="1" x14ac:dyDescent="0.3">
      <c r="B993" s="221"/>
      <c r="C993" s="221"/>
      <c r="D993" s="223" t="s">
        <v>3808</v>
      </c>
      <c r="E993" s="221"/>
      <c r="F993" s="221"/>
      <c r="G993" s="221"/>
    </row>
    <row r="994" spans="2:7" ht="30" customHeight="1" thickBot="1" x14ac:dyDescent="0.3">
      <c r="B994" s="221" t="s">
        <v>3809</v>
      </c>
      <c r="C994" s="221" t="s">
        <v>3790</v>
      </c>
      <c r="D994" s="223" t="s">
        <v>9941</v>
      </c>
      <c r="E994" s="221" t="s">
        <v>8711</v>
      </c>
      <c r="F994" s="221" t="s">
        <v>3810</v>
      </c>
      <c r="G994" s="221" t="s">
        <v>322</v>
      </c>
    </row>
    <row r="995" spans="2:7" ht="30" customHeight="1" thickBot="1" x14ac:dyDescent="0.3">
      <c r="B995" s="221"/>
      <c r="C995" s="221"/>
      <c r="D995" s="223" t="s">
        <v>3811</v>
      </c>
      <c r="E995" s="221"/>
      <c r="F995" s="221"/>
      <c r="G995" s="221"/>
    </row>
    <row r="996" spans="2:7" ht="30" customHeight="1" thickBot="1" x14ac:dyDescent="0.3">
      <c r="B996" s="221" t="s">
        <v>3812</v>
      </c>
      <c r="C996" s="221" t="s">
        <v>3790</v>
      </c>
      <c r="D996" s="223" t="s">
        <v>9942</v>
      </c>
      <c r="E996" s="221" t="s">
        <v>7952</v>
      </c>
      <c r="F996" s="221" t="s">
        <v>3813</v>
      </c>
      <c r="G996" s="221" t="s">
        <v>322</v>
      </c>
    </row>
    <row r="997" spans="2:7" ht="30" customHeight="1" thickBot="1" x14ac:dyDescent="0.3">
      <c r="B997" s="221"/>
      <c r="C997" s="221"/>
      <c r="D997" s="223" t="s">
        <v>3814</v>
      </c>
      <c r="E997" s="221"/>
      <c r="F997" s="221"/>
      <c r="G997" s="221"/>
    </row>
    <row r="998" spans="2:7" ht="30" customHeight="1" thickBot="1" x14ac:dyDescent="0.3">
      <c r="B998" s="221" t="s">
        <v>3815</v>
      </c>
      <c r="C998" s="221" t="s">
        <v>3790</v>
      </c>
      <c r="D998" s="223" t="s">
        <v>3816</v>
      </c>
      <c r="E998" s="221" t="s">
        <v>8712</v>
      </c>
      <c r="F998" s="221" t="s">
        <v>3817</v>
      </c>
      <c r="G998" s="221" t="s">
        <v>322</v>
      </c>
    </row>
    <row r="999" spans="2:7" ht="30" customHeight="1" thickBot="1" x14ac:dyDescent="0.3">
      <c r="B999" s="221"/>
      <c r="C999" s="221"/>
      <c r="D999" s="223" t="s">
        <v>3818</v>
      </c>
      <c r="E999" s="221"/>
      <c r="F999" s="221"/>
      <c r="G999" s="221"/>
    </row>
    <row r="1000" spans="2:7" ht="30" customHeight="1" thickBot="1" x14ac:dyDescent="0.3">
      <c r="B1000" s="221" t="s">
        <v>3819</v>
      </c>
      <c r="C1000" s="221" t="s">
        <v>3790</v>
      </c>
      <c r="D1000" s="223" t="s">
        <v>3820</v>
      </c>
      <c r="E1000" s="221" t="s">
        <v>8519</v>
      </c>
      <c r="F1000" s="221" t="s">
        <v>3821</v>
      </c>
      <c r="G1000" s="221" t="s">
        <v>322</v>
      </c>
    </row>
    <row r="1001" spans="2:7" ht="30" customHeight="1" thickBot="1" x14ac:dyDescent="0.3">
      <c r="B1001" s="221"/>
      <c r="C1001" s="221"/>
      <c r="D1001" s="223" t="s">
        <v>3822</v>
      </c>
      <c r="E1001" s="221"/>
      <c r="F1001" s="221"/>
      <c r="G1001" s="221"/>
    </row>
    <row r="1002" spans="2:7" ht="30" customHeight="1" thickBot="1" x14ac:dyDescent="0.3">
      <c r="B1002" s="221"/>
      <c r="C1002" s="221"/>
      <c r="D1002" s="223" t="s">
        <v>3823</v>
      </c>
      <c r="E1002" s="221"/>
      <c r="F1002" s="221"/>
      <c r="G1002" s="221"/>
    </row>
    <row r="1003" spans="2:7" ht="30" customHeight="1" thickBot="1" x14ac:dyDescent="0.3">
      <c r="B1003" s="221"/>
      <c r="C1003" s="221"/>
      <c r="D1003" s="223" t="s">
        <v>3824</v>
      </c>
      <c r="E1003" s="221"/>
      <c r="F1003" s="221"/>
      <c r="G1003" s="221"/>
    </row>
    <row r="1004" spans="2:7" ht="30" customHeight="1" thickBot="1" x14ac:dyDescent="0.3">
      <c r="B1004" s="221" t="s">
        <v>3825</v>
      </c>
      <c r="C1004" s="221" t="s">
        <v>3790</v>
      </c>
      <c r="D1004" s="223" t="s">
        <v>9943</v>
      </c>
      <c r="E1004" s="221" t="s">
        <v>7233</v>
      </c>
      <c r="F1004" s="221" t="s">
        <v>3826</v>
      </c>
      <c r="G1004" s="221" t="s">
        <v>322</v>
      </c>
    </row>
    <row r="1005" spans="2:7" ht="30" customHeight="1" thickBot="1" x14ac:dyDescent="0.3">
      <c r="B1005" s="221"/>
      <c r="C1005" s="221"/>
      <c r="D1005" s="223" t="s">
        <v>3827</v>
      </c>
      <c r="E1005" s="221"/>
      <c r="F1005" s="221"/>
      <c r="G1005" s="221"/>
    </row>
    <row r="1006" spans="2:7" ht="30" customHeight="1" thickBot="1" x14ac:dyDescent="0.3">
      <c r="B1006" s="221" t="s">
        <v>3828</v>
      </c>
      <c r="C1006" s="221" t="s">
        <v>3790</v>
      </c>
      <c r="D1006" s="223" t="s">
        <v>9944</v>
      </c>
      <c r="E1006" s="221" t="s">
        <v>7377</v>
      </c>
      <c r="F1006" s="221" t="s">
        <v>3829</v>
      </c>
      <c r="G1006" s="221" t="s">
        <v>322</v>
      </c>
    </row>
    <row r="1007" spans="2:7" ht="30" customHeight="1" thickBot="1" x14ac:dyDescent="0.3">
      <c r="B1007" s="221"/>
      <c r="C1007" s="221"/>
      <c r="D1007" s="223" t="s">
        <v>3830</v>
      </c>
      <c r="E1007" s="221"/>
      <c r="F1007" s="221"/>
      <c r="G1007" s="221"/>
    </row>
    <row r="1008" spans="2:7" ht="30" customHeight="1" thickBot="1" x14ac:dyDescent="0.3">
      <c r="B1008" s="221"/>
      <c r="C1008" s="221"/>
      <c r="D1008" s="223" t="s">
        <v>3831</v>
      </c>
      <c r="E1008" s="221"/>
      <c r="F1008" s="221"/>
      <c r="G1008" s="221"/>
    </row>
    <row r="1009" spans="2:7" ht="30" customHeight="1" thickBot="1" x14ac:dyDescent="0.3">
      <c r="B1009" s="221"/>
      <c r="C1009" s="221"/>
      <c r="D1009" s="223" t="s">
        <v>3832</v>
      </c>
      <c r="E1009" s="221"/>
      <c r="F1009" s="221"/>
      <c r="G1009" s="221"/>
    </row>
    <row r="1010" spans="2:7" ht="30" customHeight="1" thickBot="1" x14ac:dyDescent="0.3">
      <c r="B1010" s="221" t="s">
        <v>3833</v>
      </c>
      <c r="C1010" s="221" t="s">
        <v>3790</v>
      </c>
      <c r="D1010" s="223" t="s">
        <v>9945</v>
      </c>
      <c r="E1010" s="221" t="s">
        <v>3834</v>
      </c>
      <c r="F1010" s="221" t="s">
        <v>3835</v>
      </c>
      <c r="G1010" s="221" t="s">
        <v>322</v>
      </c>
    </row>
    <row r="1011" spans="2:7" ht="30" customHeight="1" thickBot="1" x14ac:dyDescent="0.3">
      <c r="B1011" s="221"/>
      <c r="C1011" s="221"/>
      <c r="D1011" s="223" t="s">
        <v>3836</v>
      </c>
      <c r="E1011" s="221"/>
      <c r="F1011" s="221"/>
      <c r="G1011" s="221"/>
    </row>
    <row r="1012" spans="2:7" ht="30" customHeight="1" thickBot="1" x14ac:dyDescent="0.3">
      <c r="B1012" s="221" t="s">
        <v>3837</v>
      </c>
      <c r="C1012" s="221" t="s">
        <v>3790</v>
      </c>
      <c r="D1012" s="223" t="s">
        <v>9946</v>
      </c>
      <c r="E1012" s="221" t="s">
        <v>3838</v>
      </c>
      <c r="F1012" s="221" t="s">
        <v>3839</v>
      </c>
      <c r="G1012" s="221" t="s">
        <v>322</v>
      </c>
    </row>
    <row r="1013" spans="2:7" ht="30" customHeight="1" thickBot="1" x14ac:dyDescent="0.3">
      <c r="B1013" s="221"/>
      <c r="C1013" s="221"/>
      <c r="D1013" s="223" t="s">
        <v>3840</v>
      </c>
      <c r="E1013" s="221"/>
      <c r="F1013" s="221"/>
      <c r="G1013" s="221"/>
    </row>
    <row r="1014" spans="2:7" ht="30" customHeight="1" thickBot="1" x14ac:dyDescent="0.3">
      <c r="B1014" s="221"/>
      <c r="C1014" s="221"/>
      <c r="D1014" s="223" t="s">
        <v>3841</v>
      </c>
      <c r="E1014" s="221"/>
      <c r="F1014" s="221"/>
      <c r="G1014" s="221"/>
    </row>
    <row r="1015" spans="2:7" ht="30" customHeight="1" thickBot="1" x14ac:dyDescent="0.3">
      <c r="B1015" s="221"/>
      <c r="C1015" s="221"/>
      <c r="D1015" s="223" t="s">
        <v>9947</v>
      </c>
      <c r="E1015" s="221"/>
      <c r="F1015" s="221"/>
      <c r="G1015" s="221"/>
    </row>
    <row r="1016" spans="2:7" ht="30" customHeight="1" thickBot="1" x14ac:dyDescent="0.3">
      <c r="B1016" s="221"/>
      <c r="C1016" s="221"/>
      <c r="D1016" s="223" t="s">
        <v>3842</v>
      </c>
      <c r="E1016" s="221"/>
      <c r="F1016" s="221"/>
      <c r="G1016" s="221"/>
    </row>
    <row r="1017" spans="2:7" ht="30" customHeight="1" thickBot="1" x14ac:dyDescent="0.3">
      <c r="B1017" s="221" t="s">
        <v>3843</v>
      </c>
      <c r="C1017" s="221" t="s">
        <v>3790</v>
      </c>
      <c r="D1017" s="223" t="s">
        <v>9948</v>
      </c>
      <c r="E1017" s="221" t="s">
        <v>7234</v>
      </c>
      <c r="F1017" s="221" t="s">
        <v>3844</v>
      </c>
      <c r="G1017" s="221" t="s">
        <v>322</v>
      </c>
    </row>
    <row r="1018" spans="2:7" ht="30" customHeight="1" thickBot="1" x14ac:dyDescent="0.3">
      <c r="B1018" s="221"/>
      <c r="C1018" s="221"/>
      <c r="D1018" s="223" t="s">
        <v>3845</v>
      </c>
      <c r="E1018" s="221"/>
      <c r="F1018" s="221"/>
      <c r="G1018" s="221"/>
    </row>
    <row r="1019" spans="2:7" ht="30" customHeight="1" thickBot="1" x14ac:dyDescent="0.3">
      <c r="B1019" s="221" t="s">
        <v>3846</v>
      </c>
      <c r="C1019" s="221" t="s">
        <v>3790</v>
      </c>
      <c r="D1019" s="223" t="s">
        <v>3847</v>
      </c>
      <c r="E1019" s="221" t="s">
        <v>7378</v>
      </c>
      <c r="F1019" s="221" t="s">
        <v>3848</v>
      </c>
      <c r="G1019" s="221" t="s">
        <v>322</v>
      </c>
    </row>
    <row r="1020" spans="2:7" ht="30" customHeight="1" thickBot="1" x14ac:dyDescent="0.3">
      <c r="B1020" s="221"/>
      <c r="C1020" s="221"/>
      <c r="D1020" s="223" t="s">
        <v>3849</v>
      </c>
      <c r="E1020" s="221"/>
      <c r="F1020" s="221"/>
      <c r="G1020" s="221"/>
    </row>
    <row r="1021" spans="2:7" ht="30" customHeight="1" thickBot="1" x14ac:dyDescent="0.3">
      <c r="B1021" s="221"/>
      <c r="C1021" s="221"/>
      <c r="D1021" s="223" t="s">
        <v>3850</v>
      </c>
      <c r="E1021" s="221"/>
      <c r="F1021" s="221"/>
      <c r="G1021" s="221"/>
    </row>
    <row r="1022" spans="2:7" ht="30" customHeight="1" thickBot="1" x14ac:dyDescent="0.3">
      <c r="B1022" s="221"/>
      <c r="C1022" s="221"/>
      <c r="D1022" s="223" t="s">
        <v>3851</v>
      </c>
      <c r="E1022" s="221"/>
      <c r="F1022" s="221"/>
      <c r="G1022" s="221"/>
    </row>
    <row r="1023" spans="2:7" ht="30" customHeight="1" thickBot="1" x14ac:dyDescent="0.3">
      <c r="B1023" s="221" t="s">
        <v>3852</v>
      </c>
      <c r="C1023" s="221" t="s">
        <v>3790</v>
      </c>
      <c r="D1023" s="223" t="s">
        <v>9949</v>
      </c>
      <c r="E1023" s="221" t="s">
        <v>8713</v>
      </c>
      <c r="F1023" s="221" t="s">
        <v>3853</v>
      </c>
      <c r="G1023" s="221" t="s">
        <v>322</v>
      </c>
    </row>
    <row r="1024" spans="2:7" ht="30" customHeight="1" thickBot="1" x14ac:dyDescent="0.3">
      <c r="B1024" s="221"/>
      <c r="C1024" s="221"/>
      <c r="D1024" s="223" t="s">
        <v>3854</v>
      </c>
      <c r="E1024" s="221"/>
      <c r="F1024" s="221"/>
      <c r="G1024" s="221"/>
    </row>
    <row r="1025" spans="2:7" ht="30" customHeight="1" thickBot="1" x14ac:dyDescent="0.3">
      <c r="B1025" s="221"/>
      <c r="C1025" s="221"/>
      <c r="D1025" s="223" t="s">
        <v>3855</v>
      </c>
      <c r="E1025" s="221"/>
      <c r="F1025" s="221"/>
      <c r="G1025" s="221"/>
    </row>
    <row r="1026" spans="2:7" ht="30" customHeight="1" thickBot="1" x14ac:dyDescent="0.3">
      <c r="B1026" s="221" t="s">
        <v>3856</v>
      </c>
      <c r="C1026" s="221" t="s">
        <v>3790</v>
      </c>
      <c r="D1026" s="223" t="s">
        <v>9950</v>
      </c>
      <c r="E1026" s="221" t="s">
        <v>8714</v>
      </c>
      <c r="F1026" s="221" t="s">
        <v>3857</v>
      </c>
      <c r="G1026" s="221" t="s">
        <v>322</v>
      </c>
    </row>
    <row r="1027" spans="2:7" ht="30" customHeight="1" thickBot="1" x14ac:dyDescent="0.3">
      <c r="B1027" s="221"/>
      <c r="C1027" s="221"/>
      <c r="D1027" s="223" t="s">
        <v>3858</v>
      </c>
      <c r="E1027" s="221"/>
      <c r="F1027" s="221"/>
      <c r="G1027" s="221"/>
    </row>
    <row r="1028" spans="2:7" ht="74.25" customHeight="1" thickBot="1" x14ac:dyDescent="0.3">
      <c r="B1028" s="223" t="s">
        <v>3859</v>
      </c>
      <c r="C1028" s="223" t="s">
        <v>3790</v>
      </c>
      <c r="D1028" s="223" t="s">
        <v>3860</v>
      </c>
      <c r="E1028" s="223" t="s">
        <v>9033</v>
      </c>
      <c r="F1028" s="223" t="s">
        <v>3861</v>
      </c>
      <c r="G1028" s="223" t="s">
        <v>322</v>
      </c>
    </row>
    <row r="1029" spans="2:7" ht="30" customHeight="1" thickBot="1" x14ac:dyDescent="0.3">
      <c r="B1029" s="223" t="s">
        <v>3862</v>
      </c>
      <c r="C1029" s="223" t="s">
        <v>3790</v>
      </c>
      <c r="D1029" s="223" t="s">
        <v>3863</v>
      </c>
      <c r="E1029" s="223" t="s">
        <v>8715</v>
      </c>
      <c r="F1029" s="223" t="s">
        <v>3864</v>
      </c>
      <c r="G1029" s="223" t="s">
        <v>322</v>
      </c>
    </row>
    <row r="1030" spans="2:7" ht="30" customHeight="1" thickBot="1" x14ac:dyDescent="0.3">
      <c r="B1030" s="223" t="s">
        <v>3865</v>
      </c>
      <c r="C1030" s="223" t="s">
        <v>3790</v>
      </c>
      <c r="D1030" s="223" t="s">
        <v>3866</v>
      </c>
      <c r="E1030" s="218" t="s">
        <v>7999</v>
      </c>
      <c r="F1030" s="223" t="s">
        <v>3867</v>
      </c>
      <c r="G1030" s="223" t="s">
        <v>565</v>
      </c>
    </row>
    <row r="1031" spans="2:7" ht="30" customHeight="1" thickBot="1" x14ac:dyDescent="0.3">
      <c r="B1031" s="223" t="s">
        <v>3868</v>
      </c>
      <c r="C1031" s="223" t="s">
        <v>3790</v>
      </c>
      <c r="D1031" s="223" t="s">
        <v>3869</v>
      </c>
      <c r="E1031" s="218" t="s">
        <v>8000</v>
      </c>
      <c r="F1031" s="223" t="s">
        <v>3870</v>
      </c>
      <c r="G1031" s="223" t="s">
        <v>565</v>
      </c>
    </row>
    <row r="1032" spans="2:7" ht="30" customHeight="1" thickBot="1" x14ac:dyDescent="0.3">
      <c r="B1032" s="221" t="s">
        <v>3871</v>
      </c>
      <c r="C1032" s="221" t="s">
        <v>3790</v>
      </c>
      <c r="D1032" s="223" t="s">
        <v>3872</v>
      </c>
      <c r="E1032" s="224" t="s">
        <v>7257</v>
      </c>
      <c r="F1032" s="221" t="s">
        <v>3873</v>
      </c>
      <c r="G1032" s="221" t="s">
        <v>565</v>
      </c>
    </row>
    <row r="1033" spans="2:7" ht="30" customHeight="1" thickBot="1" x14ac:dyDescent="0.3">
      <c r="B1033" s="221"/>
      <c r="C1033" s="221"/>
      <c r="D1033" s="223" t="s">
        <v>3874</v>
      </c>
      <c r="E1033" s="224"/>
      <c r="F1033" s="221"/>
      <c r="G1033" s="221"/>
    </row>
    <row r="1034" spans="2:7" ht="30" customHeight="1" thickBot="1" x14ac:dyDescent="0.3">
      <c r="B1034" s="221"/>
      <c r="C1034" s="221"/>
      <c r="D1034" s="223" t="s">
        <v>3875</v>
      </c>
      <c r="E1034" s="224"/>
      <c r="F1034" s="221"/>
      <c r="G1034" s="221"/>
    </row>
    <row r="1035" spans="2:7" ht="30" customHeight="1" thickBot="1" x14ac:dyDescent="0.3">
      <c r="B1035" s="221"/>
      <c r="C1035" s="221"/>
      <c r="D1035" s="223" t="s">
        <v>3876</v>
      </c>
      <c r="E1035" s="224"/>
      <c r="F1035" s="221"/>
      <c r="G1035" s="221"/>
    </row>
    <row r="1036" spans="2:7" ht="30" customHeight="1" thickBot="1" x14ac:dyDescent="0.3">
      <c r="B1036" s="221"/>
      <c r="C1036" s="221"/>
      <c r="D1036" s="223" t="s">
        <v>3877</v>
      </c>
      <c r="E1036" s="224"/>
      <c r="F1036" s="221"/>
      <c r="G1036" s="221"/>
    </row>
    <row r="1037" spans="2:7" ht="30" customHeight="1" thickBot="1" x14ac:dyDescent="0.3">
      <c r="B1037" s="221" t="s">
        <v>3878</v>
      </c>
      <c r="C1037" s="221" t="s">
        <v>3790</v>
      </c>
      <c r="D1037" s="223" t="s">
        <v>3879</v>
      </c>
      <c r="E1037" s="224" t="s">
        <v>8001</v>
      </c>
      <c r="F1037" s="221" t="s">
        <v>3867</v>
      </c>
      <c r="G1037" s="221" t="s">
        <v>565</v>
      </c>
    </row>
    <row r="1038" spans="2:7" ht="30" customHeight="1" thickBot="1" x14ac:dyDescent="0.3">
      <c r="B1038" s="221"/>
      <c r="C1038" s="221"/>
      <c r="D1038" s="223" t="s">
        <v>3880</v>
      </c>
      <c r="E1038" s="224"/>
      <c r="F1038" s="221"/>
      <c r="G1038" s="221"/>
    </row>
    <row r="1039" spans="2:7" ht="30" customHeight="1" thickBot="1" x14ac:dyDescent="0.3">
      <c r="B1039" s="221"/>
      <c r="C1039" s="221"/>
      <c r="D1039" s="223" t="s">
        <v>3881</v>
      </c>
      <c r="E1039" s="224"/>
      <c r="F1039" s="221"/>
      <c r="G1039" s="221"/>
    </row>
    <row r="1040" spans="2:7" ht="30" customHeight="1" thickBot="1" x14ac:dyDescent="0.3">
      <c r="B1040" s="221"/>
      <c r="C1040" s="221"/>
      <c r="D1040" s="223" t="s">
        <v>3882</v>
      </c>
      <c r="E1040" s="224"/>
      <c r="F1040" s="221"/>
      <c r="G1040" s="221"/>
    </row>
    <row r="1041" spans="2:7" ht="30" customHeight="1" thickBot="1" x14ac:dyDescent="0.3">
      <c r="B1041" s="221"/>
      <c r="C1041" s="221"/>
      <c r="D1041" s="223" t="s">
        <v>3883</v>
      </c>
      <c r="E1041" s="224"/>
      <c r="F1041" s="221"/>
      <c r="G1041" s="221"/>
    </row>
    <row r="1042" spans="2:7" ht="30" customHeight="1" thickBot="1" x14ac:dyDescent="0.3">
      <c r="B1042" s="223" t="s">
        <v>3884</v>
      </c>
      <c r="C1042" s="223" t="s">
        <v>3790</v>
      </c>
      <c r="D1042" s="223" t="s">
        <v>3885</v>
      </c>
      <c r="E1042" s="218" t="s">
        <v>7186</v>
      </c>
      <c r="F1042" s="223" t="s">
        <v>3886</v>
      </c>
      <c r="G1042" s="223" t="s">
        <v>565</v>
      </c>
    </row>
    <row r="1043" spans="2:7" ht="30" customHeight="1" thickBot="1" x14ac:dyDescent="0.3">
      <c r="B1043" s="223" t="s">
        <v>3887</v>
      </c>
      <c r="C1043" s="223" t="s">
        <v>3790</v>
      </c>
      <c r="D1043" s="223" t="s">
        <v>3888</v>
      </c>
      <c r="E1043" s="218" t="s">
        <v>8002</v>
      </c>
      <c r="F1043" s="223" t="s">
        <v>2198</v>
      </c>
      <c r="G1043" s="223" t="s">
        <v>565</v>
      </c>
    </row>
    <row r="1044" spans="2:7" ht="30" customHeight="1" thickBot="1" x14ac:dyDescent="0.3">
      <c r="B1044" s="223" t="s">
        <v>3889</v>
      </c>
      <c r="C1044" s="223" t="s">
        <v>3790</v>
      </c>
      <c r="D1044" s="223" t="s">
        <v>3890</v>
      </c>
      <c r="E1044" s="218" t="s">
        <v>7704</v>
      </c>
      <c r="F1044" s="223" t="s">
        <v>2198</v>
      </c>
      <c r="G1044" s="223" t="s">
        <v>565</v>
      </c>
    </row>
    <row r="1045" spans="2:7" ht="30" customHeight="1" thickBot="1" x14ac:dyDescent="0.3">
      <c r="B1045" s="223" t="s">
        <v>3891</v>
      </c>
      <c r="C1045" s="223" t="s">
        <v>3790</v>
      </c>
      <c r="D1045" s="223" t="s">
        <v>3892</v>
      </c>
      <c r="E1045" s="218" t="s">
        <v>8243</v>
      </c>
      <c r="F1045" s="223" t="s">
        <v>3893</v>
      </c>
      <c r="G1045" s="223" t="s">
        <v>565</v>
      </c>
    </row>
    <row r="1046" spans="2:7" ht="30" customHeight="1" thickBot="1" x14ac:dyDescent="0.3">
      <c r="B1046" s="223" t="s">
        <v>3894</v>
      </c>
      <c r="C1046" s="223" t="s">
        <v>3790</v>
      </c>
      <c r="D1046" s="223" t="s">
        <v>3895</v>
      </c>
      <c r="E1046" s="218" t="s">
        <v>8003</v>
      </c>
      <c r="F1046" s="223" t="s">
        <v>3893</v>
      </c>
      <c r="G1046" s="223" t="s">
        <v>565</v>
      </c>
    </row>
    <row r="1047" spans="2:7" ht="30" customHeight="1" thickBot="1" x14ac:dyDescent="0.3">
      <c r="B1047" s="223" t="s">
        <v>3896</v>
      </c>
      <c r="C1047" s="223" t="s">
        <v>3790</v>
      </c>
      <c r="D1047" s="223" t="s">
        <v>3897</v>
      </c>
      <c r="E1047" s="218" t="s">
        <v>9293</v>
      </c>
      <c r="F1047" s="223" t="s">
        <v>3893</v>
      </c>
      <c r="G1047" s="223" t="s">
        <v>565</v>
      </c>
    </row>
    <row r="1048" spans="2:7" ht="30" customHeight="1" thickBot="1" x14ac:dyDescent="0.3">
      <c r="B1048" s="223" t="s">
        <v>3898</v>
      </c>
      <c r="C1048" s="223" t="s">
        <v>3790</v>
      </c>
      <c r="D1048" s="223" t="s">
        <v>3899</v>
      </c>
      <c r="E1048" s="218" t="s">
        <v>7258</v>
      </c>
      <c r="F1048" s="223" t="s">
        <v>3893</v>
      </c>
      <c r="G1048" s="223" t="s">
        <v>565</v>
      </c>
    </row>
    <row r="1049" spans="2:7" ht="30" customHeight="1" thickBot="1" x14ac:dyDescent="0.3">
      <c r="B1049" s="223" t="s">
        <v>3900</v>
      </c>
      <c r="C1049" s="223" t="s">
        <v>3790</v>
      </c>
      <c r="D1049" s="223" t="s">
        <v>3901</v>
      </c>
      <c r="E1049" s="218" t="s">
        <v>7259</v>
      </c>
      <c r="F1049" s="223" t="s">
        <v>346</v>
      </c>
      <c r="G1049" s="223" t="s">
        <v>1608</v>
      </c>
    </row>
    <row r="1050" spans="2:7" ht="30" customHeight="1" thickBot="1" x14ac:dyDescent="0.3">
      <c r="B1050" s="221" t="s">
        <v>3902</v>
      </c>
      <c r="C1050" s="221" t="s">
        <v>3790</v>
      </c>
      <c r="D1050" s="223" t="s">
        <v>3903</v>
      </c>
      <c r="E1050" s="224" t="s">
        <v>7518</v>
      </c>
      <c r="F1050" s="221" t="s">
        <v>3904</v>
      </c>
      <c r="G1050" s="221" t="s">
        <v>322</v>
      </c>
    </row>
    <row r="1051" spans="2:7" ht="30" customHeight="1" thickBot="1" x14ac:dyDescent="0.3">
      <c r="B1051" s="221"/>
      <c r="C1051" s="221"/>
      <c r="D1051" s="223" t="s">
        <v>3905</v>
      </c>
      <c r="E1051" s="224"/>
      <c r="F1051" s="221"/>
      <c r="G1051" s="221"/>
    </row>
    <row r="1052" spans="2:7" ht="30" customHeight="1" thickBot="1" x14ac:dyDescent="0.3">
      <c r="B1052" s="221" t="s">
        <v>3906</v>
      </c>
      <c r="C1052" s="221" t="s">
        <v>3790</v>
      </c>
      <c r="D1052" s="223" t="s">
        <v>3907</v>
      </c>
      <c r="E1052" s="224" t="s">
        <v>9294</v>
      </c>
      <c r="F1052" s="221" t="s">
        <v>2198</v>
      </c>
      <c r="G1052" s="221" t="s">
        <v>40</v>
      </c>
    </row>
    <row r="1053" spans="2:7" ht="30" customHeight="1" thickBot="1" x14ac:dyDescent="0.3">
      <c r="B1053" s="221"/>
      <c r="C1053" s="221"/>
      <c r="D1053" s="223" t="s">
        <v>3908</v>
      </c>
      <c r="E1053" s="224"/>
      <c r="F1053" s="221"/>
      <c r="G1053" s="221"/>
    </row>
    <row r="1054" spans="2:7" ht="30" customHeight="1" thickBot="1" x14ac:dyDescent="0.3">
      <c r="B1054" s="221" t="s">
        <v>3909</v>
      </c>
      <c r="C1054" s="221" t="s">
        <v>3790</v>
      </c>
      <c r="D1054" s="223" t="s">
        <v>9951</v>
      </c>
      <c r="E1054" s="221" t="s">
        <v>7953</v>
      </c>
      <c r="F1054" s="221" t="s">
        <v>3910</v>
      </c>
      <c r="G1054" s="221" t="s">
        <v>322</v>
      </c>
    </row>
    <row r="1055" spans="2:7" ht="30" customHeight="1" thickBot="1" x14ac:dyDescent="0.3">
      <c r="B1055" s="221"/>
      <c r="C1055" s="221"/>
      <c r="D1055" s="223" t="s">
        <v>3911</v>
      </c>
      <c r="E1055" s="221"/>
      <c r="F1055" s="221"/>
      <c r="G1055" s="221"/>
    </row>
    <row r="1056" spans="2:7" ht="30" customHeight="1" thickBot="1" x14ac:dyDescent="0.3">
      <c r="B1056" s="223" t="s">
        <v>3912</v>
      </c>
      <c r="C1056" s="223" t="s">
        <v>3790</v>
      </c>
      <c r="D1056" s="223" t="s">
        <v>9952</v>
      </c>
      <c r="E1056" s="223" t="s">
        <v>8716</v>
      </c>
      <c r="F1056" s="223" t="s">
        <v>3913</v>
      </c>
      <c r="G1056" s="223" t="s">
        <v>322</v>
      </c>
    </row>
    <row r="1057" spans="2:7" ht="30" customHeight="1" thickBot="1" x14ac:dyDescent="0.3">
      <c r="B1057" s="221" t="s">
        <v>3914</v>
      </c>
      <c r="C1057" s="221" t="s">
        <v>3790</v>
      </c>
      <c r="D1057" s="223" t="s">
        <v>3915</v>
      </c>
      <c r="E1057" s="221" t="s">
        <v>8462</v>
      </c>
      <c r="F1057" s="221" t="s">
        <v>3916</v>
      </c>
      <c r="G1057" s="221" t="s">
        <v>322</v>
      </c>
    </row>
    <row r="1058" spans="2:7" ht="30" customHeight="1" thickBot="1" x14ac:dyDescent="0.3">
      <c r="B1058" s="221"/>
      <c r="C1058" s="221"/>
      <c r="D1058" s="223" t="s">
        <v>3917</v>
      </c>
      <c r="E1058" s="221"/>
      <c r="F1058" s="221"/>
      <c r="G1058" s="221"/>
    </row>
    <row r="1059" spans="2:7" ht="30" customHeight="1" thickBot="1" x14ac:dyDescent="0.3">
      <c r="B1059" s="223" t="s">
        <v>3918</v>
      </c>
      <c r="C1059" s="223" t="s">
        <v>3790</v>
      </c>
      <c r="D1059" s="223" t="s">
        <v>3919</v>
      </c>
      <c r="E1059" s="223" t="s">
        <v>7705</v>
      </c>
      <c r="F1059" s="223" t="s">
        <v>3920</v>
      </c>
      <c r="G1059" s="223" t="s">
        <v>322</v>
      </c>
    </row>
    <row r="1060" spans="2:7" ht="30" customHeight="1" thickBot="1" x14ac:dyDescent="0.3">
      <c r="B1060" s="223" t="s">
        <v>3921</v>
      </c>
      <c r="C1060" s="223" t="s">
        <v>3790</v>
      </c>
      <c r="D1060" s="223" t="s">
        <v>9953</v>
      </c>
      <c r="E1060" s="223" t="s">
        <v>9034</v>
      </c>
      <c r="F1060" s="223" t="s">
        <v>3922</v>
      </c>
      <c r="G1060" s="223" t="s">
        <v>322</v>
      </c>
    </row>
    <row r="1061" spans="2:7" ht="30" customHeight="1" thickBot="1" x14ac:dyDescent="0.3">
      <c r="B1061" s="223" t="s">
        <v>3923</v>
      </c>
      <c r="C1061" s="223" t="s">
        <v>3790</v>
      </c>
      <c r="D1061" s="223" t="s">
        <v>9954</v>
      </c>
      <c r="E1061" s="223" t="s">
        <v>7187</v>
      </c>
      <c r="F1061" s="223" t="s">
        <v>3924</v>
      </c>
      <c r="G1061" s="223" t="s">
        <v>322</v>
      </c>
    </row>
    <row r="1062" spans="2:7" ht="30" customHeight="1" thickBot="1" x14ac:dyDescent="0.3">
      <c r="B1062" s="221" t="s">
        <v>3925</v>
      </c>
      <c r="C1062" s="221" t="s">
        <v>3790</v>
      </c>
      <c r="D1062" s="223" t="s">
        <v>9955</v>
      </c>
      <c r="E1062" s="221" t="s">
        <v>7188</v>
      </c>
      <c r="F1062" s="221" t="s">
        <v>3924</v>
      </c>
      <c r="G1062" s="221" t="s">
        <v>322</v>
      </c>
    </row>
    <row r="1063" spans="2:7" ht="30" customHeight="1" thickBot="1" x14ac:dyDescent="0.3">
      <c r="B1063" s="221"/>
      <c r="C1063" s="221"/>
      <c r="D1063" s="223" t="s">
        <v>3926</v>
      </c>
      <c r="E1063" s="221"/>
      <c r="F1063" s="221"/>
      <c r="G1063" s="221"/>
    </row>
    <row r="1064" spans="2:7" ht="30" customHeight="1" thickBot="1" x14ac:dyDescent="0.3">
      <c r="B1064" s="221" t="s">
        <v>3927</v>
      </c>
      <c r="C1064" s="221" t="s">
        <v>3790</v>
      </c>
      <c r="D1064" s="223" t="s">
        <v>3928</v>
      </c>
      <c r="E1064" s="221" t="s">
        <v>7189</v>
      </c>
      <c r="F1064" s="221" t="s">
        <v>3924</v>
      </c>
      <c r="G1064" s="221" t="s">
        <v>322</v>
      </c>
    </row>
    <row r="1065" spans="2:7" ht="30" customHeight="1" thickBot="1" x14ac:dyDescent="0.3">
      <c r="B1065" s="221"/>
      <c r="C1065" s="221"/>
      <c r="D1065" s="223" t="s">
        <v>3929</v>
      </c>
      <c r="E1065" s="221"/>
      <c r="F1065" s="221"/>
      <c r="G1065" s="221"/>
    </row>
    <row r="1066" spans="2:7" ht="30" customHeight="1" thickBot="1" x14ac:dyDescent="0.3">
      <c r="B1066" s="221" t="s">
        <v>3930</v>
      </c>
      <c r="C1066" s="221" t="s">
        <v>3790</v>
      </c>
      <c r="D1066" s="223" t="s">
        <v>9956</v>
      </c>
      <c r="E1066" s="221" t="s">
        <v>8465</v>
      </c>
      <c r="F1066" s="221" t="s">
        <v>3931</v>
      </c>
      <c r="G1066" s="221" t="s">
        <v>322</v>
      </c>
    </row>
    <row r="1067" spans="2:7" ht="30" customHeight="1" thickBot="1" x14ac:dyDescent="0.3">
      <c r="B1067" s="221"/>
      <c r="C1067" s="221"/>
      <c r="D1067" s="223" t="s">
        <v>3932</v>
      </c>
      <c r="E1067" s="221"/>
      <c r="F1067" s="221"/>
      <c r="G1067" s="221"/>
    </row>
    <row r="1068" spans="2:7" ht="30" customHeight="1" thickBot="1" x14ac:dyDescent="0.3">
      <c r="B1068" s="221"/>
      <c r="C1068" s="221"/>
      <c r="D1068" s="223" t="s">
        <v>3933</v>
      </c>
      <c r="E1068" s="221"/>
      <c r="F1068" s="221"/>
      <c r="G1068" s="221"/>
    </row>
    <row r="1069" spans="2:7" ht="30" customHeight="1" thickBot="1" x14ac:dyDescent="0.3">
      <c r="B1069" s="221" t="s">
        <v>3934</v>
      </c>
      <c r="C1069" s="221" t="s">
        <v>3790</v>
      </c>
      <c r="D1069" s="223" t="s">
        <v>9957</v>
      </c>
      <c r="E1069" s="221" t="s">
        <v>8437</v>
      </c>
      <c r="F1069" s="221" t="s">
        <v>3935</v>
      </c>
      <c r="G1069" s="221" t="s">
        <v>322</v>
      </c>
    </row>
    <row r="1070" spans="2:7" ht="30" customHeight="1" thickBot="1" x14ac:dyDescent="0.3">
      <c r="B1070" s="221"/>
      <c r="C1070" s="221"/>
      <c r="D1070" s="223" t="s">
        <v>3936</v>
      </c>
      <c r="E1070" s="221"/>
      <c r="F1070" s="221"/>
      <c r="G1070" s="221"/>
    </row>
    <row r="1071" spans="2:7" ht="30" customHeight="1" thickBot="1" x14ac:dyDescent="0.3">
      <c r="B1071" s="221" t="s">
        <v>3937</v>
      </c>
      <c r="C1071" s="221" t="s">
        <v>3790</v>
      </c>
      <c r="D1071" s="223" t="s">
        <v>3938</v>
      </c>
      <c r="E1071" s="221" t="s">
        <v>8438</v>
      </c>
      <c r="F1071" s="221" t="s">
        <v>3939</v>
      </c>
      <c r="G1071" s="221" t="s">
        <v>322</v>
      </c>
    </row>
    <row r="1072" spans="2:7" ht="30" customHeight="1" thickBot="1" x14ac:dyDescent="0.3">
      <c r="B1072" s="221"/>
      <c r="C1072" s="221"/>
      <c r="D1072" s="223" t="s">
        <v>9958</v>
      </c>
      <c r="E1072" s="221"/>
      <c r="F1072" s="221"/>
      <c r="G1072" s="221"/>
    </row>
    <row r="1073" spans="2:7" ht="30" customHeight="1" thickBot="1" x14ac:dyDescent="0.3">
      <c r="B1073" s="221"/>
      <c r="C1073" s="221"/>
      <c r="D1073" s="223" t="s">
        <v>3940</v>
      </c>
      <c r="E1073" s="221"/>
      <c r="F1073" s="221"/>
      <c r="G1073" s="221"/>
    </row>
    <row r="1074" spans="2:7" ht="30" customHeight="1" thickBot="1" x14ac:dyDescent="0.3">
      <c r="B1074" s="221"/>
      <c r="C1074" s="221"/>
      <c r="D1074" s="223" t="s">
        <v>3941</v>
      </c>
      <c r="E1074" s="221"/>
      <c r="F1074" s="221"/>
      <c r="G1074" s="221"/>
    </row>
    <row r="1075" spans="2:7" ht="30" customHeight="1" thickBot="1" x14ac:dyDescent="0.3">
      <c r="B1075" s="223" t="s">
        <v>3942</v>
      </c>
      <c r="C1075" s="223" t="s">
        <v>3790</v>
      </c>
      <c r="D1075" s="223" t="s">
        <v>3943</v>
      </c>
      <c r="E1075" s="223" t="s">
        <v>8466</v>
      </c>
      <c r="F1075" s="223" t="s">
        <v>3944</v>
      </c>
      <c r="G1075" s="223" t="s">
        <v>322</v>
      </c>
    </row>
    <row r="1076" spans="2:7" ht="30" customHeight="1" thickBot="1" x14ac:dyDescent="0.3">
      <c r="B1076" s="221" t="s">
        <v>3945</v>
      </c>
      <c r="C1076" s="221" t="s">
        <v>3790</v>
      </c>
      <c r="D1076" s="223" t="s">
        <v>3946</v>
      </c>
      <c r="E1076" s="221" t="s">
        <v>8467</v>
      </c>
      <c r="F1076" s="221" t="s">
        <v>3947</v>
      </c>
      <c r="G1076" s="221" t="s">
        <v>322</v>
      </c>
    </row>
    <row r="1077" spans="2:7" ht="30" customHeight="1" thickBot="1" x14ac:dyDescent="0.3">
      <c r="B1077" s="221"/>
      <c r="C1077" s="221"/>
      <c r="D1077" s="223" t="s">
        <v>9940</v>
      </c>
      <c r="E1077" s="221"/>
      <c r="F1077" s="221"/>
      <c r="G1077" s="221"/>
    </row>
    <row r="1078" spans="2:7" ht="30" customHeight="1" thickBot="1" x14ac:dyDescent="0.3">
      <c r="B1078" s="221"/>
      <c r="C1078" s="221"/>
      <c r="D1078" s="223" t="s">
        <v>3804</v>
      </c>
      <c r="E1078" s="221"/>
      <c r="F1078" s="221"/>
      <c r="G1078" s="221"/>
    </row>
    <row r="1079" spans="2:7" ht="30" customHeight="1" thickBot="1" x14ac:dyDescent="0.3">
      <c r="B1079" s="221"/>
      <c r="C1079" s="221"/>
      <c r="D1079" s="223" t="s">
        <v>3805</v>
      </c>
      <c r="E1079" s="221"/>
      <c r="F1079" s="221"/>
      <c r="G1079" s="221"/>
    </row>
    <row r="1080" spans="2:7" ht="30" customHeight="1" thickBot="1" x14ac:dyDescent="0.3">
      <c r="B1080" s="221"/>
      <c r="C1080" s="221"/>
      <c r="D1080" s="223" t="s">
        <v>3806</v>
      </c>
      <c r="E1080" s="221"/>
      <c r="F1080" s="221"/>
      <c r="G1080" s="221"/>
    </row>
    <row r="1081" spans="2:7" ht="30" customHeight="1" thickBot="1" x14ac:dyDescent="0.3">
      <c r="B1081" s="221"/>
      <c r="C1081" s="221"/>
      <c r="D1081" s="225" t="s">
        <v>3807</v>
      </c>
      <c r="E1081" s="221"/>
      <c r="F1081" s="221"/>
      <c r="G1081" s="221"/>
    </row>
    <row r="1082" spans="2:7" ht="30" customHeight="1" thickBot="1" x14ac:dyDescent="0.3">
      <c r="B1082" s="221"/>
      <c r="C1082" s="221"/>
      <c r="D1082" s="223" t="s">
        <v>3948</v>
      </c>
      <c r="E1082" s="221"/>
      <c r="F1082" s="221"/>
      <c r="G1082" s="221"/>
    </row>
    <row r="1083" spans="2:7" ht="30" customHeight="1" thickBot="1" x14ac:dyDescent="0.3">
      <c r="B1083" s="223" t="s">
        <v>3949</v>
      </c>
      <c r="C1083" s="223" t="s">
        <v>3790</v>
      </c>
      <c r="D1083" s="223" t="s">
        <v>3950</v>
      </c>
      <c r="E1083" s="223" t="s">
        <v>8468</v>
      </c>
      <c r="F1083" s="223" t="s">
        <v>3951</v>
      </c>
      <c r="G1083" s="223" t="s">
        <v>322</v>
      </c>
    </row>
    <row r="1084" spans="2:7" ht="30" customHeight="1" thickBot="1" x14ac:dyDescent="0.3">
      <c r="B1084" s="221" t="s">
        <v>3952</v>
      </c>
      <c r="C1084" s="221" t="s">
        <v>3790</v>
      </c>
      <c r="D1084" s="223" t="s">
        <v>3953</v>
      </c>
      <c r="E1084" s="221" t="s">
        <v>7189</v>
      </c>
      <c r="F1084" s="221" t="s">
        <v>3954</v>
      </c>
      <c r="G1084" s="221" t="s">
        <v>322</v>
      </c>
    </row>
    <row r="1085" spans="2:7" ht="30" customHeight="1" thickBot="1" x14ac:dyDescent="0.3">
      <c r="B1085" s="221"/>
      <c r="C1085" s="221"/>
      <c r="D1085" s="223" t="s">
        <v>3955</v>
      </c>
      <c r="E1085" s="221"/>
      <c r="F1085" s="221"/>
      <c r="G1085" s="221"/>
    </row>
    <row r="1086" spans="2:7" ht="30" customHeight="1" thickBot="1" x14ac:dyDescent="0.3">
      <c r="B1086" s="223" t="s">
        <v>3956</v>
      </c>
      <c r="C1086" s="223" t="s">
        <v>3790</v>
      </c>
      <c r="D1086" s="223" t="s">
        <v>3957</v>
      </c>
      <c r="E1086" s="223" t="s">
        <v>9217</v>
      </c>
      <c r="F1086" s="223" t="s">
        <v>3958</v>
      </c>
      <c r="G1086" s="223" t="s">
        <v>322</v>
      </c>
    </row>
    <row r="1087" spans="2:7" ht="30" customHeight="1" thickBot="1" x14ac:dyDescent="0.3">
      <c r="B1087" s="223" t="s">
        <v>3959</v>
      </c>
      <c r="C1087" s="223" t="s">
        <v>3790</v>
      </c>
      <c r="D1087" s="223" t="s">
        <v>3960</v>
      </c>
      <c r="E1087" s="223" t="s">
        <v>8717</v>
      </c>
      <c r="F1087" s="223" t="s">
        <v>3961</v>
      </c>
      <c r="G1087" s="223" t="s">
        <v>322</v>
      </c>
    </row>
    <row r="1088" spans="2:7" ht="30" customHeight="1" thickBot="1" x14ac:dyDescent="0.3">
      <c r="B1088" s="223" t="s">
        <v>3962</v>
      </c>
      <c r="C1088" s="223" t="s">
        <v>3790</v>
      </c>
      <c r="D1088" s="223" t="s">
        <v>3963</v>
      </c>
      <c r="E1088" s="223" t="s">
        <v>8718</v>
      </c>
      <c r="F1088" s="223" t="s">
        <v>3964</v>
      </c>
      <c r="G1088" s="223" t="s">
        <v>322</v>
      </c>
    </row>
    <row r="1089" spans="2:7" ht="30" customHeight="1" thickBot="1" x14ac:dyDescent="0.3">
      <c r="B1089" s="223" t="s">
        <v>3965</v>
      </c>
      <c r="C1089" s="223" t="s">
        <v>3790</v>
      </c>
      <c r="D1089" s="223" t="s">
        <v>9959</v>
      </c>
      <c r="E1089" s="223" t="s">
        <v>8719</v>
      </c>
      <c r="F1089" s="223" t="s">
        <v>3966</v>
      </c>
      <c r="G1089" s="223" t="s">
        <v>322</v>
      </c>
    </row>
    <row r="1090" spans="2:7" ht="30" customHeight="1" thickBot="1" x14ac:dyDescent="0.3">
      <c r="B1090" s="223" t="s">
        <v>3967</v>
      </c>
      <c r="C1090" s="223" t="s">
        <v>3790</v>
      </c>
      <c r="D1090" s="223" t="s">
        <v>3968</v>
      </c>
      <c r="E1090" s="223" t="s">
        <v>8720</v>
      </c>
      <c r="F1090" s="223" t="s">
        <v>3969</v>
      </c>
      <c r="G1090" s="223" t="s">
        <v>322</v>
      </c>
    </row>
    <row r="1091" spans="2:7" ht="30" customHeight="1" thickBot="1" x14ac:dyDescent="0.3">
      <c r="B1091" s="223" t="s">
        <v>3970</v>
      </c>
      <c r="C1091" s="223" t="s">
        <v>3790</v>
      </c>
      <c r="D1091" s="223" t="s">
        <v>3971</v>
      </c>
      <c r="E1091" s="223" t="s">
        <v>7057</v>
      </c>
      <c r="F1091" s="223" t="s">
        <v>3972</v>
      </c>
      <c r="G1091" s="223" t="s">
        <v>322</v>
      </c>
    </row>
    <row r="1092" spans="2:7" ht="30" customHeight="1" thickBot="1" x14ac:dyDescent="0.3">
      <c r="B1092" s="223" t="s">
        <v>3973</v>
      </c>
      <c r="C1092" s="223" t="s">
        <v>3790</v>
      </c>
      <c r="D1092" s="223" t="s">
        <v>3974</v>
      </c>
      <c r="E1092" s="223" t="s">
        <v>7058</v>
      </c>
      <c r="F1092" s="223" t="s">
        <v>3975</v>
      </c>
      <c r="G1092" s="223" t="s">
        <v>322</v>
      </c>
    </row>
    <row r="1093" spans="2:7" ht="30" customHeight="1" thickBot="1" x14ac:dyDescent="0.3">
      <c r="B1093" s="223" t="s">
        <v>3976</v>
      </c>
      <c r="C1093" s="223" t="s">
        <v>3790</v>
      </c>
      <c r="D1093" s="223" t="s">
        <v>9960</v>
      </c>
      <c r="E1093" s="223" t="s">
        <v>8721</v>
      </c>
      <c r="F1093" s="223" t="s">
        <v>3977</v>
      </c>
      <c r="G1093" s="223" t="s">
        <v>322</v>
      </c>
    </row>
    <row r="1094" spans="2:7" ht="30" customHeight="1" thickBot="1" x14ac:dyDescent="0.3">
      <c r="B1094" s="223" t="s">
        <v>3978</v>
      </c>
      <c r="C1094" s="223" t="s">
        <v>3790</v>
      </c>
      <c r="D1094" s="223" t="s">
        <v>3979</v>
      </c>
      <c r="E1094" s="223" t="s">
        <v>7059</v>
      </c>
      <c r="F1094" s="223" t="s">
        <v>3980</v>
      </c>
      <c r="G1094" s="223" t="s">
        <v>3981</v>
      </c>
    </row>
    <row r="1095" spans="2:7" ht="30" customHeight="1" thickBot="1" x14ac:dyDescent="0.3">
      <c r="B1095" s="223" t="s">
        <v>3982</v>
      </c>
      <c r="C1095" s="223" t="s">
        <v>3790</v>
      </c>
      <c r="D1095" s="223" t="s">
        <v>3983</v>
      </c>
      <c r="E1095" s="223" t="s">
        <v>7060</v>
      </c>
      <c r="F1095" s="223" t="s">
        <v>3984</v>
      </c>
      <c r="G1095" s="223" t="s">
        <v>322</v>
      </c>
    </row>
    <row r="1096" spans="2:7" ht="30" customHeight="1" thickBot="1" x14ac:dyDescent="0.3">
      <c r="B1096" s="223" t="s">
        <v>3985</v>
      </c>
      <c r="C1096" s="223" t="s">
        <v>3790</v>
      </c>
      <c r="D1096" s="223" t="s">
        <v>9961</v>
      </c>
      <c r="E1096" s="223" t="s">
        <v>8722</v>
      </c>
      <c r="F1096" s="223" t="s">
        <v>3986</v>
      </c>
      <c r="G1096" s="223" t="s">
        <v>322</v>
      </c>
    </row>
    <row r="1097" spans="2:7" ht="30" customHeight="1" thickBot="1" x14ac:dyDescent="0.3">
      <c r="B1097" s="223" t="s">
        <v>3987</v>
      </c>
      <c r="C1097" s="223" t="s">
        <v>3790</v>
      </c>
      <c r="D1097" s="223" t="s">
        <v>9962</v>
      </c>
      <c r="E1097" s="223" t="s">
        <v>8723</v>
      </c>
      <c r="F1097" s="223" t="s">
        <v>3988</v>
      </c>
      <c r="G1097" s="223" t="s">
        <v>322</v>
      </c>
    </row>
    <row r="1098" spans="2:7" ht="30" customHeight="1" thickBot="1" x14ac:dyDescent="0.3">
      <c r="B1098" s="223" t="s">
        <v>3989</v>
      </c>
      <c r="C1098" s="223" t="s">
        <v>3790</v>
      </c>
      <c r="D1098" s="223" t="s">
        <v>3990</v>
      </c>
      <c r="E1098" s="223" t="s">
        <v>8472</v>
      </c>
      <c r="F1098" s="223" t="s">
        <v>3991</v>
      </c>
      <c r="G1098" s="223" t="s">
        <v>322</v>
      </c>
    </row>
    <row r="1099" spans="2:7" ht="30" customHeight="1" thickBot="1" x14ac:dyDescent="0.3">
      <c r="B1099" s="223" t="s">
        <v>3992</v>
      </c>
      <c r="C1099" s="223" t="s">
        <v>3790</v>
      </c>
      <c r="D1099" s="223" t="s">
        <v>3993</v>
      </c>
      <c r="E1099" s="223" t="s">
        <v>8724</v>
      </c>
      <c r="F1099" s="223" t="s">
        <v>3994</v>
      </c>
      <c r="G1099" s="223" t="s">
        <v>322</v>
      </c>
    </row>
    <row r="1100" spans="2:7" ht="30" customHeight="1" thickBot="1" x14ac:dyDescent="0.3">
      <c r="B1100" s="223" t="s">
        <v>3995</v>
      </c>
      <c r="C1100" s="223" t="s">
        <v>3790</v>
      </c>
      <c r="D1100" s="223" t="s">
        <v>3996</v>
      </c>
      <c r="E1100" s="223" t="s">
        <v>7061</v>
      </c>
      <c r="F1100" s="223" t="s">
        <v>3997</v>
      </c>
      <c r="G1100" s="223" t="s">
        <v>322</v>
      </c>
    </row>
    <row r="1101" spans="2:7" ht="30" customHeight="1" thickBot="1" x14ac:dyDescent="0.3">
      <c r="B1101" s="223" t="s">
        <v>3998</v>
      </c>
      <c r="C1101" s="223" t="s">
        <v>3790</v>
      </c>
      <c r="D1101" s="223" t="s">
        <v>9963</v>
      </c>
      <c r="E1101" s="223" t="s">
        <v>7188</v>
      </c>
      <c r="F1101" s="223" t="s">
        <v>3999</v>
      </c>
      <c r="G1101" s="223" t="s">
        <v>322</v>
      </c>
    </row>
    <row r="1102" spans="2:7" ht="30" customHeight="1" thickBot="1" x14ac:dyDescent="0.3">
      <c r="B1102" s="223" t="s">
        <v>4000</v>
      </c>
      <c r="C1102" s="223" t="s">
        <v>3790</v>
      </c>
      <c r="D1102" s="223" t="s">
        <v>4001</v>
      </c>
      <c r="E1102" s="223" t="s">
        <v>7940</v>
      </c>
      <c r="F1102" s="223" t="s">
        <v>3999</v>
      </c>
      <c r="G1102" s="223" t="s">
        <v>322</v>
      </c>
    </row>
    <row r="1103" spans="2:7" ht="30" customHeight="1" thickBot="1" x14ac:dyDescent="0.3">
      <c r="B1103" s="223" t="s">
        <v>4002</v>
      </c>
      <c r="C1103" s="223" t="s">
        <v>3790</v>
      </c>
      <c r="D1103" s="223" t="s">
        <v>4003</v>
      </c>
      <c r="E1103" s="223" t="s">
        <v>7062</v>
      </c>
      <c r="F1103" s="223" t="s">
        <v>4004</v>
      </c>
      <c r="G1103" s="223" t="s">
        <v>322</v>
      </c>
    </row>
    <row r="1104" spans="2:7" ht="30" customHeight="1" thickBot="1" x14ac:dyDescent="0.3">
      <c r="B1104" s="223" t="s">
        <v>4005</v>
      </c>
      <c r="C1104" s="223" t="s">
        <v>3790</v>
      </c>
      <c r="D1104" s="223" t="s">
        <v>9964</v>
      </c>
      <c r="E1104" s="223" t="s">
        <v>8725</v>
      </c>
      <c r="F1104" s="223" t="s">
        <v>4006</v>
      </c>
      <c r="G1104" s="223" t="s">
        <v>322</v>
      </c>
    </row>
    <row r="1105" spans="2:7" ht="30" customHeight="1" thickBot="1" x14ac:dyDescent="0.3">
      <c r="B1105" s="223" t="s">
        <v>4007</v>
      </c>
      <c r="C1105" s="223" t="s">
        <v>3790</v>
      </c>
      <c r="D1105" s="223" t="s">
        <v>9965</v>
      </c>
      <c r="E1105" s="223" t="s">
        <v>7954</v>
      </c>
      <c r="F1105" s="223" t="s">
        <v>4008</v>
      </c>
      <c r="G1105" s="223" t="s">
        <v>322</v>
      </c>
    </row>
    <row r="1106" spans="2:7" ht="30" customHeight="1" thickBot="1" x14ac:dyDescent="0.3">
      <c r="B1106" s="221" t="s">
        <v>4009</v>
      </c>
      <c r="C1106" s="221" t="s">
        <v>3790</v>
      </c>
      <c r="D1106" s="223" t="s">
        <v>4010</v>
      </c>
      <c r="E1106" s="221" t="s">
        <v>7941</v>
      </c>
      <c r="F1106" s="221" t="s">
        <v>4011</v>
      </c>
      <c r="G1106" s="221" t="s">
        <v>322</v>
      </c>
    </row>
    <row r="1107" spans="2:7" ht="30" customHeight="1" thickBot="1" x14ac:dyDescent="0.3">
      <c r="B1107" s="221"/>
      <c r="C1107" s="221"/>
      <c r="D1107" s="223" t="s">
        <v>4012</v>
      </c>
      <c r="E1107" s="221"/>
      <c r="F1107" s="221"/>
      <c r="G1107" s="221"/>
    </row>
    <row r="1108" spans="2:7" ht="30" customHeight="1" thickBot="1" x14ac:dyDescent="0.3">
      <c r="B1108" s="223" t="s">
        <v>4013</v>
      </c>
      <c r="C1108" s="223" t="s">
        <v>3790</v>
      </c>
      <c r="D1108" s="223" t="s">
        <v>4014</v>
      </c>
      <c r="E1108" s="223" t="s">
        <v>8726</v>
      </c>
      <c r="F1108" s="223" t="s">
        <v>4015</v>
      </c>
      <c r="G1108" s="223" t="s">
        <v>322</v>
      </c>
    </row>
    <row r="1109" spans="2:7" ht="30" customHeight="1" thickBot="1" x14ac:dyDescent="0.3">
      <c r="B1109" s="223" t="s">
        <v>4016</v>
      </c>
      <c r="C1109" s="223" t="s">
        <v>3790</v>
      </c>
      <c r="D1109" s="223" t="s">
        <v>4017</v>
      </c>
      <c r="E1109" s="223" t="s">
        <v>7955</v>
      </c>
      <c r="F1109" s="223" t="s">
        <v>4018</v>
      </c>
      <c r="G1109" s="223" t="s">
        <v>322</v>
      </c>
    </row>
    <row r="1110" spans="2:7" ht="30" customHeight="1" thickBot="1" x14ac:dyDescent="0.3">
      <c r="B1110" s="223" t="s">
        <v>4019</v>
      </c>
      <c r="C1110" s="223" t="s">
        <v>3790</v>
      </c>
      <c r="D1110" s="223" t="s">
        <v>4020</v>
      </c>
      <c r="E1110" s="223" t="s">
        <v>8265</v>
      </c>
      <c r="F1110" s="223" t="s">
        <v>4021</v>
      </c>
      <c r="G1110" s="223" t="s">
        <v>322</v>
      </c>
    </row>
    <row r="1111" spans="2:7" ht="30" customHeight="1" thickBot="1" x14ac:dyDescent="0.3">
      <c r="B1111" s="223" t="s">
        <v>4022</v>
      </c>
      <c r="C1111" s="223" t="s">
        <v>3790</v>
      </c>
      <c r="D1111" s="223" t="s">
        <v>4023</v>
      </c>
      <c r="E1111" s="223" t="s">
        <v>7190</v>
      </c>
      <c r="F1111" s="223" t="s">
        <v>4024</v>
      </c>
      <c r="G1111" s="223" t="s">
        <v>322</v>
      </c>
    </row>
    <row r="1112" spans="2:7" ht="30" customHeight="1" thickBot="1" x14ac:dyDescent="0.3">
      <c r="B1112" s="223" t="s">
        <v>4025</v>
      </c>
      <c r="C1112" s="223" t="s">
        <v>3790</v>
      </c>
      <c r="D1112" s="223" t="s">
        <v>4026</v>
      </c>
      <c r="E1112" s="223" t="s">
        <v>7190</v>
      </c>
      <c r="F1112" s="223" t="s">
        <v>4027</v>
      </c>
      <c r="G1112" s="223" t="s">
        <v>322</v>
      </c>
    </row>
    <row r="1113" spans="2:7" ht="30" customHeight="1" thickBot="1" x14ac:dyDescent="0.3">
      <c r="B1113" s="223" t="s">
        <v>4028</v>
      </c>
      <c r="C1113" s="223" t="s">
        <v>3790</v>
      </c>
      <c r="D1113" s="223" t="s">
        <v>4029</v>
      </c>
      <c r="E1113" s="223" t="s">
        <v>7956</v>
      </c>
      <c r="F1113" s="223" t="s">
        <v>4030</v>
      </c>
      <c r="G1113" s="223" t="s">
        <v>322</v>
      </c>
    </row>
    <row r="1114" spans="2:7" ht="30" customHeight="1" thickBot="1" x14ac:dyDescent="0.3">
      <c r="B1114" s="221" t="s">
        <v>4031</v>
      </c>
      <c r="C1114" s="221" t="s">
        <v>3790</v>
      </c>
      <c r="D1114" s="223" t="s">
        <v>4032</v>
      </c>
      <c r="E1114" s="221" t="s">
        <v>7957</v>
      </c>
      <c r="F1114" s="221" t="s">
        <v>4033</v>
      </c>
      <c r="G1114" s="221" t="s">
        <v>322</v>
      </c>
    </row>
    <row r="1115" spans="2:7" ht="30" customHeight="1" thickBot="1" x14ac:dyDescent="0.3">
      <c r="B1115" s="221"/>
      <c r="C1115" s="221"/>
      <c r="D1115" s="223" t="s">
        <v>4034</v>
      </c>
      <c r="E1115" s="221"/>
      <c r="F1115" s="221"/>
      <c r="G1115" s="221"/>
    </row>
    <row r="1116" spans="2:7" ht="30" customHeight="1" thickBot="1" x14ac:dyDescent="0.3">
      <c r="B1116" s="223" t="s">
        <v>4035</v>
      </c>
      <c r="C1116" s="223" t="s">
        <v>3790</v>
      </c>
      <c r="D1116" s="223" t="s">
        <v>4036</v>
      </c>
      <c r="E1116" s="223" t="s">
        <v>7519</v>
      </c>
      <c r="F1116" s="223" t="s">
        <v>4037</v>
      </c>
      <c r="G1116" s="223" t="s">
        <v>322</v>
      </c>
    </row>
    <row r="1117" spans="2:7" ht="30" customHeight="1" thickBot="1" x14ac:dyDescent="0.3">
      <c r="B1117" s="223" t="s">
        <v>4038</v>
      </c>
      <c r="C1117" s="223" t="s">
        <v>3790</v>
      </c>
      <c r="D1117" s="223" t="s">
        <v>4039</v>
      </c>
      <c r="E1117" s="223" t="s">
        <v>7191</v>
      </c>
      <c r="F1117" s="223" t="s">
        <v>4040</v>
      </c>
      <c r="G1117" s="223" t="s">
        <v>4041</v>
      </c>
    </row>
    <row r="1118" spans="2:7" ht="30" customHeight="1" thickBot="1" x14ac:dyDescent="0.3">
      <c r="B1118" s="223" t="s">
        <v>4042</v>
      </c>
      <c r="C1118" s="223" t="s">
        <v>3790</v>
      </c>
      <c r="D1118" s="223" t="s">
        <v>4043</v>
      </c>
      <c r="E1118" s="223" t="s">
        <v>7192</v>
      </c>
      <c r="F1118" s="223" t="s">
        <v>4044</v>
      </c>
      <c r="G1118" s="223" t="s">
        <v>4041</v>
      </c>
    </row>
    <row r="1119" spans="2:7" ht="30" customHeight="1" thickBot="1" x14ac:dyDescent="0.3">
      <c r="B1119" s="223" t="s">
        <v>4045</v>
      </c>
      <c r="C1119" s="223" t="s">
        <v>3790</v>
      </c>
      <c r="D1119" s="223" t="s">
        <v>4046</v>
      </c>
      <c r="E1119" s="223" t="s">
        <v>7193</v>
      </c>
      <c r="F1119" s="223" t="s">
        <v>4047</v>
      </c>
      <c r="G1119" s="223" t="s">
        <v>322</v>
      </c>
    </row>
    <row r="1120" spans="2:7" ht="30" customHeight="1" thickBot="1" x14ac:dyDescent="0.3">
      <c r="B1120" s="223" t="s">
        <v>4048</v>
      </c>
      <c r="C1120" s="223" t="s">
        <v>3790</v>
      </c>
      <c r="D1120" s="223" t="s">
        <v>9966</v>
      </c>
      <c r="E1120" s="223" t="s">
        <v>9218</v>
      </c>
      <c r="F1120" s="223" t="s">
        <v>4047</v>
      </c>
      <c r="G1120" s="223" t="s">
        <v>4041</v>
      </c>
    </row>
    <row r="1121" spans="2:7" ht="30" customHeight="1" thickBot="1" x14ac:dyDescent="0.3">
      <c r="B1121" s="223" t="s">
        <v>4049</v>
      </c>
      <c r="C1121" s="223" t="s">
        <v>3790</v>
      </c>
      <c r="D1121" s="223" t="s">
        <v>4050</v>
      </c>
      <c r="E1121" s="223" t="s">
        <v>7958</v>
      </c>
      <c r="F1121" s="223" t="s">
        <v>4051</v>
      </c>
      <c r="G1121" s="223" t="s">
        <v>4041</v>
      </c>
    </row>
    <row r="1122" spans="2:7" ht="30" customHeight="1" thickBot="1" x14ac:dyDescent="0.3">
      <c r="B1122" s="221" t="s">
        <v>4052</v>
      </c>
      <c r="C1122" s="221" t="s">
        <v>3790</v>
      </c>
      <c r="D1122" s="223" t="s">
        <v>4053</v>
      </c>
      <c r="E1122" s="221" t="s">
        <v>7959</v>
      </c>
      <c r="F1122" s="221" t="s">
        <v>4054</v>
      </c>
      <c r="G1122" s="221" t="s">
        <v>4041</v>
      </c>
    </row>
    <row r="1123" spans="2:7" ht="30" customHeight="1" thickBot="1" x14ac:dyDescent="0.3">
      <c r="B1123" s="221"/>
      <c r="C1123" s="221"/>
      <c r="D1123" s="223" t="s">
        <v>9967</v>
      </c>
      <c r="E1123" s="221"/>
      <c r="F1123" s="221"/>
      <c r="G1123" s="221"/>
    </row>
    <row r="1124" spans="2:7" ht="30" customHeight="1" thickBot="1" x14ac:dyDescent="0.3">
      <c r="B1124" s="221" t="s">
        <v>4055</v>
      </c>
      <c r="C1124" s="221" t="s">
        <v>3790</v>
      </c>
      <c r="D1124" s="223" t="s">
        <v>4056</v>
      </c>
      <c r="E1124" s="221" t="s">
        <v>8728</v>
      </c>
      <c r="F1124" s="221" t="s">
        <v>4057</v>
      </c>
      <c r="G1124" s="221" t="s">
        <v>322</v>
      </c>
    </row>
    <row r="1125" spans="2:7" ht="30" customHeight="1" thickBot="1" x14ac:dyDescent="0.3">
      <c r="B1125" s="221"/>
      <c r="C1125" s="221"/>
      <c r="D1125" s="223" t="s">
        <v>9968</v>
      </c>
      <c r="E1125" s="221"/>
      <c r="F1125" s="221"/>
      <c r="G1125" s="221"/>
    </row>
    <row r="1126" spans="2:7" ht="30" customHeight="1" thickBot="1" x14ac:dyDescent="0.3">
      <c r="B1126" s="221" t="s">
        <v>4058</v>
      </c>
      <c r="C1126" s="221" t="s">
        <v>3790</v>
      </c>
      <c r="D1126" s="223" t="s">
        <v>9969</v>
      </c>
      <c r="E1126" s="221" t="s">
        <v>8729</v>
      </c>
      <c r="F1126" s="221" t="s">
        <v>4059</v>
      </c>
      <c r="G1126" s="221" t="s">
        <v>322</v>
      </c>
    </row>
    <row r="1127" spans="2:7" ht="30" customHeight="1" thickBot="1" x14ac:dyDescent="0.3">
      <c r="B1127" s="221"/>
      <c r="C1127" s="221"/>
      <c r="D1127" s="223" t="s">
        <v>9970</v>
      </c>
      <c r="E1127" s="221"/>
      <c r="F1127" s="221"/>
      <c r="G1127" s="221"/>
    </row>
    <row r="1128" spans="2:7" ht="30" customHeight="1" thickBot="1" x14ac:dyDescent="0.3">
      <c r="B1128" s="221"/>
      <c r="C1128" s="221"/>
      <c r="D1128" s="223" t="s">
        <v>4060</v>
      </c>
      <c r="E1128" s="221"/>
      <c r="F1128" s="221"/>
      <c r="G1128" s="221"/>
    </row>
    <row r="1129" spans="2:7" ht="30" customHeight="1" thickBot="1" x14ac:dyDescent="0.3">
      <c r="B1129" s="221"/>
      <c r="C1129" s="221"/>
      <c r="D1129" s="223" t="s">
        <v>4061</v>
      </c>
      <c r="E1129" s="221"/>
      <c r="F1129" s="221"/>
      <c r="G1129" s="221"/>
    </row>
    <row r="1130" spans="2:7" ht="30" customHeight="1" thickBot="1" x14ac:dyDescent="0.3">
      <c r="B1130" s="221"/>
      <c r="C1130" s="221"/>
      <c r="D1130" s="223"/>
      <c r="E1130" s="221"/>
      <c r="F1130" s="221"/>
      <c r="G1130" s="221"/>
    </row>
    <row r="1131" spans="2:7" ht="30" customHeight="1" thickBot="1" x14ac:dyDescent="0.3">
      <c r="B1131" s="221"/>
      <c r="C1131" s="221"/>
      <c r="D1131" s="223" t="s">
        <v>4062</v>
      </c>
      <c r="E1131" s="221"/>
      <c r="F1131" s="221"/>
      <c r="G1131" s="221"/>
    </row>
    <row r="1132" spans="2:7" ht="30" customHeight="1" thickBot="1" x14ac:dyDescent="0.3">
      <c r="B1132" s="221"/>
      <c r="C1132" s="221"/>
      <c r="D1132" s="223"/>
      <c r="E1132" s="221"/>
      <c r="F1132" s="221"/>
      <c r="G1132" s="221"/>
    </row>
    <row r="1133" spans="2:7" ht="30" customHeight="1" thickBot="1" x14ac:dyDescent="0.3">
      <c r="B1133" s="221"/>
      <c r="C1133" s="221"/>
      <c r="D1133" s="223" t="s">
        <v>4063</v>
      </c>
      <c r="E1133" s="221"/>
      <c r="F1133" s="221"/>
      <c r="G1133" s="221"/>
    </row>
    <row r="1134" spans="2:7" ht="30" customHeight="1" thickBot="1" x14ac:dyDescent="0.3">
      <c r="B1134" s="221"/>
      <c r="C1134" s="221"/>
      <c r="D1134" s="223" t="s">
        <v>3855</v>
      </c>
      <c r="E1134" s="221"/>
      <c r="F1134" s="221"/>
      <c r="G1134" s="221"/>
    </row>
    <row r="1135" spans="2:7" ht="30" customHeight="1" thickBot="1" x14ac:dyDescent="0.3">
      <c r="B1135" s="221" t="s">
        <v>4064</v>
      </c>
      <c r="C1135" s="221" t="s">
        <v>3790</v>
      </c>
      <c r="D1135" s="223" t="s">
        <v>9971</v>
      </c>
      <c r="E1135" s="221" t="s">
        <v>7520</v>
      </c>
      <c r="F1135" s="221" t="s">
        <v>4065</v>
      </c>
      <c r="G1135" s="221" t="s">
        <v>322</v>
      </c>
    </row>
    <row r="1136" spans="2:7" ht="30" customHeight="1" thickBot="1" x14ac:dyDescent="0.3">
      <c r="B1136" s="221"/>
      <c r="C1136" s="221"/>
      <c r="D1136" s="223" t="s">
        <v>4066</v>
      </c>
      <c r="E1136" s="221"/>
      <c r="F1136" s="221"/>
      <c r="G1136" s="221"/>
    </row>
    <row r="1137" spans="2:7" ht="30" customHeight="1" thickBot="1" x14ac:dyDescent="0.3">
      <c r="B1137" s="221"/>
      <c r="C1137" s="221"/>
      <c r="D1137" s="223" t="s">
        <v>4067</v>
      </c>
      <c r="E1137" s="221"/>
      <c r="F1137" s="221"/>
      <c r="G1137" s="221"/>
    </row>
    <row r="1138" spans="2:7" ht="30" customHeight="1" thickBot="1" x14ac:dyDescent="0.3">
      <c r="B1138" s="221"/>
      <c r="C1138" s="221"/>
      <c r="D1138" s="223" t="s">
        <v>4068</v>
      </c>
      <c r="E1138" s="221"/>
      <c r="F1138" s="221"/>
      <c r="G1138" s="221"/>
    </row>
    <row r="1139" spans="2:7" ht="30" customHeight="1" thickBot="1" x14ac:dyDescent="0.3">
      <c r="B1139" s="221"/>
      <c r="C1139" s="221"/>
      <c r="D1139" s="223" t="s">
        <v>4069</v>
      </c>
      <c r="E1139" s="221"/>
      <c r="F1139" s="221"/>
      <c r="G1139" s="221"/>
    </row>
    <row r="1140" spans="2:7" ht="30" customHeight="1" thickBot="1" x14ac:dyDescent="0.3">
      <c r="B1140" s="221"/>
      <c r="C1140" s="221"/>
      <c r="D1140" s="223" t="s">
        <v>4070</v>
      </c>
      <c r="E1140" s="221"/>
      <c r="F1140" s="221"/>
      <c r="G1140" s="221"/>
    </row>
    <row r="1141" spans="2:7" ht="30" customHeight="1" thickBot="1" x14ac:dyDescent="0.3">
      <c r="B1141" s="221"/>
      <c r="C1141" s="221"/>
      <c r="D1141" s="223" t="s">
        <v>4071</v>
      </c>
      <c r="E1141" s="221"/>
      <c r="F1141" s="221"/>
      <c r="G1141" s="221"/>
    </row>
    <row r="1142" spans="2:7" ht="30" customHeight="1" thickBot="1" x14ac:dyDescent="0.3">
      <c r="B1142" s="221" t="s">
        <v>4072</v>
      </c>
      <c r="C1142" s="221" t="s">
        <v>3790</v>
      </c>
      <c r="D1142" s="223" t="s">
        <v>9972</v>
      </c>
      <c r="E1142" s="221" t="s">
        <v>8730</v>
      </c>
      <c r="F1142" s="221" t="s">
        <v>4073</v>
      </c>
      <c r="G1142" s="221" t="s">
        <v>322</v>
      </c>
    </row>
    <row r="1143" spans="2:7" ht="30" customHeight="1" thickBot="1" x14ac:dyDescent="0.3">
      <c r="B1143" s="221"/>
      <c r="C1143" s="221"/>
      <c r="D1143" s="223" t="s">
        <v>4074</v>
      </c>
      <c r="E1143" s="221"/>
      <c r="F1143" s="221"/>
      <c r="G1143" s="221"/>
    </row>
    <row r="1144" spans="2:7" ht="30" customHeight="1" thickBot="1" x14ac:dyDescent="0.3">
      <c r="B1144" s="221" t="s">
        <v>4075</v>
      </c>
      <c r="C1144" s="221" t="s">
        <v>3790</v>
      </c>
      <c r="D1144" s="223" t="s">
        <v>4076</v>
      </c>
      <c r="E1144" s="221" t="s">
        <v>8731</v>
      </c>
      <c r="F1144" s="221" t="s">
        <v>4077</v>
      </c>
      <c r="G1144" s="221" t="s">
        <v>322</v>
      </c>
    </row>
    <row r="1145" spans="2:7" ht="30" customHeight="1" thickBot="1" x14ac:dyDescent="0.3">
      <c r="B1145" s="221"/>
      <c r="C1145" s="221"/>
      <c r="D1145" s="223" t="s">
        <v>4078</v>
      </c>
      <c r="E1145" s="221"/>
      <c r="F1145" s="221"/>
      <c r="G1145" s="221"/>
    </row>
    <row r="1146" spans="2:7" ht="30" customHeight="1" thickBot="1" x14ac:dyDescent="0.3">
      <c r="B1146" s="221"/>
      <c r="C1146" s="221"/>
      <c r="D1146" s="223" t="s">
        <v>4079</v>
      </c>
      <c r="E1146" s="221"/>
      <c r="F1146" s="221"/>
      <c r="G1146" s="221"/>
    </row>
    <row r="1147" spans="2:7" ht="30" customHeight="1" thickBot="1" x14ac:dyDescent="0.3">
      <c r="B1147" s="221"/>
      <c r="C1147" s="221"/>
      <c r="D1147" s="223" t="s">
        <v>4080</v>
      </c>
      <c r="E1147" s="221"/>
      <c r="F1147" s="221"/>
      <c r="G1147" s="221"/>
    </row>
    <row r="1148" spans="2:7" ht="30" customHeight="1" thickBot="1" x14ac:dyDescent="0.3">
      <c r="B1148" s="221" t="s">
        <v>4081</v>
      </c>
      <c r="C1148" s="221" t="s">
        <v>3790</v>
      </c>
      <c r="D1148" s="223" t="s">
        <v>9973</v>
      </c>
      <c r="E1148" s="221" t="s">
        <v>7522</v>
      </c>
      <c r="F1148" s="221" t="s">
        <v>4082</v>
      </c>
      <c r="G1148" s="221" t="s">
        <v>565</v>
      </c>
    </row>
    <row r="1149" spans="2:7" ht="30" customHeight="1" thickBot="1" x14ac:dyDescent="0.3">
      <c r="B1149" s="221"/>
      <c r="C1149" s="221"/>
      <c r="D1149" s="223" t="s">
        <v>4083</v>
      </c>
      <c r="E1149" s="221"/>
      <c r="F1149" s="221"/>
      <c r="G1149" s="221"/>
    </row>
    <row r="1150" spans="2:7" ht="30" customHeight="1" thickBot="1" x14ac:dyDescent="0.3">
      <c r="B1150" s="221"/>
      <c r="C1150" s="221"/>
      <c r="D1150" s="223" t="s">
        <v>4084</v>
      </c>
      <c r="E1150" s="221"/>
      <c r="F1150" s="221"/>
      <c r="G1150" s="221"/>
    </row>
    <row r="1151" spans="2:7" ht="30" customHeight="1" thickBot="1" x14ac:dyDescent="0.3">
      <c r="B1151" s="223" t="s">
        <v>4085</v>
      </c>
      <c r="C1151" s="223" t="s">
        <v>3790</v>
      </c>
      <c r="D1151" s="223" t="s">
        <v>9974</v>
      </c>
      <c r="E1151" s="223" t="s">
        <v>8730</v>
      </c>
      <c r="F1151" s="223" t="s">
        <v>4086</v>
      </c>
      <c r="G1151" s="223" t="s">
        <v>322</v>
      </c>
    </row>
    <row r="1152" spans="2:7" ht="30" customHeight="1" thickBot="1" x14ac:dyDescent="0.3">
      <c r="B1152" s="223" t="s">
        <v>4087</v>
      </c>
      <c r="C1152" s="223" t="s">
        <v>3790</v>
      </c>
      <c r="D1152" s="223" t="s">
        <v>9975</v>
      </c>
      <c r="E1152" s="223" t="s">
        <v>8732</v>
      </c>
      <c r="F1152" s="223" t="s">
        <v>4088</v>
      </c>
      <c r="G1152" s="223" t="s">
        <v>322</v>
      </c>
    </row>
    <row r="1153" spans="2:7" ht="30" customHeight="1" thickBot="1" x14ac:dyDescent="0.3">
      <c r="B1153" s="223" t="s">
        <v>4089</v>
      </c>
      <c r="C1153" s="223" t="s">
        <v>3790</v>
      </c>
      <c r="D1153" s="223" t="s">
        <v>4090</v>
      </c>
      <c r="E1153" s="223" t="s">
        <v>9081</v>
      </c>
      <c r="F1153" s="223" t="s">
        <v>4091</v>
      </c>
      <c r="G1153" s="223" t="s">
        <v>322</v>
      </c>
    </row>
    <row r="1154" spans="2:7" ht="30" customHeight="1" thickBot="1" x14ac:dyDescent="0.3">
      <c r="B1154" s="221" t="s">
        <v>4092</v>
      </c>
      <c r="C1154" s="221" t="s">
        <v>3790</v>
      </c>
      <c r="D1154" s="223" t="s">
        <v>4093</v>
      </c>
      <c r="E1154" s="221" t="s">
        <v>7942</v>
      </c>
      <c r="F1154" s="221" t="s">
        <v>4094</v>
      </c>
      <c r="G1154" s="221" t="s">
        <v>322</v>
      </c>
    </row>
    <row r="1155" spans="2:7" ht="30" customHeight="1" thickBot="1" x14ac:dyDescent="0.3">
      <c r="B1155" s="221"/>
      <c r="C1155" s="221"/>
      <c r="D1155" s="223" t="s">
        <v>4095</v>
      </c>
      <c r="E1155" s="221"/>
      <c r="F1155" s="221"/>
      <c r="G1155" s="221"/>
    </row>
    <row r="1156" spans="2:7" ht="30" customHeight="1" thickBot="1" x14ac:dyDescent="0.3">
      <c r="B1156" s="221"/>
      <c r="C1156" s="221"/>
      <c r="D1156" s="223" t="s">
        <v>4096</v>
      </c>
      <c r="E1156" s="221"/>
      <c r="F1156" s="221"/>
      <c r="G1156" s="221"/>
    </row>
    <row r="1157" spans="2:7" ht="30" customHeight="1" thickBot="1" x14ac:dyDescent="0.3">
      <c r="B1157" s="223" t="s">
        <v>4097</v>
      </c>
      <c r="C1157" s="223" t="s">
        <v>3790</v>
      </c>
      <c r="D1157" s="223" t="s">
        <v>4098</v>
      </c>
      <c r="E1157" s="223" t="s">
        <v>8284</v>
      </c>
      <c r="F1157" s="223" t="s">
        <v>4099</v>
      </c>
      <c r="G1157" s="223" t="s">
        <v>565</v>
      </c>
    </row>
    <row r="1158" spans="2:7" ht="30" customHeight="1" thickBot="1" x14ac:dyDescent="0.3">
      <c r="B1158" s="221" t="s">
        <v>4100</v>
      </c>
      <c r="C1158" s="221" t="s">
        <v>3790</v>
      </c>
      <c r="D1158" s="223" t="s">
        <v>4101</v>
      </c>
      <c r="E1158" s="221" t="s">
        <v>8733</v>
      </c>
      <c r="F1158" s="221" t="s">
        <v>4102</v>
      </c>
      <c r="G1158" s="221" t="s">
        <v>322</v>
      </c>
    </row>
    <row r="1159" spans="2:7" ht="30" customHeight="1" thickBot="1" x14ac:dyDescent="0.3">
      <c r="B1159" s="221"/>
      <c r="C1159" s="221"/>
      <c r="D1159" s="225" t="s">
        <v>9976</v>
      </c>
      <c r="E1159" s="221"/>
      <c r="F1159" s="221"/>
      <c r="G1159" s="221"/>
    </row>
    <row r="1160" spans="2:7" ht="30" customHeight="1" thickBot="1" x14ac:dyDescent="0.3">
      <c r="B1160" s="221"/>
      <c r="C1160" s="221"/>
      <c r="D1160" s="223" t="s">
        <v>4103</v>
      </c>
      <c r="E1160" s="221"/>
      <c r="F1160" s="221"/>
      <c r="G1160" s="221"/>
    </row>
    <row r="1161" spans="2:7" ht="30" customHeight="1" thickBot="1" x14ac:dyDescent="0.3">
      <c r="B1161" s="221"/>
      <c r="C1161" s="221"/>
      <c r="D1161" s="225" t="s">
        <v>4104</v>
      </c>
      <c r="E1161" s="221"/>
      <c r="F1161" s="221"/>
      <c r="G1161" s="221"/>
    </row>
    <row r="1162" spans="2:7" ht="30" customHeight="1" thickBot="1" x14ac:dyDescent="0.3">
      <c r="B1162" s="221"/>
      <c r="C1162" s="221"/>
      <c r="D1162" s="223" t="s">
        <v>9977</v>
      </c>
      <c r="E1162" s="221"/>
      <c r="F1162" s="221"/>
      <c r="G1162" s="221"/>
    </row>
    <row r="1163" spans="2:7" ht="30" customHeight="1" thickBot="1" x14ac:dyDescent="0.3">
      <c r="B1163" s="221"/>
      <c r="C1163" s="221"/>
      <c r="D1163" s="223" t="s">
        <v>9978</v>
      </c>
      <c r="E1163" s="221"/>
      <c r="F1163" s="221"/>
      <c r="G1163" s="221"/>
    </row>
    <row r="1164" spans="2:7" ht="30" customHeight="1" thickBot="1" x14ac:dyDescent="0.3">
      <c r="B1164" s="221"/>
      <c r="C1164" s="221"/>
      <c r="D1164" s="223" t="s">
        <v>9979</v>
      </c>
      <c r="E1164" s="221"/>
      <c r="F1164" s="221"/>
      <c r="G1164" s="221"/>
    </row>
    <row r="1165" spans="2:7" ht="30" customHeight="1" thickBot="1" x14ac:dyDescent="0.3">
      <c r="B1165" s="223" t="s">
        <v>4105</v>
      </c>
      <c r="C1165" s="223" t="s">
        <v>3790</v>
      </c>
      <c r="D1165" s="223" t="s">
        <v>4106</v>
      </c>
      <c r="E1165" s="223" t="s">
        <v>8944</v>
      </c>
      <c r="F1165" s="223" t="s">
        <v>4107</v>
      </c>
      <c r="G1165" s="223" t="s">
        <v>8094</v>
      </c>
    </row>
    <row r="1166" spans="2:7" ht="30" customHeight="1" thickBot="1" x14ac:dyDescent="0.3">
      <c r="B1166" s="223" t="s">
        <v>4108</v>
      </c>
      <c r="C1166" s="223" t="s">
        <v>3790</v>
      </c>
      <c r="D1166" s="223" t="s">
        <v>4109</v>
      </c>
      <c r="E1166" s="223" t="s">
        <v>8476</v>
      </c>
      <c r="F1166" s="223" t="s">
        <v>4110</v>
      </c>
      <c r="G1166" s="223" t="s">
        <v>322</v>
      </c>
    </row>
    <row r="1167" spans="2:7" ht="30" customHeight="1" thickBot="1" x14ac:dyDescent="0.3">
      <c r="B1167" s="221" t="s">
        <v>4111</v>
      </c>
      <c r="C1167" s="221" t="s">
        <v>3790</v>
      </c>
      <c r="D1167" s="223" t="s">
        <v>9980</v>
      </c>
      <c r="E1167" s="221" t="s">
        <v>7063</v>
      </c>
      <c r="F1167" s="221" t="s">
        <v>4112</v>
      </c>
      <c r="G1167" s="221" t="s">
        <v>84</v>
      </c>
    </row>
    <row r="1168" spans="2:7" ht="30" customHeight="1" thickBot="1" x14ac:dyDescent="0.3">
      <c r="B1168" s="221"/>
      <c r="C1168" s="221"/>
      <c r="D1168" s="223" t="s">
        <v>4113</v>
      </c>
      <c r="E1168" s="221"/>
      <c r="F1168" s="221"/>
      <c r="G1168" s="221"/>
    </row>
    <row r="1169" spans="2:7" ht="30" customHeight="1" thickBot="1" x14ac:dyDescent="0.3">
      <c r="B1169" s="221" t="s">
        <v>4114</v>
      </c>
      <c r="C1169" s="221" t="s">
        <v>3790</v>
      </c>
      <c r="D1169" s="223" t="s">
        <v>9981</v>
      </c>
      <c r="E1169" s="221" t="s">
        <v>8657</v>
      </c>
      <c r="F1169" s="221" t="s">
        <v>4112</v>
      </c>
      <c r="G1169" s="221" t="s">
        <v>84</v>
      </c>
    </row>
    <row r="1170" spans="2:7" ht="30" customHeight="1" thickBot="1" x14ac:dyDescent="0.3">
      <c r="B1170" s="221"/>
      <c r="C1170" s="221"/>
      <c r="D1170" s="223" t="s">
        <v>4115</v>
      </c>
      <c r="E1170" s="221"/>
      <c r="F1170" s="221"/>
      <c r="G1170" s="221"/>
    </row>
    <row r="1171" spans="2:7" ht="30" customHeight="1" thickBot="1" x14ac:dyDescent="0.3">
      <c r="B1171" s="221"/>
      <c r="C1171" s="221"/>
      <c r="D1171" s="223" t="s">
        <v>4116</v>
      </c>
      <c r="E1171" s="221"/>
      <c r="F1171" s="221"/>
      <c r="G1171" s="221"/>
    </row>
    <row r="1172" spans="2:7" ht="30" customHeight="1" thickBot="1" x14ac:dyDescent="0.3">
      <c r="B1172" s="221"/>
      <c r="C1172" s="221"/>
      <c r="D1172" s="223" t="s">
        <v>4117</v>
      </c>
      <c r="E1172" s="221"/>
      <c r="F1172" s="221"/>
      <c r="G1172" s="221"/>
    </row>
    <row r="1173" spans="2:7" ht="30" customHeight="1" thickBot="1" x14ac:dyDescent="0.3">
      <c r="B1173" s="221"/>
      <c r="C1173" s="221"/>
      <c r="D1173" s="223" t="s">
        <v>4118</v>
      </c>
      <c r="E1173" s="221"/>
      <c r="F1173" s="221"/>
      <c r="G1173" s="221"/>
    </row>
    <row r="1174" spans="2:7" ht="30" customHeight="1" thickBot="1" x14ac:dyDescent="0.3">
      <c r="B1174" s="221" t="s">
        <v>4119</v>
      </c>
      <c r="C1174" s="221" t="s">
        <v>3790</v>
      </c>
      <c r="D1174" s="223" t="s">
        <v>9982</v>
      </c>
      <c r="E1174" s="221" t="s">
        <v>7064</v>
      </c>
      <c r="F1174" s="221" t="s">
        <v>4112</v>
      </c>
      <c r="G1174" s="221" t="s">
        <v>84</v>
      </c>
    </row>
    <row r="1175" spans="2:7" ht="30" customHeight="1" thickBot="1" x14ac:dyDescent="0.3">
      <c r="B1175" s="221"/>
      <c r="C1175" s="221"/>
      <c r="D1175" s="223" t="s">
        <v>4120</v>
      </c>
      <c r="E1175" s="221"/>
      <c r="F1175" s="221"/>
      <c r="G1175" s="221"/>
    </row>
    <row r="1176" spans="2:7" ht="30" customHeight="1" thickBot="1" x14ac:dyDescent="0.3">
      <c r="B1176" s="221" t="s">
        <v>4121</v>
      </c>
      <c r="C1176" s="221" t="s">
        <v>3790</v>
      </c>
      <c r="D1176" s="223" t="s">
        <v>9983</v>
      </c>
      <c r="E1176" s="221" t="s">
        <v>8927</v>
      </c>
      <c r="F1176" s="221" t="s">
        <v>4112</v>
      </c>
      <c r="G1176" s="221" t="s">
        <v>84</v>
      </c>
    </row>
    <row r="1177" spans="2:7" ht="30" customHeight="1" thickBot="1" x14ac:dyDescent="0.3">
      <c r="B1177" s="221"/>
      <c r="C1177" s="221"/>
      <c r="D1177" s="223" t="s">
        <v>4122</v>
      </c>
      <c r="E1177" s="221"/>
      <c r="F1177" s="221"/>
      <c r="G1177" s="221"/>
    </row>
    <row r="1178" spans="2:7" ht="30" customHeight="1" thickBot="1" x14ac:dyDescent="0.3">
      <c r="B1178" s="221" t="s">
        <v>4123</v>
      </c>
      <c r="C1178" s="221" t="s">
        <v>3790</v>
      </c>
      <c r="D1178" s="223" t="s">
        <v>9984</v>
      </c>
      <c r="E1178" s="221" t="s">
        <v>7960</v>
      </c>
      <c r="F1178" s="221" t="s">
        <v>4124</v>
      </c>
      <c r="G1178" s="221" t="s">
        <v>322</v>
      </c>
    </row>
    <row r="1179" spans="2:7" ht="30" customHeight="1" thickBot="1" x14ac:dyDescent="0.3">
      <c r="B1179" s="221"/>
      <c r="C1179" s="221"/>
      <c r="D1179" s="223" t="s">
        <v>4125</v>
      </c>
      <c r="E1179" s="221"/>
      <c r="F1179" s="221"/>
      <c r="G1179" s="221"/>
    </row>
    <row r="1180" spans="2:7" ht="30" customHeight="1" thickBot="1" x14ac:dyDescent="0.3">
      <c r="B1180" s="223" t="s">
        <v>4126</v>
      </c>
      <c r="C1180" s="223" t="s">
        <v>3790</v>
      </c>
      <c r="D1180" s="223" t="s">
        <v>4127</v>
      </c>
      <c r="E1180" s="223" t="s">
        <v>8477</v>
      </c>
      <c r="F1180" s="223" t="s">
        <v>4128</v>
      </c>
      <c r="G1180" s="223" t="s">
        <v>322</v>
      </c>
    </row>
    <row r="1181" spans="2:7" ht="30" customHeight="1" thickBot="1" x14ac:dyDescent="0.3">
      <c r="B1181" s="223" t="s">
        <v>4129</v>
      </c>
      <c r="C1181" s="223" t="s">
        <v>3790</v>
      </c>
      <c r="D1181" s="223" t="s">
        <v>4130</v>
      </c>
      <c r="E1181" s="223" t="s">
        <v>648</v>
      </c>
      <c r="F1181" s="223" t="s">
        <v>4131</v>
      </c>
      <c r="G1181" s="223" t="s">
        <v>74</v>
      </c>
    </row>
    <row r="1182" spans="2:7" ht="30" customHeight="1" thickBot="1" x14ac:dyDescent="0.3">
      <c r="B1182" s="223" t="s">
        <v>4132</v>
      </c>
      <c r="C1182" s="223" t="s">
        <v>3790</v>
      </c>
      <c r="D1182" s="223" t="s">
        <v>4133</v>
      </c>
      <c r="E1182" s="223" t="s">
        <v>7706</v>
      </c>
      <c r="F1182" s="223" t="s">
        <v>4134</v>
      </c>
      <c r="G1182" s="223" t="s">
        <v>565</v>
      </c>
    </row>
    <row r="1183" spans="2:7" ht="30" customHeight="1" thickBot="1" x14ac:dyDescent="0.3">
      <c r="B1183" s="223" t="s">
        <v>4135</v>
      </c>
      <c r="C1183" s="223" t="s">
        <v>3790</v>
      </c>
      <c r="D1183" s="223" t="s">
        <v>4136</v>
      </c>
      <c r="E1183" s="223" t="s">
        <v>7707</v>
      </c>
      <c r="F1183" s="223" t="s">
        <v>4134</v>
      </c>
      <c r="G1183" s="223" t="s">
        <v>565</v>
      </c>
    </row>
    <row r="1184" spans="2:7" ht="30" customHeight="1" thickBot="1" x14ac:dyDescent="0.3">
      <c r="B1184" s="223" t="s">
        <v>4137</v>
      </c>
      <c r="C1184" s="223" t="s">
        <v>3790</v>
      </c>
      <c r="D1184" s="223" t="s">
        <v>4138</v>
      </c>
      <c r="E1184" s="223" t="s">
        <v>7194</v>
      </c>
      <c r="F1184" s="223" t="s">
        <v>4139</v>
      </c>
      <c r="G1184" s="223" t="s">
        <v>322</v>
      </c>
    </row>
    <row r="1185" spans="2:7" ht="30" customHeight="1" thickBot="1" x14ac:dyDescent="0.3">
      <c r="B1185" s="223" t="s">
        <v>4140</v>
      </c>
      <c r="C1185" s="223" t="s">
        <v>3790</v>
      </c>
      <c r="D1185" s="223" t="s">
        <v>9985</v>
      </c>
      <c r="E1185" s="223" t="s">
        <v>7961</v>
      </c>
      <c r="F1185" s="223" t="s">
        <v>4141</v>
      </c>
      <c r="G1185" s="223" t="s">
        <v>322</v>
      </c>
    </row>
    <row r="1186" spans="2:7" ht="30" customHeight="1" thickBot="1" x14ac:dyDescent="0.3">
      <c r="B1186" s="221" t="s">
        <v>4142</v>
      </c>
      <c r="C1186" s="221" t="s">
        <v>3790</v>
      </c>
      <c r="D1186" s="223" t="s">
        <v>9986</v>
      </c>
      <c r="E1186" s="221" t="s">
        <v>7943</v>
      </c>
      <c r="F1186" s="221" t="s">
        <v>4143</v>
      </c>
      <c r="G1186" s="221" t="s">
        <v>322</v>
      </c>
    </row>
    <row r="1187" spans="2:7" ht="30" customHeight="1" thickBot="1" x14ac:dyDescent="0.3">
      <c r="B1187" s="221"/>
      <c r="C1187" s="221"/>
      <c r="D1187" s="223" t="s">
        <v>4144</v>
      </c>
      <c r="E1187" s="221"/>
      <c r="F1187" s="221"/>
      <c r="G1187" s="221"/>
    </row>
    <row r="1188" spans="2:7" ht="30" customHeight="1" thickBot="1" x14ac:dyDescent="0.3">
      <c r="B1188" s="223" t="s">
        <v>4145</v>
      </c>
      <c r="C1188" s="223" t="s">
        <v>3790</v>
      </c>
      <c r="D1188" s="223" t="s">
        <v>4146</v>
      </c>
      <c r="E1188" s="223" t="s">
        <v>8928</v>
      </c>
      <c r="F1188" s="223" t="s">
        <v>4147</v>
      </c>
      <c r="G1188" s="223" t="s">
        <v>84</v>
      </c>
    </row>
    <row r="1189" spans="2:7" ht="30" customHeight="1" thickBot="1" x14ac:dyDescent="0.3">
      <c r="B1189" s="221" t="s">
        <v>4148</v>
      </c>
      <c r="C1189" s="221" t="s">
        <v>3790</v>
      </c>
      <c r="D1189" s="223" t="s">
        <v>4149</v>
      </c>
      <c r="E1189" s="221" t="s">
        <v>7195</v>
      </c>
      <c r="F1189" s="221" t="s">
        <v>4150</v>
      </c>
      <c r="G1189" s="221" t="s">
        <v>322</v>
      </c>
    </row>
    <row r="1190" spans="2:7" ht="30" customHeight="1" thickBot="1" x14ac:dyDescent="0.3">
      <c r="B1190" s="221"/>
      <c r="C1190" s="221"/>
      <c r="D1190" s="223" t="s">
        <v>4151</v>
      </c>
      <c r="E1190" s="221"/>
      <c r="F1190" s="221"/>
      <c r="G1190" s="221"/>
    </row>
    <row r="1191" spans="2:7" ht="30" customHeight="1" thickBot="1" x14ac:dyDescent="0.3">
      <c r="B1191" s="221"/>
      <c r="C1191" s="221"/>
      <c r="D1191" s="223" t="s">
        <v>4152</v>
      </c>
      <c r="E1191" s="221"/>
      <c r="F1191" s="221"/>
      <c r="G1191" s="221"/>
    </row>
    <row r="1192" spans="2:7" ht="30" customHeight="1" thickBot="1" x14ac:dyDescent="0.3">
      <c r="B1192" s="221"/>
      <c r="C1192" s="221"/>
      <c r="D1192" s="223" t="s">
        <v>9987</v>
      </c>
      <c r="E1192" s="221"/>
      <c r="F1192" s="221"/>
      <c r="G1192" s="221"/>
    </row>
    <row r="1193" spans="2:7" ht="30" customHeight="1" thickBot="1" x14ac:dyDescent="0.3">
      <c r="B1193" s="221"/>
      <c r="C1193" s="221"/>
      <c r="D1193" s="223" t="s">
        <v>4153</v>
      </c>
      <c r="E1193" s="221"/>
      <c r="F1193" s="221"/>
      <c r="G1193" s="221"/>
    </row>
    <row r="1194" spans="2:7" ht="30" customHeight="1" thickBot="1" x14ac:dyDescent="0.3">
      <c r="B1194" s="221"/>
      <c r="C1194" s="221"/>
      <c r="D1194" s="223" t="s">
        <v>4154</v>
      </c>
      <c r="E1194" s="221"/>
      <c r="F1194" s="221"/>
      <c r="G1194" s="221"/>
    </row>
    <row r="1195" spans="2:7" ht="30" customHeight="1" thickBot="1" x14ac:dyDescent="0.3">
      <c r="B1195" s="221"/>
      <c r="C1195" s="221"/>
      <c r="D1195" s="223" t="s">
        <v>4155</v>
      </c>
      <c r="E1195" s="221"/>
      <c r="F1195" s="221"/>
      <c r="G1195" s="221"/>
    </row>
    <row r="1196" spans="2:7" ht="30" customHeight="1" thickBot="1" x14ac:dyDescent="0.3">
      <c r="B1196" s="221"/>
      <c r="C1196" s="221"/>
      <c r="D1196" s="223" t="s">
        <v>4156</v>
      </c>
      <c r="E1196" s="221"/>
      <c r="F1196" s="221"/>
      <c r="G1196" s="221"/>
    </row>
    <row r="1197" spans="2:7" ht="30" customHeight="1" thickBot="1" x14ac:dyDescent="0.3">
      <c r="B1197" s="221"/>
      <c r="C1197" s="221"/>
      <c r="D1197" s="223" t="s">
        <v>4157</v>
      </c>
      <c r="E1197" s="221"/>
      <c r="F1197" s="221"/>
      <c r="G1197" s="221"/>
    </row>
    <row r="1198" spans="2:7" ht="30" customHeight="1" thickBot="1" x14ac:dyDescent="0.3">
      <c r="B1198" s="223" t="s">
        <v>4158</v>
      </c>
      <c r="C1198" s="223" t="s">
        <v>3790</v>
      </c>
      <c r="D1198" s="223" t="s">
        <v>4159</v>
      </c>
      <c r="E1198" s="223" t="s">
        <v>7196</v>
      </c>
      <c r="F1198" s="223" t="s">
        <v>4160</v>
      </c>
      <c r="G1198" s="223" t="s">
        <v>322</v>
      </c>
    </row>
    <row r="1199" spans="2:7" ht="30" customHeight="1" thickBot="1" x14ac:dyDescent="0.3">
      <c r="B1199" s="223" t="s">
        <v>4161</v>
      </c>
      <c r="C1199" s="223" t="s">
        <v>3790</v>
      </c>
      <c r="D1199" s="223" t="s">
        <v>4162</v>
      </c>
      <c r="E1199" s="223" t="s">
        <v>7944</v>
      </c>
      <c r="F1199" s="223" t="s">
        <v>4163</v>
      </c>
      <c r="G1199" s="223" t="s">
        <v>322</v>
      </c>
    </row>
    <row r="1200" spans="2:7" ht="30" customHeight="1" thickBot="1" x14ac:dyDescent="0.3">
      <c r="B1200" s="223" t="s">
        <v>4164</v>
      </c>
      <c r="C1200" s="223" t="s">
        <v>3790</v>
      </c>
      <c r="D1200" s="223" t="s">
        <v>4159</v>
      </c>
      <c r="E1200" s="223" t="s">
        <v>7196</v>
      </c>
      <c r="F1200" s="223" t="s">
        <v>4160</v>
      </c>
      <c r="G1200" s="223" t="s">
        <v>322</v>
      </c>
    </row>
    <row r="1201" spans="2:7" ht="30" customHeight="1" thickBot="1" x14ac:dyDescent="0.3">
      <c r="B1201" s="223" t="s">
        <v>4165</v>
      </c>
      <c r="C1201" s="223" t="s">
        <v>3790</v>
      </c>
      <c r="D1201" s="223" t="s">
        <v>4166</v>
      </c>
      <c r="E1201" s="223" t="s">
        <v>7197</v>
      </c>
      <c r="F1201" s="223" t="s">
        <v>4167</v>
      </c>
      <c r="G1201" s="223" t="s">
        <v>322</v>
      </c>
    </row>
    <row r="1202" spans="2:7" ht="30" customHeight="1" thickBot="1" x14ac:dyDescent="0.3">
      <c r="B1202" s="223" t="s">
        <v>4168</v>
      </c>
      <c r="C1202" s="223" t="s">
        <v>3790</v>
      </c>
      <c r="D1202" s="223" t="s">
        <v>4169</v>
      </c>
      <c r="E1202" s="223" t="s">
        <v>9295</v>
      </c>
      <c r="F1202" s="223" t="s">
        <v>4170</v>
      </c>
      <c r="G1202" s="223" t="s">
        <v>565</v>
      </c>
    </row>
    <row r="1203" spans="2:7" ht="30" customHeight="1" thickBot="1" x14ac:dyDescent="0.3">
      <c r="B1203" s="223" t="s">
        <v>4171</v>
      </c>
      <c r="C1203" s="223" t="s">
        <v>3790</v>
      </c>
      <c r="D1203" s="223" t="s">
        <v>4172</v>
      </c>
      <c r="E1203" s="223" t="s">
        <v>7065</v>
      </c>
      <c r="F1203" s="223" t="s">
        <v>4173</v>
      </c>
      <c r="G1203" s="223" t="s">
        <v>322</v>
      </c>
    </row>
    <row r="1204" spans="2:7" ht="30" customHeight="1" thickBot="1" x14ac:dyDescent="0.3">
      <c r="B1204" s="223" t="s">
        <v>4174</v>
      </c>
      <c r="C1204" s="223" t="s">
        <v>3790</v>
      </c>
      <c r="D1204" s="223" t="s">
        <v>4175</v>
      </c>
      <c r="E1204" s="223" t="s">
        <v>7066</v>
      </c>
      <c r="F1204" s="223" t="s">
        <v>4176</v>
      </c>
      <c r="G1204" s="223" t="s">
        <v>322</v>
      </c>
    </row>
    <row r="1205" spans="2:7" ht="30" customHeight="1" thickBot="1" x14ac:dyDescent="0.3">
      <c r="B1205" s="223" t="s">
        <v>4177</v>
      </c>
      <c r="C1205" s="223" t="s">
        <v>3790</v>
      </c>
      <c r="D1205" s="223" t="s">
        <v>4178</v>
      </c>
      <c r="E1205" s="223" t="s">
        <v>7521</v>
      </c>
      <c r="F1205" s="223" t="s">
        <v>4176</v>
      </c>
      <c r="G1205" s="223" t="s">
        <v>322</v>
      </c>
    </row>
    <row r="1206" spans="2:7" ht="30" customHeight="1" thickBot="1" x14ac:dyDescent="0.3">
      <c r="B1206" s="223" t="s">
        <v>4179</v>
      </c>
      <c r="C1206" s="223" t="s">
        <v>3790</v>
      </c>
      <c r="D1206" s="223" t="s">
        <v>4180</v>
      </c>
      <c r="E1206" s="223" t="s">
        <v>9296</v>
      </c>
      <c r="F1206" s="223" t="s">
        <v>4176</v>
      </c>
      <c r="G1206" s="223" t="s">
        <v>565</v>
      </c>
    </row>
    <row r="1207" spans="2:7" ht="30" customHeight="1" thickBot="1" x14ac:dyDescent="0.3">
      <c r="B1207" s="221" t="s">
        <v>4181</v>
      </c>
      <c r="C1207" s="221" t="s">
        <v>3790</v>
      </c>
      <c r="D1207" s="223" t="s">
        <v>9988</v>
      </c>
      <c r="E1207" s="221" t="s">
        <v>7198</v>
      </c>
      <c r="F1207" s="223" t="s">
        <v>4182</v>
      </c>
      <c r="G1207" s="221" t="s">
        <v>565</v>
      </c>
    </row>
    <row r="1208" spans="2:7" ht="30" customHeight="1" thickBot="1" x14ac:dyDescent="0.3">
      <c r="B1208" s="221"/>
      <c r="C1208" s="221"/>
      <c r="D1208" s="223" t="s">
        <v>4183</v>
      </c>
      <c r="E1208" s="221"/>
      <c r="F1208" s="223" t="s">
        <v>4184</v>
      </c>
      <c r="G1208" s="221"/>
    </row>
    <row r="1209" spans="2:7" ht="30" customHeight="1" thickBot="1" x14ac:dyDescent="0.3">
      <c r="B1209" s="221"/>
      <c r="C1209" s="221"/>
      <c r="D1209" s="223" t="s">
        <v>4185</v>
      </c>
      <c r="E1209" s="221"/>
      <c r="F1209" s="223" t="s">
        <v>4186</v>
      </c>
      <c r="G1209" s="221"/>
    </row>
    <row r="1210" spans="2:7" ht="30" customHeight="1" thickBot="1" x14ac:dyDescent="0.3">
      <c r="B1210" s="221"/>
      <c r="C1210" s="221"/>
      <c r="D1210" s="223" t="s">
        <v>4187</v>
      </c>
      <c r="E1210" s="221"/>
      <c r="F1210" s="223"/>
      <c r="G1210" s="221"/>
    </row>
    <row r="1211" spans="2:7" ht="30" customHeight="1" thickBot="1" x14ac:dyDescent="0.3">
      <c r="B1211" s="221" t="s">
        <v>4188</v>
      </c>
      <c r="C1211" s="221" t="s">
        <v>3790</v>
      </c>
      <c r="D1211" s="221" t="s">
        <v>4189</v>
      </c>
      <c r="E1211" s="221" t="s">
        <v>7260</v>
      </c>
      <c r="F1211" s="223" t="s">
        <v>4190</v>
      </c>
      <c r="G1211" s="221" t="s">
        <v>565</v>
      </c>
    </row>
    <row r="1212" spans="2:7" ht="30" customHeight="1" thickBot="1" x14ac:dyDescent="0.3">
      <c r="B1212" s="221"/>
      <c r="C1212" s="221"/>
      <c r="D1212" s="221"/>
      <c r="E1212" s="221"/>
      <c r="F1212" s="223" t="s">
        <v>4191</v>
      </c>
      <c r="G1212" s="221"/>
    </row>
    <row r="1213" spans="2:7" ht="30" customHeight="1" thickBot="1" x14ac:dyDescent="0.3">
      <c r="B1213" s="223" t="s">
        <v>4192</v>
      </c>
      <c r="C1213" s="223" t="s">
        <v>3790</v>
      </c>
      <c r="D1213" s="223" t="s">
        <v>4193</v>
      </c>
      <c r="E1213" s="223" t="s">
        <v>7261</v>
      </c>
      <c r="F1213" s="223" t="s">
        <v>4194</v>
      </c>
      <c r="G1213" s="223" t="s">
        <v>565</v>
      </c>
    </row>
    <row r="1214" spans="2:7" ht="30" customHeight="1" thickBot="1" x14ac:dyDescent="0.3">
      <c r="B1214" s="223" t="s">
        <v>4195</v>
      </c>
      <c r="C1214" s="223" t="s">
        <v>3790</v>
      </c>
      <c r="D1214" s="223" t="s">
        <v>4196</v>
      </c>
      <c r="E1214" s="223" t="s">
        <v>7262</v>
      </c>
      <c r="F1214" s="223" t="s">
        <v>4197</v>
      </c>
      <c r="G1214" s="223" t="s">
        <v>565</v>
      </c>
    </row>
    <row r="1215" spans="2:7" ht="30" customHeight="1" thickBot="1" x14ac:dyDescent="0.3">
      <c r="B1215" s="223" t="s">
        <v>4198</v>
      </c>
      <c r="C1215" s="223" t="s">
        <v>3790</v>
      </c>
      <c r="D1215" s="223" t="s">
        <v>9989</v>
      </c>
      <c r="E1215" s="223" t="s">
        <v>7708</v>
      </c>
      <c r="F1215" s="223" t="s">
        <v>3445</v>
      </c>
      <c r="G1215" s="223" t="s">
        <v>565</v>
      </c>
    </row>
    <row r="1216" spans="2:7" ht="30" customHeight="1" thickBot="1" x14ac:dyDescent="0.3">
      <c r="B1216" s="223" t="s">
        <v>4199</v>
      </c>
      <c r="C1216" s="223" t="s">
        <v>3790</v>
      </c>
      <c r="D1216" s="223" t="s">
        <v>4200</v>
      </c>
      <c r="E1216" s="223" t="s">
        <v>7263</v>
      </c>
      <c r="F1216" s="223" t="s">
        <v>3445</v>
      </c>
      <c r="G1216" s="223" t="s">
        <v>565</v>
      </c>
    </row>
    <row r="1217" spans="2:7" ht="30" customHeight="1" thickBot="1" x14ac:dyDescent="0.3">
      <c r="B1217" s="223" t="s">
        <v>4201</v>
      </c>
      <c r="C1217" s="223" t="s">
        <v>3790</v>
      </c>
      <c r="D1217" s="223" t="s">
        <v>4202</v>
      </c>
      <c r="E1217" s="223" t="s">
        <v>7264</v>
      </c>
      <c r="F1217" s="223" t="s">
        <v>4203</v>
      </c>
      <c r="G1217" s="223" t="s">
        <v>565</v>
      </c>
    </row>
    <row r="1218" spans="2:7" ht="30" customHeight="1" thickBot="1" x14ac:dyDescent="0.3">
      <c r="B1218" s="223" t="s">
        <v>4204</v>
      </c>
      <c r="C1218" s="223" t="s">
        <v>3790</v>
      </c>
      <c r="D1218" s="223" t="s">
        <v>4205</v>
      </c>
      <c r="E1218" s="223" t="s">
        <v>7709</v>
      </c>
      <c r="F1218" s="223" t="s">
        <v>6378</v>
      </c>
      <c r="G1218" s="223" t="s">
        <v>565</v>
      </c>
    </row>
    <row r="1219" spans="2:7" ht="30" customHeight="1" thickBot="1" x14ac:dyDescent="0.3">
      <c r="B1219" s="221" t="s">
        <v>4206</v>
      </c>
      <c r="C1219" s="221" t="s">
        <v>3790</v>
      </c>
      <c r="D1219" s="223" t="s">
        <v>4207</v>
      </c>
      <c r="E1219" s="221" t="s">
        <v>8266</v>
      </c>
      <c r="F1219" s="221" t="s">
        <v>4208</v>
      </c>
      <c r="G1219" s="221" t="s">
        <v>84</v>
      </c>
    </row>
    <row r="1220" spans="2:7" ht="30" customHeight="1" thickBot="1" x14ac:dyDescent="0.3">
      <c r="B1220" s="221"/>
      <c r="C1220" s="221"/>
      <c r="D1220" s="223" t="s">
        <v>4209</v>
      </c>
      <c r="E1220" s="221"/>
      <c r="F1220" s="221"/>
      <c r="G1220" s="221"/>
    </row>
    <row r="1221" spans="2:7" ht="30" customHeight="1" thickBot="1" x14ac:dyDescent="0.3">
      <c r="B1221" s="221"/>
      <c r="C1221" s="221"/>
      <c r="D1221" s="223" t="s">
        <v>4210</v>
      </c>
      <c r="E1221" s="221"/>
      <c r="F1221" s="221"/>
      <c r="G1221" s="221"/>
    </row>
    <row r="1222" spans="2:7" ht="30" customHeight="1" thickBot="1" x14ac:dyDescent="0.3">
      <c r="B1222" s="221" t="s">
        <v>4211</v>
      </c>
      <c r="C1222" s="221" t="s">
        <v>3790</v>
      </c>
      <c r="D1222" s="223" t="s">
        <v>4212</v>
      </c>
      <c r="E1222" s="221" t="s">
        <v>7265</v>
      </c>
      <c r="F1222" s="221" t="s">
        <v>5694</v>
      </c>
      <c r="G1222" s="221" t="s">
        <v>565</v>
      </c>
    </row>
    <row r="1223" spans="2:7" ht="30" customHeight="1" thickBot="1" x14ac:dyDescent="0.3">
      <c r="B1223" s="221"/>
      <c r="C1223" s="221"/>
      <c r="D1223" s="223" t="s">
        <v>4213</v>
      </c>
      <c r="E1223" s="221"/>
      <c r="F1223" s="221"/>
      <c r="G1223" s="221"/>
    </row>
    <row r="1224" spans="2:7" ht="30" customHeight="1" thickBot="1" x14ac:dyDescent="0.3">
      <c r="B1224" s="223" t="s">
        <v>4214</v>
      </c>
      <c r="C1224" s="223" t="s">
        <v>3790</v>
      </c>
      <c r="D1224" s="223" t="s">
        <v>4215</v>
      </c>
      <c r="E1224" s="223" t="s">
        <v>7523</v>
      </c>
      <c r="F1224" s="223" t="s">
        <v>6393</v>
      </c>
      <c r="G1224" s="223" t="s">
        <v>565</v>
      </c>
    </row>
    <row r="1225" spans="2:7" ht="30" customHeight="1" thickBot="1" x14ac:dyDescent="0.3">
      <c r="B1225" s="223" t="s">
        <v>4216</v>
      </c>
      <c r="C1225" s="223" t="s">
        <v>3790</v>
      </c>
      <c r="D1225" s="223" t="s">
        <v>4217</v>
      </c>
      <c r="E1225" s="223" t="s">
        <v>7199</v>
      </c>
      <c r="F1225" s="223" t="s">
        <v>847</v>
      </c>
      <c r="G1225" s="223" t="s">
        <v>565</v>
      </c>
    </row>
    <row r="1226" spans="2:7" ht="30" customHeight="1" thickBot="1" x14ac:dyDescent="0.3">
      <c r="B1226" s="223" t="s">
        <v>4218</v>
      </c>
      <c r="C1226" s="223" t="s">
        <v>3790</v>
      </c>
      <c r="D1226" s="223" t="s">
        <v>4219</v>
      </c>
      <c r="E1226" s="223" t="s">
        <v>9297</v>
      </c>
      <c r="F1226" s="223" t="s">
        <v>6394</v>
      </c>
      <c r="G1226" s="223" t="s">
        <v>565</v>
      </c>
    </row>
    <row r="1227" spans="2:7" ht="30" customHeight="1" thickBot="1" x14ac:dyDescent="0.3">
      <c r="B1227" s="223" t="s">
        <v>4220</v>
      </c>
      <c r="C1227" s="223" t="s">
        <v>3790</v>
      </c>
      <c r="D1227" s="223" t="s">
        <v>4221</v>
      </c>
      <c r="E1227" s="223" t="s">
        <v>7710</v>
      </c>
      <c r="F1227" s="223" t="s">
        <v>6395</v>
      </c>
      <c r="G1227" s="223" t="s">
        <v>565</v>
      </c>
    </row>
    <row r="1228" spans="2:7" ht="30" customHeight="1" thickBot="1" x14ac:dyDescent="0.3">
      <c r="B1228" s="223" t="s">
        <v>4222</v>
      </c>
      <c r="C1228" s="223" t="s">
        <v>3790</v>
      </c>
      <c r="D1228" s="223" t="s">
        <v>9990</v>
      </c>
      <c r="E1228" s="223" t="s">
        <v>7200</v>
      </c>
      <c r="F1228" s="223" t="s">
        <v>6396</v>
      </c>
      <c r="G1228" s="223" t="s">
        <v>565</v>
      </c>
    </row>
    <row r="1229" spans="2:7" ht="30" customHeight="1" thickBot="1" x14ac:dyDescent="0.3">
      <c r="B1229" s="223" t="s">
        <v>4223</v>
      </c>
      <c r="C1229" s="223" t="s">
        <v>3790</v>
      </c>
      <c r="D1229" s="223" t="s">
        <v>4224</v>
      </c>
      <c r="E1229" s="223" t="s">
        <v>8004</v>
      </c>
      <c r="F1229" s="223" t="s">
        <v>4225</v>
      </c>
      <c r="G1229" s="223" t="s">
        <v>565</v>
      </c>
    </row>
    <row r="1230" spans="2:7" ht="30" customHeight="1" thickBot="1" x14ac:dyDescent="0.3">
      <c r="B1230" s="223" t="s">
        <v>4226</v>
      </c>
      <c r="C1230" s="223" t="s">
        <v>3790</v>
      </c>
      <c r="D1230" s="223" t="s">
        <v>4227</v>
      </c>
      <c r="E1230" s="223" t="s">
        <v>7201</v>
      </c>
      <c r="F1230" s="223" t="s">
        <v>4225</v>
      </c>
      <c r="G1230" s="223" t="s">
        <v>565</v>
      </c>
    </row>
    <row r="1231" spans="2:7" ht="30" customHeight="1" thickBot="1" x14ac:dyDescent="0.3">
      <c r="B1231" s="223" t="s">
        <v>4228</v>
      </c>
      <c r="C1231" s="223" t="s">
        <v>3790</v>
      </c>
      <c r="D1231" s="223" t="s">
        <v>4229</v>
      </c>
      <c r="E1231" s="223" t="s">
        <v>7711</v>
      </c>
      <c r="F1231" s="223" t="s">
        <v>6397</v>
      </c>
      <c r="G1231" s="223" t="s">
        <v>565</v>
      </c>
    </row>
    <row r="1232" spans="2:7" ht="30" customHeight="1" thickBot="1" x14ac:dyDescent="0.3">
      <c r="B1232" s="221" t="s">
        <v>4230</v>
      </c>
      <c r="C1232" s="221" t="s">
        <v>3790</v>
      </c>
      <c r="D1232" s="223" t="s">
        <v>4231</v>
      </c>
      <c r="E1232" s="221" t="s">
        <v>9298</v>
      </c>
      <c r="F1232" s="221" t="s">
        <v>6398</v>
      </c>
      <c r="G1232" s="221" t="s">
        <v>565</v>
      </c>
    </row>
    <row r="1233" spans="2:7" ht="30" customHeight="1" thickBot="1" x14ac:dyDescent="0.3">
      <c r="B1233" s="221"/>
      <c r="C1233" s="221"/>
      <c r="D1233" s="225" t="s">
        <v>4232</v>
      </c>
      <c r="E1233" s="221"/>
      <c r="F1233" s="221"/>
      <c r="G1233" s="221"/>
    </row>
    <row r="1234" spans="2:7" ht="30" customHeight="1" thickBot="1" x14ac:dyDescent="0.3">
      <c r="B1234" s="221" t="s">
        <v>4233</v>
      </c>
      <c r="C1234" s="221" t="s">
        <v>3790</v>
      </c>
      <c r="D1234" s="223" t="s">
        <v>9991</v>
      </c>
      <c r="E1234" s="221" t="s">
        <v>9299</v>
      </c>
      <c r="F1234" s="221" t="s">
        <v>6399</v>
      </c>
      <c r="G1234" s="221" t="s">
        <v>565</v>
      </c>
    </row>
    <row r="1235" spans="2:7" ht="30" customHeight="1" thickBot="1" x14ac:dyDescent="0.3">
      <c r="B1235" s="221"/>
      <c r="C1235" s="221"/>
      <c r="D1235" s="223" t="s">
        <v>4234</v>
      </c>
      <c r="E1235" s="221"/>
      <c r="F1235" s="221"/>
      <c r="G1235" s="221"/>
    </row>
    <row r="1236" spans="2:7" ht="30" customHeight="1" thickBot="1" x14ac:dyDescent="0.3">
      <c r="B1236" s="223" t="s">
        <v>4235</v>
      </c>
      <c r="C1236" s="223" t="s">
        <v>3790</v>
      </c>
      <c r="D1236" s="223" t="s">
        <v>4236</v>
      </c>
      <c r="E1236" s="223" t="s">
        <v>9300</v>
      </c>
      <c r="F1236" s="223" t="s">
        <v>6400</v>
      </c>
      <c r="G1236" s="223" t="s">
        <v>565</v>
      </c>
    </row>
    <row r="1237" spans="2:7" ht="30" customHeight="1" thickBot="1" x14ac:dyDescent="0.3">
      <c r="B1237" s="223" t="s">
        <v>4237</v>
      </c>
      <c r="C1237" s="223" t="s">
        <v>3790</v>
      </c>
      <c r="D1237" s="223" t="s">
        <v>9992</v>
      </c>
      <c r="E1237" s="223" t="s">
        <v>7202</v>
      </c>
      <c r="F1237" s="223" t="s">
        <v>4238</v>
      </c>
      <c r="G1237" s="223" t="s">
        <v>565</v>
      </c>
    </row>
    <row r="1238" spans="2:7" ht="30" customHeight="1" thickBot="1" x14ac:dyDescent="0.3">
      <c r="B1238" s="221" t="s">
        <v>4239</v>
      </c>
      <c r="C1238" s="221" t="s">
        <v>3790</v>
      </c>
      <c r="D1238" s="223" t="s">
        <v>9993</v>
      </c>
      <c r="E1238" s="221" t="s">
        <v>7203</v>
      </c>
      <c r="F1238" s="221" t="s">
        <v>2311</v>
      </c>
      <c r="G1238" s="221" t="s">
        <v>565</v>
      </c>
    </row>
    <row r="1239" spans="2:7" ht="30" customHeight="1" thickBot="1" x14ac:dyDescent="0.3">
      <c r="B1239" s="221"/>
      <c r="C1239" s="221"/>
      <c r="D1239" s="223" t="s">
        <v>4240</v>
      </c>
      <c r="E1239" s="221"/>
      <c r="F1239" s="221"/>
      <c r="G1239" s="221"/>
    </row>
    <row r="1240" spans="2:7" ht="30" customHeight="1" thickBot="1" x14ac:dyDescent="0.3">
      <c r="B1240" s="223" t="s">
        <v>4241</v>
      </c>
      <c r="C1240" s="223" t="s">
        <v>3790</v>
      </c>
      <c r="D1240" s="223" t="s">
        <v>4242</v>
      </c>
      <c r="E1240" s="223" t="s">
        <v>4243</v>
      </c>
      <c r="F1240" s="223" t="s">
        <v>2311</v>
      </c>
      <c r="G1240" s="223" t="s">
        <v>565</v>
      </c>
    </row>
    <row r="1241" spans="2:7" ht="30" customHeight="1" thickBot="1" x14ac:dyDescent="0.3">
      <c r="B1241" s="221" t="s">
        <v>4244</v>
      </c>
      <c r="C1241" s="221" t="s">
        <v>3790</v>
      </c>
      <c r="D1241" s="223" t="s">
        <v>9994</v>
      </c>
      <c r="E1241" s="221" t="s">
        <v>4245</v>
      </c>
      <c r="F1241" s="221" t="s">
        <v>6409</v>
      </c>
      <c r="G1241" s="221" t="s">
        <v>565</v>
      </c>
    </row>
    <row r="1242" spans="2:7" ht="30" customHeight="1" thickBot="1" x14ac:dyDescent="0.3">
      <c r="B1242" s="221"/>
      <c r="C1242" s="221"/>
      <c r="D1242" s="223" t="s">
        <v>9995</v>
      </c>
      <c r="E1242" s="221"/>
      <c r="F1242" s="221"/>
      <c r="G1242" s="221"/>
    </row>
    <row r="1243" spans="2:7" ht="30" customHeight="1" thickBot="1" x14ac:dyDescent="0.3">
      <c r="B1243" s="221" t="s">
        <v>4246</v>
      </c>
      <c r="C1243" s="221" t="s">
        <v>3790</v>
      </c>
      <c r="D1243" s="223" t="s">
        <v>9996</v>
      </c>
      <c r="E1243" s="221" t="s">
        <v>7336</v>
      </c>
      <c r="F1243" s="221" t="s">
        <v>4247</v>
      </c>
      <c r="G1243" s="221" t="s">
        <v>565</v>
      </c>
    </row>
    <row r="1244" spans="2:7" ht="30" customHeight="1" thickBot="1" x14ac:dyDescent="0.3">
      <c r="B1244" s="221"/>
      <c r="C1244" s="221"/>
      <c r="D1244" s="223" t="s">
        <v>9997</v>
      </c>
      <c r="E1244" s="221"/>
      <c r="F1244" s="221"/>
      <c r="G1244" s="221"/>
    </row>
    <row r="1245" spans="2:7" ht="30" customHeight="1" thickBot="1" x14ac:dyDescent="0.3">
      <c r="B1245" s="221" t="s">
        <v>4248</v>
      </c>
      <c r="C1245" s="221" t="s">
        <v>3790</v>
      </c>
      <c r="D1245" s="223" t="s">
        <v>9998</v>
      </c>
      <c r="E1245" s="221" t="s">
        <v>7096</v>
      </c>
      <c r="F1245" s="221" t="s">
        <v>4249</v>
      </c>
      <c r="G1245" s="221" t="s">
        <v>565</v>
      </c>
    </row>
    <row r="1246" spans="2:7" ht="30" customHeight="1" thickBot="1" x14ac:dyDescent="0.3">
      <c r="B1246" s="221"/>
      <c r="C1246" s="221"/>
      <c r="D1246" s="223" t="s">
        <v>9999</v>
      </c>
      <c r="E1246" s="221"/>
      <c r="F1246" s="221"/>
      <c r="G1246" s="221"/>
    </row>
    <row r="1247" spans="2:7" ht="30" customHeight="1" thickBot="1" x14ac:dyDescent="0.3">
      <c r="B1247" s="223" t="s">
        <v>4250</v>
      </c>
      <c r="C1247" s="223" t="s">
        <v>3790</v>
      </c>
      <c r="D1247" s="223" t="s">
        <v>10000</v>
      </c>
      <c r="E1247" s="223" t="s">
        <v>4251</v>
      </c>
      <c r="F1247" s="223" t="s">
        <v>4252</v>
      </c>
      <c r="G1247" s="223" t="s">
        <v>565</v>
      </c>
    </row>
    <row r="1248" spans="2:7" ht="30" customHeight="1" thickBot="1" x14ac:dyDescent="0.3">
      <c r="B1248" s="223" t="s">
        <v>4253</v>
      </c>
      <c r="C1248" s="223" t="s">
        <v>3790</v>
      </c>
      <c r="D1248" s="223" t="s">
        <v>4254</v>
      </c>
      <c r="E1248" s="223" t="s">
        <v>4255</v>
      </c>
      <c r="F1248" s="223" t="s">
        <v>4256</v>
      </c>
      <c r="G1248" s="223" t="s">
        <v>565</v>
      </c>
    </row>
    <row r="1249" spans="2:7" ht="30" customHeight="1" thickBot="1" x14ac:dyDescent="0.3">
      <c r="B1249" s="221" t="s">
        <v>4257</v>
      </c>
      <c r="C1249" s="221" t="s">
        <v>3790</v>
      </c>
      <c r="D1249" s="223" t="s">
        <v>10001</v>
      </c>
      <c r="E1249" s="221" t="s">
        <v>4258</v>
      </c>
      <c r="F1249" s="221" t="s">
        <v>4259</v>
      </c>
      <c r="G1249" s="221" t="s">
        <v>565</v>
      </c>
    </row>
    <row r="1250" spans="2:7" ht="30" customHeight="1" thickBot="1" x14ac:dyDescent="0.3">
      <c r="B1250" s="221"/>
      <c r="C1250" s="221"/>
      <c r="D1250" s="223" t="s">
        <v>4260</v>
      </c>
      <c r="E1250" s="221"/>
      <c r="F1250" s="221"/>
      <c r="G1250" s="221"/>
    </row>
    <row r="1251" spans="2:7" ht="30" customHeight="1" thickBot="1" x14ac:dyDescent="0.3">
      <c r="B1251" s="223" t="s">
        <v>4261</v>
      </c>
      <c r="C1251" s="223" t="s">
        <v>3790</v>
      </c>
      <c r="D1251" s="223" t="s">
        <v>4262</v>
      </c>
      <c r="E1251" s="223" t="s">
        <v>9301</v>
      </c>
      <c r="F1251" s="223" t="s">
        <v>4263</v>
      </c>
      <c r="G1251" s="223" t="s">
        <v>565</v>
      </c>
    </row>
    <row r="1252" spans="2:7" ht="30" customHeight="1" thickBot="1" x14ac:dyDescent="0.3">
      <c r="B1252" s="223" t="s">
        <v>4264</v>
      </c>
      <c r="C1252" s="223" t="s">
        <v>3790</v>
      </c>
      <c r="D1252" s="223" t="s">
        <v>4265</v>
      </c>
      <c r="E1252" s="223" t="s">
        <v>9302</v>
      </c>
      <c r="F1252" s="223" t="s">
        <v>4263</v>
      </c>
      <c r="G1252" s="223" t="s">
        <v>565</v>
      </c>
    </row>
    <row r="1253" spans="2:7" ht="30" customHeight="1" thickBot="1" x14ac:dyDescent="0.3">
      <c r="B1253" s="223" t="s">
        <v>4266</v>
      </c>
      <c r="C1253" s="223" t="s">
        <v>3790</v>
      </c>
      <c r="D1253" s="223" t="s">
        <v>4267</v>
      </c>
      <c r="E1253" s="223" t="s">
        <v>9303</v>
      </c>
      <c r="F1253" s="223" t="s">
        <v>4263</v>
      </c>
      <c r="G1253" s="223" t="s">
        <v>565</v>
      </c>
    </row>
    <row r="1254" spans="2:7" ht="30" customHeight="1" thickBot="1" x14ac:dyDescent="0.3">
      <c r="B1254" s="223" t="s">
        <v>4268</v>
      </c>
      <c r="C1254" s="223" t="s">
        <v>3790</v>
      </c>
      <c r="D1254" s="223" t="s">
        <v>4269</v>
      </c>
      <c r="E1254" s="223" t="s">
        <v>9304</v>
      </c>
      <c r="F1254" s="223" t="s">
        <v>4263</v>
      </c>
      <c r="G1254" s="223" t="s">
        <v>565</v>
      </c>
    </row>
    <row r="1255" spans="2:7" ht="30" customHeight="1" thickBot="1" x14ac:dyDescent="0.3">
      <c r="B1255" s="223" t="s">
        <v>4270</v>
      </c>
      <c r="C1255" s="223" t="s">
        <v>3790</v>
      </c>
      <c r="D1255" s="223" t="s">
        <v>4271</v>
      </c>
      <c r="E1255" s="223" t="s">
        <v>9305</v>
      </c>
      <c r="F1255" s="223" t="s">
        <v>4263</v>
      </c>
      <c r="G1255" s="223" t="s">
        <v>565</v>
      </c>
    </row>
    <row r="1256" spans="2:7" ht="30" customHeight="1" thickBot="1" x14ac:dyDescent="0.3">
      <c r="B1256" s="223" t="s">
        <v>4272</v>
      </c>
      <c r="C1256" s="223" t="s">
        <v>3790</v>
      </c>
      <c r="D1256" s="223" t="s">
        <v>4273</v>
      </c>
      <c r="E1256" s="223" t="s">
        <v>7889</v>
      </c>
      <c r="F1256" s="223" t="s">
        <v>4263</v>
      </c>
      <c r="G1256" s="223" t="s">
        <v>565</v>
      </c>
    </row>
    <row r="1257" spans="2:7" ht="30" customHeight="1" thickBot="1" x14ac:dyDescent="0.3">
      <c r="B1257" s="223" t="s">
        <v>4274</v>
      </c>
      <c r="C1257" s="223" t="s">
        <v>3790</v>
      </c>
      <c r="D1257" s="223" t="s">
        <v>4275</v>
      </c>
      <c r="E1257" s="223" t="s">
        <v>4276</v>
      </c>
      <c r="F1257" s="223" t="s">
        <v>4263</v>
      </c>
      <c r="G1257" s="223" t="s">
        <v>565</v>
      </c>
    </row>
    <row r="1258" spans="2:7" ht="30" customHeight="1" thickBot="1" x14ac:dyDescent="0.3">
      <c r="B1258" s="223" t="s">
        <v>4277</v>
      </c>
      <c r="C1258" s="223" t="s">
        <v>3790</v>
      </c>
      <c r="D1258" s="232" t="s">
        <v>10002</v>
      </c>
      <c r="E1258" s="223" t="s">
        <v>9306</v>
      </c>
      <c r="F1258" s="223" t="s">
        <v>4263</v>
      </c>
      <c r="G1258" s="223" t="s">
        <v>2538</v>
      </c>
    </row>
    <row r="1259" spans="2:7" ht="30" customHeight="1" thickBot="1" x14ac:dyDescent="0.3">
      <c r="B1259" s="223" t="s">
        <v>4278</v>
      </c>
      <c r="C1259" s="223" t="s">
        <v>3790</v>
      </c>
      <c r="D1259" s="232" t="s">
        <v>10003</v>
      </c>
      <c r="E1259" s="223" t="s">
        <v>9307</v>
      </c>
      <c r="F1259" s="223" t="s">
        <v>4263</v>
      </c>
      <c r="G1259" s="223" t="s">
        <v>2538</v>
      </c>
    </row>
    <row r="1260" spans="2:7" ht="30" customHeight="1" thickBot="1" x14ac:dyDescent="0.3">
      <c r="B1260" s="223" t="s">
        <v>4279</v>
      </c>
      <c r="C1260" s="223" t="s">
        <v>3790</v>
      </c>
      <c r="D1260" s="232" t="s">
        <v>10004</v>
      </c>
      <c r="E1260" s="223" t="s">
        <v>9308</v>
      </c>
      <c r="F1260" s="223" t="s">
        <v>4263</v>
      </c>
      <c r="G1260" s="223" t="s">
        <v>2538</v>
      </c>
    </row>
    <row r="1261" spans="2:7" ht="30" customHeight="1" thickBot="1" x14ac:dyDescent="0.3">
      <c r="B1261" s="223" t="s">
        <v>4280</v>
      </c>
      <c r="C1261" s="223" t="s">
        <v>3790</v>
      </c>
      <c r="D1261" s="223" t="s">
        <v>4281</v>
      </c>
      <c r="E1261" s="218" t="s">
        <v>9309</v>
      </c>
      <c r="F1261" s="223" t="s">
        <v>4263</v>
      </c>
      <c r="G1261" s="223" t="s">
        <v>565</v>
      </c>
    </row>
    <row r="1262" spans="2:7" ht="30" customHeight="1" thickBot="1" x14ac:dyDescent="0.3">
      <c r="B1262" s="223" t="s">
        <v>4282</v>
      </c>
      <c r="C1262" s="223" t="s">
        <v>3790</v>
      </c>
      <c r="D1262" s="223" t="s">
        <v>4283</v>
      </c>
      <c r="E1262" s="223" t="s">
        <v>4284</v>
      </c>
      <c r="F1262" s="223" t="s">
        <v>4285</v>
      </c>
      <c r="G1262" s="223" t="s">
        <v>565</v>
      </c>
    </row>
    <row r="1263" spans="2:7" ht="30" customHeight="1" thickBot="1" x14ac:dyDescent="0.3">
      <c r="B1263" s="223" t="s">
        <v>4286</v>
      </c>
      <c r="C1263" s="223" t="s">
        <v>3790</v>
      </c>
      <c r="D1263" s="223" t="s">
        <v>4287</v>
      </c>
      <c r="E1263" s="223" t="s">
        <v>9310</v>
      </c>
      <c r="F1263" s="223" t="s">
        <v>4285</v>
      </c>
      <c r="G1263" s="223" t="s">
        <v>565</v>
      </c>
    </row>
    <row r="1264" spans="2:7" ht="30" customHeight="1" thickBot="1" x14ac:dyDescent="0.3">
      <c r="B1264" s="223" t="s">
        <v>4288</v>
      </c>
      <c r="C1264" s="223" t="s">
        <v>3790</v>
      </c>
      <c r="D1264" s="223" t="s">
        <v>4289</v>
      </c>
      <c r="E1264" s="223" t="s">
        <v>4290</v>
      </c>
      <c r="F1264" s="223" t="s">
        <v>4285</v>
      </c>
      <c r="G1264" s="223" t="s">
        <v>565</v>
      </c>
    </row>
    <row r="1265" spans="2:7" ht="30" customHeight="1" thickBot="1" x14ac:dyDescent="0.3">
      <c r="B1265" s="223" t="s">
        <v>4291</v>
      </c>
      <c r="C1265" s="223" t="s">
        <v>3790</v>
      </c>
      <c r="D1265" s="223" t="s">
        <v>4292</v>
      </c>
      <c r="E1265" s="223" t="s">
        <v>4293</v>
      </c>
      <c r="F1265" s="223" t="s">
        <v>4285</v>
      </c>
      <c r="G1265" s="223" t="s">
        <v>565</v>
      </c>
    </row>
    <row r="1266" spans="2:7" ht="30" customHeight="1" thickBot="1" x14ac:dyDescent="0.3">
      <c r="B1266" s="221">
        <v>1473</v>
      </c>
      <c r="C1266" s="221" t="s">
        <v>4294</v>
      </c>
      <c r="D1266" s="222" t="s">
        <v>4295</v>
      </c>
      <c r="E1266" s="221" t="s">
        <v>9130</v>
      </c>
      <c r="F1266" s="223"/>
      <c r="G1266" s="228" t="s">
        <v>8535</v>
      </c>
    </row>
    <row r="1267" spans="2:7" ht="30" customHeight="1" thickBot="1" x14ac:dyDescent="0.3">
      <c r="B1267" s="221"/>
      <c r="C1267" s="221"/>
      <c r="D1267" s="223"/>
      <c r="E1267" s="221"/>
      <c r="F1267" s="223" t="s">
        <v>4296</v>
      </c>
      <c r="G1267" s="229"/>
    </row>
    <row r="1268" spans="2:7" ht="30" customHeight="1" thickBot="1" x14ac:dyDescent="0.3">
      <c r="B1268" s="221"/>
      <c r="C1268" s="221"/>
      <c r="D1268" s="223" t="s">
        <v>4298</v>
      </c>
      <c r="E1268" s="221"/>
      <c r="F1268" s="223"/>
      <c r="G1268" s="229"/>
    </row>
    <row r="1269" spans="2:7" ht="30" customHeight="1" thickBot="1" x14ac:dyDescent="0.3">
      <c r="B1269" s="221"/>
      <c r="C1269" s="221"/>
      <c r="D1269" s="223"/>
      <c r="E1269" s="221"/>
      <c r="F1269" s="223"/>
      <c r="G1269" s="229"/>
    </row>
    <row r="1270" spans="2:7" ht="30" customHeight="1" thickBot="1" x14ac:dyDescent="0.3">
      <c r="B1270" s="221"/>
      <c r="C1270" s="221"/>
      <c r="D1270" s="223" t="s">
        <v>4299</v>
      </c>
      <c r="E1270" s="221"/>
      <c r="F1270" s="223"/>
      <c r="G1270" s="229"/>
    </row>
    <row r="1271" spans="2:7" ht="30" customHeight="1" thickBot="1" x14ac:dyDescent="0.3">
      <c r="B1271" s="221"/>
      <c r="C1271" s="221"/>
      <c r="D1271" s="223"/>
      <c r="E1271" s="221"/>
      <c r="F1271" s="223" t="s">
        <v>4300</v>
      </c>
      <c r="G1271" s="230"/>
    </row>
    <row r="1272" spans="2:7" ht="30" customHeight="1" thickBot="1" x14ac:dyDescent="0.3">
      <c r="B1272" s="221" t="s">
        <v>4301</v>
      </c>
      <c r="C1272" s="221" t="s">
        <v>4294</v>
      </c>
      <c r="D1272" s="222" t="s">
        <v>4295</v>
      </c>
      <c r="E1272" s="221" t="s">
        <v>8340</v>
      </c>
      <c r="F1272" s="223"/>
      <c r="G1272" s="228" t="s">
        <v>8535</v>
      </c>
    </row>
    <row r="1273" spans="2:7" ht="30" customHeight="1" thickBot="1" x14ac:dyDescent="0.3">
      <c r="B1273" s="221"/>
      <c r="C1273" s="221"/>
      <c r="D1273" s="225" t="s">
        <v>4302</v>
      </c>
      <c r="E1273" s="221"/>
      <c r="F1273" s="223" t="s">
        <v>4303</v>
      </c>
      <c r="G1273" s="229"/>
    </row>
    <row r="1274" spans="2:7" ht="30" customHeight="1" thickBot="1" x14ac:dyDescent="0.3">
      <c r="B1274" s="221"/>
      <c r="C1274" s="221"/>
      <c r="D1274" s="223"/>
      <c r="E1274" s="221"/>
      <c r="F1274" s="223"/>
      <c r="G1274" s="229"/>
    </row>
    <row r="1275" spans="2:7" ht="30" customHeight="1" thickBot="1" x14ac:dyDescent="0.3">
      <c r="B1275" s="221"/>
      <c r="C1275" s="221"/>
      <c r="D1275" s="223" t="s">
        <v>4304</v>
      </c>
      <c r="E1275" s="221"/>
      <c r="F1275" s="223"/>
      <c r="G1275" s="229"/>
    </row>
    <row r="1276" spans="2:7" ht="30" customHeight="1" thickBot="1" x14ac:dyDescent="0.3">
      <c r="B1276" s="221"/>
      <c r="C1276" s="221"/>
      <c r="D1276" s="223" t="s">
        <v>575</v>
      </c>
      <c r="E1276" s="221"/>
      <c r="F1276" s="223"/>
      <c r="G1276" s="229"/>
    </row>
    <row r="1277" spans="2:7" ht="30" customHeight="1" thickBot="1" x14ac:dyDescent="0.3">
      <c r="B1277" s="221"/>
      <c r="C1277" s="221"/>
      <c r="D1277" s="223" t="s">
        <v>4305</v>
      </c>
      <c r="E1277" s="221"/>
      <c r="F1277" s="223" t="s">
        <v>4306</v>
      </c>
      <c r="G1277" s="229"/>
    </row>
    <row r="1278" spans="2:7" ht="30" customHeight="1" thickBot="1" x14ac:dyDescent="0.3">
      <c r="B1278" s="221"/>
      <c r="C1278" s="221"/>
      <c r="D1278" s="223" t="s">
        <v>4307</v>
      </c>
      <c r="E1278" s="221"/>
      <c r="F1278" s="223"/>
      <c r="G1278" s="229"/>
    </row>
    <row r="1279" spans="2:7" ht="30" customHeight="1" thickBot="1" x14ac:dyDescent="0.3">
      <c r="B1279" s="221"/>
      <c r="C1279" s="221"/>
      <c r="D1279" s="223" t="s">
        <v>4308</v>
      </c>
      <c r="E1279" s="221"/>
      <c r="F1279" s="223"/>
      <c r="G1279" s="229"/>
    </row>
    <row r="1280" spans="2:7" ht="30" customHeight="1" thickBot="1" x14ac:dyDescent="0.3">
      <c r="B1280" s="221"/>
      <c r="C1280" s="221"/>
      <c r="D1280" s="223" t="s">
        <v>4309</v>
      </c>
      <c r="E1280" s="221"/>
      <c r="F1280" s="223"/>
      <c r="G1280" s="229"/>
    </row>
    <row r="1281" spans="2:7" ht="30" customHeight="1" thickBot="1" x14ac:dyDescent="0.3">
      <c r="B1281" s="221"/>
      <c r="C1281" s="221"/>
      <c r="D1281" s="223" t="s">
        <v>4310</v>
      </c>
      <c r="E1281" s="221"/>
      <c r="F1281" s="223"/>
      <c r="G1281" s="229"/>
    </row>
    <row r="1282" spans="2:7" ht="30" customHeight="1" thickBot="1" x14ac:dyDescent="0.3">
      <c r="B1282" s="221"/>
      <c r="C1282" s="221"/>
      <c r="D1282" s="223" t="s">
        <v>4311</v>
      </c>
      <c r="E1282" s="221"/>
      <c r="F1282" s="223"/>
      <c r="G1282" s="229"/>
    </row>
    <row r="1283" spans="2:7" ht="30" customHeight="1" thickBot="1" x14ac:dyDescent="0.3">
      <c r="B1283" s="221"/>
      <c r="C1283" s="221"/>
      <c r="D1283" s="223" t="s">
        <v>4312</v>
      </c>
      <c r="E1283" s="221"/>
      <c r="F1283" s="223"/>
      <c r="G1283" s="229"/>
    </row>
    <row r="1284" spans="2:7" ht="30" customHeight="1" thickBot="1" x14ac:dyDescent="0.3">
      <c r="B1284" s="221"/>
      <c r="C1284" s="221"/>
      <c r="D1284" s="218" t="s">
        <v>575</v>
      </c>
      <c r="E1284" s="221"/>
      <c r="F1284" s="223"/>
      <c r="G1284" s="229"/>
    </row>
    <row r="1285" spans="2:7" ht="30" customHeight="1" thickBot="1" x14ac:dyDescent="0.3">
      <c r="B1285" s="221"/>
      <c r="C1285" s="221"/>
      <c r="D1285" s="223" t="s">
        <v>4313</v>
      </c>
      <c r="E1285" s="221"/>
      <c r="F1285" s="223"/>
      <c r="G1285" s="229"/>
    </row>
    <row r="1286" spans="2:7" ht="30" customHeight="1" thickBot="1" x14ac:dyDescent="0.3">
      <c r="B1286" s="221"/>
      <c r="C1286" s="221"/>
      <c r="D1286" s="223"/>
      <c r="E1286" s="221"/>
      <c r="F1286" s="223"/>
      <c r="G1286" s="229"/>
    </row>
    <row r="1287" spans="2:7" ht="30" customHeight="1" thickBot="1" x14ac:dyDescent="0.3">
      <c r="B1287" s="221"/>
      <c r="C1287" s="221"/>
      <c r="D1287" s="222" t="s">
        <v>4314</v>
      </c>
      <c r="E1287" s="221"/>
      <c r="F1287" s="223"/>
      <c r="G1287" s="229"/>
    </row>
    <row r="1288" spans="2:7" ht="30" customHeight="1" thickBot="1" x14ac:dyDescent="0.3">
      <c r="B1288" s="221"/>
      <c r="C1288" s="221"/>
      <c r="D1288" s="223" t="s">
        <v>4315</v>
      </c>
      <c r="E1288" s="221"/>
      <c r="F1288" s="223"/>
      <c r="G1288" s="229"/>
    </row>
    <row r="1289" spans="2:7" ht="30" customHeight="1" thickBot="1" x14ac:dyDescent="0.3">
      <c r="B1289" s="221"/>
      <c r="C1289" s="221"/>
      <c r="D1289" s="223"/>
      <c r="E1289" s="221"/>
      <c r="F1289" s="223"/>
      <c r="G1289" s="229"/>
    </row>
    <row r="1290" spans="2:7" ht="30" customHeight="1" thickBot="1" x14ac:dyDescent="0.3">
      <c r="B1290" s="221"/>
      <c r="C1290" s="221"/>
      <c r="D1290" s="218" t="s">
        <v>4316</v>
      </c>
      <c r="E1290" s="221"/>
      <c r="F1290" s="223"/>
      <c r="G1290" s="229"/>
    </row>
    <row r="1291" spans="2:7" ht="30" customHeight="1" thickBot="1" x14ac:dyDescent="0.3">
      <c r="B1291" s="221"/>
      <c r="C1291" s="221"/>
      <c r="D1291" s="223" t="s">
        <v>4317</v>
      </c>
      <c r="E1291" s="221"/>
      <c r="F1291" s="223"/>
      <c r="G1291" s="230"/>
    </row>
    <row r="1292" spans="2:7" ht="30" customHeight="1" thickBot="1" x14ac:dyDescent="0.3">
      <c r="B1292" s="221" t="s">
        <v>4318</v>
      </c>
      <c r="C1292" s="221" t="s">
        <v>4294</v>
      </c>
      <c r="D1292" s="222" t="s">
        <v>4319</v>
      </c>
      <c r="E1292" s="221" t="s">
        <v>8340</v>
      </c>
      <c r="F1292" s="223"/>
      <c r="G1292" s="228" t="s">
        <v>8535</v>
      </c>
    </row>
    <row r="1293" spans="2:7" ht="30" customHeight="1" thickBot="1" x14ac:dyDescent="0.3">
      <c r="B1293" s="221"/>
      <c r="C1293" s="221"/>
      <c r="D1293" s="225" t="s">
        <v>4320</v>
      </c>
      <c r="E1293" s="221"/>
      <c r="F1293" s="223" t="s">
        <v>4303</v>
      </c>
      <c r="G1293" s="229"/>
    </row>
    <row r="1294" spans="2:7" ht="30" customHeight="1" thickBot="1" x14ac:dyDescent="0.3">
      <c r="B1294" s="221"/>
      <c r="C1294" s="221"/>
      <c r="D1294" s="223"/>
      <c r="E1294" s="221"/>
      <c r="F1294" s="223"/>
      <c r="G1294" s="229"/>
    </row>
    <row r="1295" spans="2:7" ht="30" customHeight="1" thickBot="1" x14ac:dyDescent="0.3">
      <c r="B1295" s="221"/>
      <c r="C1295" s="221"/>
      <c r="D1295" s="223" t="s">
        <v>4321</v>
      </c>
      <c r="E1295" s="221"/>
      <c r="F1295" s="223"/>
      <c r="G1295" s="229"/>
    </row>
    <row r="1296" spans="2:7" ht="30" customHeight="1" thickBot="1" x14ac:dyDescent="0.3">
      <c r="B1296" s="221"/>
      <c r="C1296" s="221"/>
      <c r="D1296" s="223" t="s">
        <v>575</v>
      </c>
      <c r="E1296" s="221"/>
      <c r="F1296" s="223"/>
      <c r="G1296" s="229"/>
    </row>
    <row r="1297" spans="2:7" ht="30" customHeight="1" thickBot="1" x14ac:dyDescent="0.3">
      <c r="B1297" s="221"/>
      <c r="C1297" s="221"/>
      <c r="D1297" s="223" t="s">
        <v>4322</v>
      </c>
      <c r="E1297" s="221"/>
      <c r="F1297" s="223" t="s">
        <v>4323</v>
      </c>
      <c r="G1297" s="229"/>
    </row>
    <row r="1298" spans="2:7" ht="30" customHeight="1" thickBot="1" x14ac:dyDescent="0.3">
      <c r="B1298" s="221"/>
      <c r="C1298" s="221"/>
      <c r="D1298" s="223" t="s">
        <v>4324</v>
      </c>
      <c r="E1298" s="221"/>
      <c r="F1298" s="223"/>
      <c r="G1298" s="229"/>
    </row>
    <row r="1299" spans="2:7" ht="30" customHeight="1" thickBot="1" x14ac:dyDescent="0.3">
      <c r="B1299" s="221"/>
      <c r="C1299" s="221"/>
      <c r="D1299" s="223" t="s">
        <v>4325</v>
      </c>
      <c r="E1299" s="221"/>
      <c r="F1299" s="223"/>
      <c r="G1299" s="229"/>
    </row>
    <row r="1300" spans="2:7" ht="30" customHeight="1" thickBot="1" x14ac:dyDescent="0.3">
      <c r="B1300" s="221"/>
      <c r="C1300" s="221"/>
      <c r="D1300" s="223" t="s">
        <v>4326</v>
      </c>
      <c r="E1300" s="221"/>
      <c r="F1300" s="223"/>
      <c r="G1300" s="229"/>
    </row>
    <row r="1301" spans="2:7" ht="30" customHeight="1" thickBot="1" x14ac:dyDescent="0.3">
      <c r="B1301" s="221"/>
      <c r="C1301" s="221"/>
      <c r="D1301" s="223" t="s">
        <v>4327</v>
      </c>
      <c r="E1301" s="221"/>
      <c r="F1301" s="223"/>
      <c r="G1301" s="229"/>
    </row>
    <row r="1302" spans="2:7" ht="30" customHeight="1" thickBot="1" x14ac:dyDescent="0.3">
      <c r="B1302" s="221"/>
      <c r="C1302" s="221"/>
      <c r="D1302" s="223" t="s">
        <v>4328</v>
      </c>
      <c r="E1302" s="221"/>
      <c r="F1302" s="223"/>
      <c r="G1302" s="229"/>
    </row>
    <row r="1303" spans="2:7" ht="30" customHeight="1" thickBot="1" x14ac:dyDescent="0.3">
      <c r="B1303" s="221"/>
      <c r="C1303" s="221"/>
      <c r="D1303" s="223" t="s">
        <v>4329</v>
      </c>
      <c r="E1303" s="221"/>
      <c r="F1303" s="223"/>
      <c r="G1303" s="229"/>
    </row>
    <row r="1304" spans="2:7" ht="30" customHeight="1" thickBot="1" x14ac:dyDescent="0.3">
      <c r="B1304" s="221"/>
      <c r="C1304" s="221"/>
      <c r="D1304" s="223"/>
      <c r="E1304" s="221"/>
      <c r="F1304" s="223"/>
      <c r="G1304" s="229"/>
    </row>
    <row r="1305" spans="2:7" ht="30" customHeight="1" thickBot="1" x14ac:dyDescent="0.3">
      <c r="B1305" s="221"/>
      <c r="C1305" s="221"/>
      <c r="D1305" s="222" t="s">
        <v>4330</v>
      </c>
      <c r="E1305" s="221"/>
      <c r="F1305" s="223"/>
      <c r="G1305" s="229"/>
    </row>
    <row r="1306" spans="2:7" ht="30" customHeight="1" thickBot="1" x14ac:dyDescent="0.3">
      <c r="B1306" s="221"/>
      <c r="C1306" s="221"/>
      <c r="D1306" s="223" t="s">
        <v>4331</v>
      </c>
      <c r="E1306" s="221"/>
      <c r="F1306" s="223"/>
      <c r="G1306" s="229"/>
    </row>
    <row r="1307" spans="2:7" ht="30" customHeight="1" thickBot="1" x14ac:dyDescent="0.3">
      <c r="B1307" s="221"/>
      <c r="C1307" s="221"/>
      <c r="D1307" s="223"/>
      <c r="E1307" s="221"/>
      <c r="F1307" s="223"/>
      <c r="G1307" s="229"/>
    </row>
    <row r="1308" spans="2:7" ht="30" customHeight="1" thickBot="1" x14ac:dyDescent="0.3">
      <c r="B1308" s="221"/>
      <c r="C1308" s="221"/>
      <c r="D1308" s="218" t="s">
        <v>4332</v>
      </c>
      <c r="E1308" s="221"/>
      <c r="F1308" s="223"/>
      <c r="G1308" s="229"/>
    </row>
    <row r="1309" spans="2:7" ht="30" customHeight="1" thickBot="1" x14ac:dyDescent="0.3">
      <c r="B1309" s="221"/>
      <c r="C1309" s="221"/>
      <c r="D1309" s="223" t="s">
        <v>4333</v>
      </c>
      <c r="E1309" s="221"/>
      <c r="F1309" s="223"/>
      <c r="G1309" s="229"/>
    </row>
    <row r="1310" spans="2:7" ht="30" customHeight="1" thickBot="1" x14ac:dyDescent="0.3">
      <c r="B1310" s="221"/>
      <c r="C1310" s="221"/>
      <c r="D1310" s="223"/>
      <c r="E1310" s="221"/>
      <c r="F1310" s="223"/>
      <c r="G1310" s="229"/>
    </row>
    <row r="1311" spans="2:7" ht="30" customHeight="1" thickBot="1" x14ac:dyDescent="0.3">
      <c r="B1311" s="221"/>
      <c r="C1311" s="221"/>
      <c r="D1311" s="223" t="s">
        <v>4334</v>
      </c>
      <c r="E1311" s="221"/>
      <c r="F1311" s="223"/>
      <c r="G1311" s="229"/>
    </row>
    <row r="1312" spans="2:7" ht="30" customHeight="1" thickBot="1" x14ac:dyDescent="0.3">
      <c r="B1312" s="221"/>
      <c r="C1312" s="221"/>
      <c r="D1312" s="223"/>
      <c r="E1312" s="221"/>
      <c r="F1312" s="223"/>
      <c r="G1312" s="229"/>
    </row>
    <row r="1313" spans="2:7" ht="30" customHeight="1" thickBot="1" x14ac:dyDescent="0.3">
      <c r="B1313" s="221"/>
      <c r="C1313" s="221"/>
      <c r="D1313" s="223"/>
      <c r="E1313" s="221"/>
      <c r="F1313" s="223"/>
      <c r="G1313" s="229"/>
    </row>
    <row r="1314" spans="2:7" ht="30" customHeight="1" thickBot="1" x14ac:dyDescent="0.3">
      <c r="B1314" s="221"/>
      <c r="C1314" s="221"/>
      <c r="D1314" s="223" t="s">
        <v>4335</v>
      </c>
      <c r="E1314" s="221"/>
      <c r="F1314" s="223"/>
      <c r="G1314" s="229"/>
    </row>
    <row r="1315" spans="2:7" ht="30" customHeight="1" thickBot="1" x14ac:dyDescent="0.3">
      <c r="B1315" s="221"/>
      <c r="C1315" s="221"/>
      <c r="D1315" s="223"/>
      <c r="E1315" s="221"/>
      <c r="F1315" s="223"/>
      <c r="G1315" s="229"/>
    </row>
    <row r="1316" spans="2:7" ht="30" customHeight="1" thickBot="1" x14ac:dyDescent="0.3">
      <c r="B1316" s="221"/>
      <c r="C1316" s="221"/>
      <c r="D1316" s="223" t="s">
        <v>4336</v>
      </c>
      <c r="E1316" s="221"/>
      <c r="F1316" s="223"/>
      <c r="G1316" s="229"/>
    </row>
    <row r="1317" spans="2:7" ht="30" customHeight="1" thickBot="1" x14ac:dyDescent="0.3">
      <c r="B1317" s="221"/>
      <c r="C1317" s="221"/>
      <c r="D1317" s="223"/>
      <c r="E1317" s="221"/>
      <c r="F1317" s="223"/>
      <c r="G1317" s="229"/>
    </row>
    <row r="1318" spans="2:7" ht="30" customHeight="1" thickBot="1" x14ac:dyDescent="0.3">
      <c r="B1318" s="221"/>
      <c r="C1318" s="221"/>
      <c r="D1318" s="223" t="s">
        <v>4337</v>
      </c>
      <c r="E1318" s="221"/>
      <c r="F1318" s="223"/>
      <c r="G1318" s="230"/>
    </row>
    <row r="1319" spans="2:7" ht="30" customHeight="1" thickBot="1" x14ac:dyDescent="0.3">
      <c r="B1319" s="221" t="s">
        <v>4338</v>
      </c>
      <c r="C1319" s="221" t="s">
        <v>4294</v>
      </c>
      <c r="D1319" s="222" t="s">
        <v>4319</v>
      </c>
      <c r="E1319" s="221" t="s">
        <v>8340</v>
      </c>
      <c r="F1319" s="223"/>
      <c r="G1319" s="228" t="s">
        <v>8536</v>
      </c>
    </row>
    <row r="1320" spans="2:7" ht="30" customHeight="1" thickBot="1" x14ac:dyDescent="0.3">
      <c r="B1320" s="221"/>
      <c r="C1320" s="221"/>
      <c r="D1320" s="225" t="s">
        <v>4339</v>
      </c>
      <c r="E1320" s="221"/>
      <c r="F1320" s="223" t="s">
        <v>4303</v>
      </c>
      <c r="G1320" s="229"/>
    </row>
    <row r="1321" spans="2:7" ht="30" customHeight="1" thickBot="1" x14ac:dyDescent="0.3">
      <c r="B1321" s="221"/>
      <c r="C1321" s="221"/>
      <c r="D1321" s="225" t="s">
        <v>4340</v>
      </c>
      <c r="E1321" s="221"/>
      <c r="F1321" s="223"/>
      <c r="G1321" s="229"/>
    </row>
    <row r="1322" spans="2:7" ht="30" customHeight="1" thickBot="1" x14ac:dyDescent="0.3">
      <c r="B1322" s="221"/>
      <c r="C1322" s="221"/>
      <c r="D1322" s="223" t="s">
        <v>575</v>
      </c>
      <c r="E1322" s="221"/>
      <c r="F1322" s="223"/>
      <c r="G1322" s="229"/>
    </row>
    <row r="1323" spans="2:7" ht="30" customHeight="1" thickBot="1" x14ac:dyDescent="0.3">
      <c r="B1323" s="221"/>
      <c r="C1323" s="221"/>
      <c r="D1323" s="223" t="s">
        <v>4341</v>
      </c>
      <c r="E1323" s="221"/>
      <c r="F1323" s="223"/>
      <c r="G1323" s="229"/>
    </row>
    <row r="1324" spans="2:7" ht="30" customHeight="1" thickBot="1" x14ac:dyDescent="0.3">
      <c r="B1324" s="221"/>
      <c r="C1324" s="221"/>
      <c r="D1324" s="223" t="s">
        <v>575</v>
      </c>
      <c r="E1324" s="221"/>
      <c r="F1324" s="223" t="s">
        <v>4342</v>
      </c>
      <c r="G1324" s="229"/>
    </row>
    <row r="1325" spans="2:7" ht="30" customHeight="1" thickBot="1" x14ac:dyDescent="0.3">
      <c r="B1325" s="221"/>
      <c r="C1325" s="221"/>
      <c r="D1325" s="223" t="s">
        <v>4343</v>
      </c>
      <c r="E1325" s="221"/>
      <c r="F1325" s="223"/>
      <c r="G1325" s="229"/>
    </row>
    <row r="1326" spans="2:7" ht="30" customHeight="1" thickBot="1" x14ac:dyDescent="0.3">
      <c r="B1326" s="221"/>
      <c r="C1326" s="221"/>
      <c r="D1326" s="223"/>
      <c r="E1326" s="221"/>
      <c r="F1326" s="223"/>
      <c r="G1326" s="229"/>
    </row>
    <row r="1327" spans="2:7" ht="30" customHeight="1" thickBot="1" x14ac:dyDescent="0.3">
      <c r="B1327" s="221"/>
      <c r="C1327" s="221"/>
      <c r="D1327" s="223" t="s">
        <v>4344</v>
      </c>
      <c r="E1327" s="221"/>
      <c r="F1327" s="223"/>
      <c r="G1327" s="229"/>
    </row>
    <row r="1328" spans="2:7" ht="30" customHeight="1" thickBot="1" x14ac:dyDescent="0.3">
      <c r="B1328" s="221"/>
      <c r="C1328" s="221"/>
      <c r="D1328" s="223"/>
      <c r="E1328" s="221"/>
      <c r="F1328" s="223"/>
      <c r="G1328" s="229"/>
    </row>
    <row r="1329" spans="2:7" ht="30" customHeight="1" thickBot="1" x14ac:dyDescent="0.3">
      <c r="B1329" s="221"/>
      <c r="C1329" s="221"/>
      <c r="D1329" s="223" t="s">
        <v>4345</v>
      </c>
      <c r="E1329" s="221"/>
      <c r="F1329" s="223"/>
      <c r="G1329" s="229"/>
    </row>
    <row r="1330" spans="2:7" ht="30" customHeight="1" thickBot="1" x14ac:dyDescent="0.3">
      <c r="B1330" s="221"/>
      <c r="C1330" s="221"/>
      <c r="D1330" s="223"/>
      <c r="E1330" s="221"/>
      <c r="F1330" s="223"/>
      <c r="G1330" s="229"/>
    </row>
    <row r="1331" spans="2:7" ht="30" customHeight="1" thickBot="1" x14ac:dyDescent="0.3">
      <c r="B1331" s="221"/>
      <c r="C1331" s="221"/>
      <c r="D1331" s="223" t="s">
        <v>4346</v>
      </c>
      <c r="E1331" s="221"/>
      <c r="F1331" s="223"/>
      <c r="G1331" s="229"/>
    </row>
    <row r="1332" spans="2:7" ht="30" customHeight="1" thickBot="1" x14ac:dyDescent="0.3">
      <c r="B1332" s="221"/>
      <c r="C1332" s="221"/>
      <c r="D1332" s="223"/>
      <c r="E1332" s="221"/>
      <c r="F1332" s="223"/>
      <c r="G1332" s="229"/>
    </row>
    <row r="1333" spans="2:7" ht="30" customHeight="1" thickBot="1" x14ac:dyDescent="0.3">
      <c r="B1333" s="221"/>
      <c r="C1333" s="221"/>
      <c r="D1333" s="223" t="s">
        <v>4347</v>
      </c>
      <c r="E1333" s="221"/>
      <c r="F1333" s="223"/>
      <c r="G1333" s="229"/>
    </row>
    <row r="1334" spans="2:7" ht="30" customHeight="1" thickBot="1" x14ac:dyDescent="0.3">
      <c r="B1334" s="221"/>
      <c r="C1334" s="221"/>
      <c r="D1334" s="223"/>
      <c r="E1334" s="221"/>
      <c r="F1334" s="223"/>
      <c r="G1334" s="229"/>
    </row>
    <row r="1335" spans="2:7" ht="30" customHeight="1" thickBot="1" x14ac:dyDescent="0.3">
      <c r="B1335" s="221"/>
      <c r="C1335" s="221"/>
      <c r="D1335" s="223" t="s">
        <v>4348</v>
      </c>
      <c r="E1335" s="221"/>
      <c r="F1335" s="223"/>
      <c r="G1335" s="229"/>
    </row>
    <row r="1336" spans="2:7" ht="30" customHeight="1" thickBot="1" x14ac:dyDescent="0.3">
      <c r="B1336" s="221"/>
      <c r="C1336" s="221"/>
      <c r="D1336" s="223"/>
      <c r="E1336" s="221"/>
      <c r="F1336" s="223"/>
      <c r="G1336" s="229"/>
    </row>
    <row r="1337" spans="2:7" ht="30" customHeight="1" thickBot="1" x14ac:dyDescent="0.3">
      <c r="B1337" s="221"/>
      <c r="C1337" s="221"/>
      <c r="D1337" s="223" t="s">
        <v>4349</v>
      </c>
      <c r="E1337" s="221"/>
      <c r="F1337" s="223"/>
      <c r="G1337" s="229"/>
    </row>
    <row r="1338" spans="2:7" ht="30" customHeight="1" thickBot="1" x14ac:dyDescent="0.3">
      <c r="B1338" s="221"/>
      <c r="C1338" s="221"/>
      <c r="D1338" s="223"/>
      <c r="E1338" s="221"/>
      <c r="F1338" s="223"/>
      <c r="G1338" s="229"/>
    </row>
    <row r="1339" spans="2:7" ht="30" customHeight="1" thickBot="1" x14ac:dyDescent="0.3">
      <c r="B1339" s="221"/>
      <c r="C1339" s="221"/>
      <c r="D1339" s="223" t="s">
        <v>4350</v>
      </c>
      <c r="E1339" s="221"/>
      <c r="F1339" s="223"/>
      <c r="G1339" s="229"/>
    </row>
    <row r="1340" spans="2:7" ht="30" customHeight="1" thickBot="1" x14ac:dyDescent="0.3">
      <c r="B1340" s="221"/>
      <c r="C1340" s="221"/>
      <c r="D1340" s="223"/>
      <c r="E1340" s="221"/>
      <c r="F1340" s="223"/>
      <c r="G1340" s="229"/>
    </row>
    <row r="1341" spans="2:7" ht="30" customHeight="1" thickBot="1" x14ac:dyDescent="0.3">
      <c r="B1341" s="221"/>
      <c r="C1341" s="221"/>
      <c r="D1341" s="222" t="s">
        <v>4330</v>
      </c>
      <c r="E1341" s="221"/>
      <c r="F1341" s="223"/>
      <c r="G1341" s="229"/>
    </row>
    <row r="1342" spans="2:7" ht="30" customHeight="1" thickBot="1" x14ac:dyDescent="0.3">
      <c r="B1342" s="221"/>
      <c r="C1342" s="221"/>
      <c r="D1342" s="223" t="s">
        <v>4351</v>
      </c>
      <c r="E1342" s="221"/>
      <c r="F1342" s="223"/>
      <c r="G1342" s="229"/>
    </row>
    <row r="1343" spans="2:7" ht="30" customHeight="1" thickBot="1" x14ac:dyDescent="0.3">
      <c r="B1343" s="221"/>
      <c r="C1343" s="221"/>
      <c r="D1343" s="223"/>
      <c r="E1343" s="221"/>
      <c r="F1343" s="223"/>
      <c r="G1343" s="229"/>
    </row>
    <row r="1344" spans="2:7" ht="30" customHeight="1" thickBot="1" x14ac:dyDescent="0.3">
      <c r="B1344" s="221"/>
      <c r="C1344" s="221"/>
      <c r="D1344" s="223"/>
      <c r="E1344" s="221"/>
      <c r="F1344" s="223"/>
      <c r="G1344" s="230"/>
    </row>
    <row r="1345" spans="2:7" ht="30" customHeight="1" thickBot="1" x14ac:dyDescent="0.3">
      <c r="B1345" s="221" t="s">
        <v>4352</v>
      </c>
      <c r="C1345" s="221" t="s">
        <v>4294</v>
      </c>
      <c r="D1345" s="222" t="s">
        <v>4319</v>
      </c>
      <c r="E1345" s="221" t="s">
        <v>8340</v>
      </c>
      <c r="F1345" s="223"/>
      <c r="G1345" s="228" t="s">
        <v>8535</v>
      </c>
    </row>
    <row r="1346" spans="2:7" ht="30" customHeight="1" thickBot="1" x14ac:dyDescent="0.3">
      <c r="B1346" s="221"/>
      <c r="C1346" s="221"/>
      <c r="D1346" s="225" t="s">
        <v>4353</v>
      </c>
      <c r="E1346" s="221"/>
      <c r="F1346" s="223" t="s">
        <v>4303</v>
      </c>
      <c r="G1346" s="229"/>
    </row>
    <row r="1347" spans="2:7" ht="30" customHeight="1" thickBot="1" x14ac:dyDescent="0.3">
      <c r="B1347" s="221"/>
      <c r="C1347" s="221"/>
      <c r="D1347" s="223" t="s">
        <v>4354</v>
      </c>
      <c r="E1347" s="221"/>
      <c r="F1347" s="223"/>
      <c r="G1347" s="229"/>
    </row>
    <row r="1348" spans="2:7" ht="30" customHeight="1" thickBot="1" x14ac:dyDescent="0.3">
      <c r="B1348" s="221"/>
      <c r="C1348" s="221"/>
      <c r="D1348" s="223"/>
      <c r="E1348" s="221"/>
      <c r="F1348" s="223"/>
      <c r="G1348" s="229"/>
    </row>
    <row r="1349" spans="2:7" ht="30" customHeight="1" thickBot="1" x14ac:dyDescent="0.3">
      <c r="B1349" s="221"/>
      <c r="C1349" s="221"/>
      <c r="D1349" s="223" t="s">
        <v>4355</v>
      </c>
      <c r="E1349" s="221"/>
      <c r="F1349" s="223"/>
      <c r="G1349" s="229"/>
    </row>
    <row r="1350" spans="2:7" ht="30" customHeight="1" thickBot="1" x14ac:dyDescent="0.3">
      <c r="B1350" s="221"/>
      <c r="C1350" s="221"/>
      <c r="D1350" s="218"/>
      <c r="E1350" s="221"/>
      <c r="F1350" s="223" t="s">
        <v>4356</v>
      </c>
      <c r="G1350" s="229"/>
    </row>
    <row r="1351" spans="2:7" ht="30" customHeight="1" thickBot="1" x14ac:dyDescent="0.3">
      <c r="B1351" s="221"/>
      <c r="C1351" s="221"/>
      <c r="D1351" s="223" t="s">
        <v>4357</v>
      </c>
      <c r="E1351" s="221"/>
      <c r="F1351" s="223" t="s">
        <v>4358</v>
      </c>
      <c r="G1351" s="229"/>
    </row>
    <row r="1352" spans="2:7" ht="30" customHeight="1" thickBot="1" x14ac:dyDescent="0.3">
      <c r="B1352" s="221"/>
      <c r="C1352" s="221"/>
      <c r="D1352" s="223"/>
      <c r="E1352" s="221"/>
      <c r="F1352" s="223"/>
      <c r="G1352" s="229"/>
    </row>
    <row r="1353" spans="2:7" ht="30" customHeight="1" thickBot="1" x14ac:dyDescent="0.3">
      <c r="B1353" s="221"/>
      <c r="C1353" s="221"/>
      <c r="D1353" s="223" t="s">
        <v>4359</v>
      </c>
      <c r="E1353" s="221"/>
      <c r="F1353" s="223"/>
      <c r="G1353" s="229"/>
    </row>
    <row r="1354" spans="2:7" ht="30" customHeight="1" thickBot="1" x14ac:dyDescent="0.3">
      <c r="B1354" s="221"/>
      <c r="C1354" s="221"/>
      <c r="D1354" s="218"/>
      <c r="E1354" s="221"/>
      <c r="F1354" s="223"/>
      <c r="G1354" s="229"/>
    </row>
    <row r="1355" spans="2:7" ht="30" customHeight="1" thickBot="1" x14ac:dyDescent="0.3">
      <c r="B1355" s="221"/>
      <c r="C1355" s="221"/>
      <c r="D1355" s="222" t="s">
        <v>4360</v>
      </c>
      <c r="E1355" s="221"/>
      <c r="F1355" s="223"/>
      <c r="G1355" s="229"/>
    </row>
    <row r="1356" spans="2:7" ht="30" customHeight="1" thickBot="1" x14ac:dyDescent="0.3">
      <c r="B1356" s="221"/>
      <c r="C1356" s="221"/>
      <c r="D1356" s="223" t="s">
        <v>4361</v>
      </c>
      <c r="E1356" s="221"/>
      <c r="F1356" s="223"/>
      <c r="G1356" s="229"/>
    </row>
    <row r="1357" spans="2:7" ht="30" customHeight="1" thickBot="1" x14ac:dyDescent="0.3">
      <c r="B1357" s="221"/>
      <c r="C1357" s="221"/>
      <c r="D1357" s="223" t="s">
        <v>4362</v>
      </c>
      <c r="E1357" s="221"/>
      <c r="F1357" s="223"/>
      <c r="G1357" s="229"/>
    </row>
    <row r="1358" spans="2:7" ht="30" customHeight="1" thickBot="1" x14ac:dyDescent="0.3">
      <c r="B1358" s="221"/>
      <c r="C1358" s="221"/>
      <c r="D1358" s="223" t="s">
        <v>4363</v>
      </c>
      <c r="E1358" s="221"/>
      <c r="F1358" s="223"/>
      <c r="G1358" s="229"/>
    </row>
    <row r="1359" spans="2:7" ht="30" customHeight="1" thickBot="1" x14ac:dyDescent="0.3">
      <c r="B1359" s="221"/>
      <c r="C1359" s="221"/>
      <c r="D1359" s="223" t="s">
        <v>4364</v>
      </c>
      <c r="E1359" s="221"/>
      <c r="F1359" s="223"/>
      <c r="G1359" s="229"/>
    </row>
    <row r="1360" spans="2:7" ht="30" customHeight="1" thickBot="1" x14ac:dyDescent="0.3">
      <c r="B1360" s="221"/>
      <c r="C1360" s="221"/>
      <c r="D1360" s="223"/>
      <c r="E1360" s="221"/>
      <c r="F1360" s="223"/>
      <c r="G1360" s="229"/>
    </row>
    <row r="1361" spans="2:7" ht="30" customHeight="1" thickBot="1" x14ac:dyDescent="0.3">
      <c r="B1361" s="221"/>
      <c r="C1361" s="221"/>
      <c r="D1361" s="223"/>
      <c r="E1361" s="221"/>
      <c r="F1361" s="223"/>
      <c r="G1361" s="230"/>
    </row>
    <row r="1362" spans="2:7" ht="30" customHeight="1" thickBot="1" x14ac:dyDescent="0.3">
      <c r="B1362" s="221" t="s">
        <v>4365</v>
      </c>
      <c r="C1362" s="221" t="s">
        <v>4294</v>
      </c>
      <c r="D1362" s="222" t="s">
        <v>4319</v>
      </c>
      <c r="E1362" s="221" t="s">
        <v>8340</v>
      </c>
      <c r="F1362" s="223"/>
      <c r="G1362" s="228" t="s">
        <v>8535</v>
      </c>
    </row>
    <row r="1363" spans="2:7" ht="30" customHeight="1" thickBot="1" x14ac:dyDescent="0.3">
      <c r="B1363" s="221"/>
      <c r="C1363" s="221"/>
      <c r="D1363" s="225" t="s">
        <v>4366</v>
      </c>
      <c r="E1363" s="221"/>
      <c r="F1363" s="223" t="s">
        <v>4303</v>
      </c>
      <c r="G1363" s="229"/>
    </row>
    <row r="1364" spans="2:7" ht="30" customHeight="1" thickBot="1" x14ac:dyDescent="0.3">
      <c r="B1364" s="221"/>
      <c r="C1364" s="221"/>
      <c r="D1364" s="223"/>
      <c r="E1364" s="221"/>
      <c r="F1364" s="223"/>
      <c r="G1364" s="229"/>
    </row>
    <row r="1365" spans="2:7" ht="30" customHeight="1" thickBot="1" x14ac:dyDescent="0.3">
      <c r="B1365" s="221"/>
      <c r="C1365" s="221"/>
      <c r="D1365" s="223" t="s">
        <v>4367</v>
      </c>
      <c r="E1365" s="221"/>
      <c r="F1365" s="223"/>
      <c r="G1365" s="229"/>
    </row>
    <row r="1366" spans="2:7" ht="30" customHeight="1" thickBot="1" x14ac:dyDescent="0.3">
      <c r="B1366" s="221"/>
      <c r="C1366" s="221"/>
      <c r="D1366" s="223" t="s">
        <v>4368</v>
      </c>
      <c r="E1366" s="221"/>
      <c r="F1366" s="223"/>
      <c r="G1366" s="229"/>
    </row>
    <row r="1367" spans="2:7" ht="30" customHeight="1" thickBot="1" x14ac:dyDescent="0.3">
      <c r="B1367" s="221"/>
      <c r="C1367" s="221"/>
      <c r="D1367" s="218"/>
      <c r="E1367" s="221"/>
      <c r="F1367" s="223" t="s">
        <v>4369</v>
      </c>
      <c r="G1367" s="229"/>
    </row>
    <row r="1368" spans="2:7" ht="30" customHeight="1" thickBot="1" x14ac:dyDescent="0.3">
      <c r="B1368" s="221"/>
      <c r="C1368" s="221"/>
      <c r="D1368" s="222" t="s">
        <v>4330</v>
      </c>
      <c r="E1368" s="221"/>
      <c r="F1368" s="223"/>
      <c r="G1368" s="229"/>
    </row>
    <row r="1369" spans="2:7" ht="30" customHeight="1" thickBot="1" x14ac:dyDescent="0.3">
      <c r="B1369" s="221"/>
      <c r="C1369" s="221"/>
      <c r="D1369" s="223" t="s">
        <v>8298</v>
      </c>
      <c r="E1369" s="221"/>
      <c r="F1369" s="223"/>
      <c r="G1369" s="229"/>
    </row>
    <row r="1370" spans="2:7" ht="30" customHeight="1" thickBot="1" x14ac:dyDescent="0.3">
      <c r="B1370" s="221"/>
      <c r="C1370" s="221"/>
      <c r="D1370" s="223"/>
      <c r="E1370" s="221"/>
      <c r="F1370" s="223"/>
      <c r="G1370" s="229"/>
    </row>
    <row r="1371" spans="2:7" ht="30" customHeight="1" thickBot="1" x14ac:dyDescent="0.3">
      <c r="B1371" s="221"/>
      <c r="C1371" s="221"/>
      <c r="D1371" s="223" t="s">
        <v>4370</v>
      </c>
      <c r="E1371" s="221"/>
      <c r="F1371" s="223"/>
      <c r="G1371" s="230"/>
    </row>
    <row r="1372" spans="2:7" ht="30" customHeight="1" thickBot="1" x14ac:dyDescent="0.3">
      <c r="B1372" s="221" t="s">
        <v>4371</v>
      </c>
      <c r="C1372" s="221" t="s">
        <v>4294</v>
      </c>
      <c r="D1372" s="222" t="s">
        <v>4319</v>
      </c>
      <c r="E1372" s="221" t="s">
        <v>8340</v>
      </c>
      <c r="F1372" s="223"/>
      <c r="G1372" s="228" t="s">
        <v>8535</v>
      </c>
    </row>
    <row r="1373" spans="2:7" ht="30" customHeight="1" thickBot="1" x14ac:dyDescent="0.3">
      <c r="B1373" s="221"/>
      <c r="C1373" s="221"/>
      <c r="D1373" s="225" t="s">
        <v>4372</v>
      </c>
      <c r="E1373" s="221"/>
      <c r="F1373" s="223" t="s">
        <v>4303</v>
      </c>
      <c r="G1373" s="229"/>
    </row>
    <row r="1374" spans="2:7" ht="30" customHeight="1" thickBot="1" x14ac:dyDescent="0.3">
      <c r="B1374" s="221"/>
      <c r="C1374" s="221"/>
      <c r="D1374" s="218"/>
      <c r="E1374" s="221"/>
      <c r="F1374" s="223"/>
      <c r="G1374" s="229"/>
    </row>
    <row r="1375" spans="2:7" ht="30" customHeight="1" thickBot="1" x14ac:dyDescent="0.3">
      <c r="B1375" s="221"/>
      <c r="C1375" s="221"/>
      <c r="D1375" s="223" t="s">
        <v>4373</v>
      </c>
      <c r="E1375" s="221"/>
      <c r="F1375" s="223"/>
      <c r="G1375" s="229"/>
    </row>
    <row r="1376" spans="2:7" ht="30" customHeight="1" thickBot="1" x14ac:dyDescent="0.3">
      <c r="B1376" s="221"/>
      <c r="C1376" s="221"/>
      <c r="D1376" s="218"/>
      <c r="E1376" s="221"/>
      <c r="F1376" s="223"/>
      <c r="G1376" s="229"/>
    </row>
    <row r="1377" spans="2:7" ht="30" customHeight="1" thickBot="1" x14ac:dyDescent="0.3">
      <c r="B1377" s="221"/>
      <c r="C1377" s="221"/>
      <c r="D1377" s="222" t="s">
        <v>4374</v>
      </c>
      <c r="E1377" s="221"/>
      <c r="F1377" s="223" t="s">
        <v>4375</v>
      </c>
      <c r="G1377" s="229"/>
    </row>
    <row r="1378" spans="2:7" ht="30" customHeight="1" thickBot="1" x14ac:dyDescent="0.3">
      <c r="B1378" s="221"/>
      <c r="C1378" s="221"/>
      <c r="D1378" s="223" t="s">
        <v>4376</v>
      </c>
      <c r="E1378" s="221"/>
      <c r="F1378" s="223"/>
      <c r="G1378" s="229"/>
    </row>
    <row r="1379" spans="2:7" ht="30" customHeight="1" thickBot="1" x14ac:dyDescent="0.3">
      <c r="B1379" s="221"/>
      <c r="C1379" s="221"/>
      <c r="D1379" s="223"/>
      <c r="E1379" s="221"/>
      <c r="F1379" s="223"/>
      <c r="G1379" s="229"/>
    </row>
    <row r="1380" spans="2:7" ht="30" customHeight="1" thickBot="1" x14ac:dyDescent="0.3">
      <c r="B1380" s="221"/>
      <c r="C1380" s="221"/>
      <c r="D1380" s="223" t="s">
        <v>4377</v>
      </c>
      <c r="E1380" s="221"/>
      <c r="F1380" s="223"/>
      <c r="G1380" s="230"/>
    </row>
    <row r="1381" spans="2:7" ht="30" customHeight="1" thickBot="1" x14ac:dyDescent="0.3">
      <c r="B1381" s="221" t="s">
        <v>4378</v>
      </c>
      <c r="C1381" s="221" t="s">
        <v>4294</v>
      </c>
      <c r="D1381" s="222" t="s">
        <v>4319</v>
      </c>
      <c r="E1381" s="221" t="s">
        <v>8340</v>
      </c>
      <c r="F1381" s="223"/>
      <c r="G1381" s="228" t="s">
        <v>8536</v>
      </c>
    </row>
    <row r="1382" spans="2:7" ht="30" customHeight="1" thickBot="1" x14ac:dyDescent="0.3">
      <c r="B1382" s="221"/>
      <c r="C1382" s="221"/>
      <c r="D1382" s="225" t="s">
        <v>4379</v>
      </c>
      <c r="E1382" s="221"/>
      <c r="F1382" s="223" t="s">
        <v>4303</v>
      </c>
      <c r="G1382" s="229"/>
    </row>
    <row r="1383" spans="2:7" ht="30" customHeight="1" thickBot="1" x14ac:dyDescent="0.3">
      <c r="B1383" s="221"/>
      <c r="C1383" s="221"/>
      <c r="D1383" s="223"/>
      <c r="E1383" s="221"/>
      <c r="F1383" s="223"/>
      <c r="G1383" s="229"/>
    </row>
    <row r="1384" spans="2:7" ht="30" customHeight="1" thickBot="1" x14ac:dyDescent="0.3">
      <c r="B1384" s="221"/>
      <c r="C1384" s="221"/>
      <c r="D1384" s="223" t="s">
        <v>4380</v>
      </c>
      <c r="E1384" s="221"/>
      <c r="F1384" s="223"/>
      <c r="G1384" s="229"/>
    </row>
    <row r="1385" spans="2:7" ht="30" customHeight="1" thickBot="1" x14ac:dyDescent="0.3">
      <c r="B1385" s="221"/>
      <c r="C1385" s="221"/>
      <c r="D1385" s="218"/>
      <c r="E1385" s="221"/>
      <c r="F1385" s="223"/>
      <c r="G1385" s="229"/>
    </row>
    <row r="1386" spans="2:7" ht="30" customHeight="1" thickBot="1" x14ac:dyDescent="0.3">
      <c r="B1386" s="221"/>
      <c r="C1386" s="221"/>
      <c r="D1386" s="222" t="s">
        <v>4374</v>
      </c>
      <c r="E1386" s="221"/>
      <c r="F1386" s="223" t="s">
        <v>4381</v>
      </c>
      <c r="G1386" s="229"/>
    </row>
    <row r="1387" spans="2:7" ht="30" customHeight="1" thickBot="1" x14ac:dyDescent="0.3">
      <c r="B1387" s="221"/>
      <c r="C1387" s="221"/>
      <c r="D1387" s="223" t="s">
        <v>4382</v>
      </c>
      <c r="E1387" s="221"/>
      <c r="F1387" s="223" t="s">
        <v>4383</v>
      </c>
      <c r="G1387" s="229"/>
    </row>
    <row r="1388" spans="2:7" ht="30" customHeight="1" thickBot="1" x14ac:dyDescent="0.3">
      <c r="B1388" s="221"/>
      <c r="C1388" s="221"/>
      <c r="D1388" s="223"/>
      <c r="E1388" s="221"/>
      <c r="F1388" s="223"/>
      <c r="G1388" s="229"/>
    </row>
    <row r="1389" spans="2:7" ht="30" customHeight="1" thickBot="1" x14ac:dyDescent="0.3">
      <c r="B1389" s="221"/>
      <c r="C1389" s="221"/>
      <c r="D1389" s="223" t="s">
        <v>4384</v>
      </c>
      <c r="E1389" s="221"/>
      <c r="F1389" s="223"/>
      <c r="G1389" s="229"/>
    </row>
    <row r="1390" spans="2:7" ht="30" customHeight="1" thickBot="1" x14ac:dyDescent="0.3">
      <c r="B1390" s="221"/>
      <c r="C1390" s="221"/>
      <c r="D1390" s="223"/>
      <c r="E1390" s="221"/>
      <c r="F1390" s="223"/>
      <c r="G1390" s="229"/>
    </row>
    <row r="1391" spans="2:7" ht="30" customHeight="1" thickBot="1" x14ac:dyDescent="0.3">
      <c r="B1391" s="221"/>
      <c r="C1391" s="221"/>
      <c r="D1391" s="223" t="s">
        <v>4385</v>
      </c>
      <c r="E1391" s="221"/>
      <c r="F1391" s="223"/>
      <c r="G1391" s="229"/>
    </row>
    <row r="1392" spans="2:7" ht="30" customHeight="1" thickBot="1" x14ac:dyDescent="0.3">
      <c r="B1392" s="221"/>
      <c r="C1392" s="221"/>
      <c r="D1392" s="223"/>
      <c r="E1392" s="221"/>
      <c r="F1392" s="223"/>
      <c r="G1392" s="229"/>
    </row>
    <row r="1393" spans="2:7" ht="30" customHeight="1" thickBot="1" x14ac:dyDescent="0.3">
      <c r="B1393" s="221"/>
      <c r="C1393" s="221"/>
      <c r="D1393" s="223"/>
      <c r="E1393" s="221"/>
      <c r="F1393" s="223"/>
      <c r="G1393" s="230"/>
    </row>
    <row r="1394" spans="2:7" ht="30" customHeight="1" thickBot="1" x14ac:dyDescent="0.3">
      <c r="B1394" s="221" t="s">
        <v>4386</v>
      </c>
      <c r="C1394" s="221" t="s">
        <v>4294</v>
      </c>
      <c r="D1394" s="222" t="s">
        <v>4319</v>
      </c>
      <c r="E1394" s="221" t="s">
        <v>8341</v>
      </c>
      <c r="F1394" s="223"/>
      <c r="G1394" s="221" t="s">
        <v>8535</v>
      </c>
    </row>
    <row r="1395" spans="2:7" ht="30" customHeight="1" thickBot="1" x14ac:dyDescent="0.3">
      <c r="B1395" s="221"/>
      <c r="C1395" s="221"/>
      <c r="D1395" s="225" t="s">
        <v>4387</v>
      </c>
      <c r="E1395" s="221"/>
      <c r="F1395" s="223" t="s">
        <v>4303</v>
      </c>
      <c r="G1395" s="221"/>
    </row>
    <row r="1396" spans="2:7" ht="30" customHeight="1" thickBot="1" x14ac:dyDescent="0.3">
      <c r="B1396" s="221"/>
      <c r="C1396" s="221"/>
      <c r="D1396" s="226" t="s">
        <v>575</v>
      </c>
      <c r="E1396" s="221"/>
      <c r="F1396" s="223"/>
      <c r="G1396" s="221"/>
    </row>
    <row r="1397" spans="2:7" ht="30" customHeight="1" thickBot="1" x14ac:dyDescent="0.3">
      <c r="B1397" s="221"/>
      <c r="C1397" s="221"/>
      <c r="D1397" s="223" t="s">
        <v>4388</v>
      </c>
      <c r="E1397" s="221"/>
      <c r="F1397" s="223"/>
      <c r="G1397" s="221"/>
    </row>
    <row r="1398" spans="2:7" ht="30" customHeight="1" thickBot="1" x14ac:dyDescent="0.3">
      <c r="B1398" s="221"/>
      <c r="C1398" s="221"/>
      <c r="D1398" s="223"/>
      <c r="E1398" s="221"/>
      <c r="F1398" s="223" t="s">
        <v>4389</v>
      </c>
      <c r="G1398" s="221"/>
    </row>
    <row r="1399" spans="2:7" ht="30" customHeight="1" thickBot="1" x14ac:dyDescent="0.3">
      <c r="B1399" s="221"/>
      <c r="C1399" s="221"/>
      <c r="D1399" s="223" t="s">
        <v>4390</v>
      </c>
      <c r="E1399" s="221"/>
      <c r="F1399" s="223" t="s">
        <v>4391</v>
      </c>
      <c r="G1399" s="221"/>
    </row>
    <row r="1400" spans="2:7" ht="30" customHeight="1" thickBot="1" x14ac:dyDescent="0.3">
      <c r="B1400" s="221"/>
      <c r="C1400" s="221"/>
      <c r="D1400" s="223" t="s">
        <v>4392</v>
      </c>
      <c r="E1400" s="221"/>
      <c r="F1400" s="223"/>
      <c r="G1400" s="221"/>
    </row>
    <row r="1401" spans="2:7" ht="30" customHeight="1" thickBot="1" x14ac:dyDescent="0.3">
      <c r="B1401" s="221"/>
      <c r="C1401" s="221"/>
      <c r="D1401" s="223" t="s">
        <v>4393</v>
      </c>
      <c r="E1401" s="221"/>
      <c r="F1401" s="223"/>
      <c r="G1401" s="221"/>
    </row>
    <row r="1402" spans="2:7" ht="30" customHeight="1" thickBot="1" x14ac:dyDescent="0.3">
      <c r="B1402" s="221"/>
      <c r="C1402" s="221"/>
      <c r="D1402" s="223" t="s">
        <v>4394</v>
      </c>
      <c r="E1402" s="221"/>
      <c r="F1402" s="223"/>
      <c r="G1402" s="221"/>
    </row>
    <row r="1403" spans="2:7" ht="30" customHeight="1" thickBot="1" x14ac:dyDescent="0.3">
      <c r="B1403" s="221"/>
      <c r="C1403" s="221"/>
      <c r="D1403" s="223" t="s">
        <v>4395</v>
      </c>
      <c r="E1403" s="221"/>
      <c r="F1403" s="223"/>
      <c r="G1403" s="221"/>
    </row>
    <row r="1404" spans="2:7" ht="30" customHeight="1" thickBot="1" x14ac:dyDescent="0.3">
      <c r="B1404" s="221"/>
      <c r="C1404" s="221"/>
      <c r="D1404" s="223" t="s">
        <v>4396</v>
      </c>
      <c r="E1404" s="221"/>
      <c r="F1404" s="223"/>
      <c r="G1404" s="221"/>
    </row>
    <row r="1405" spans="2:7" ht="30" customHeight="1" thickBot="1" x14ac:dyDescent="0.3">
      <c r="B1405" s="221"/>
      <c r="C1405" s="221"/>
      <c r="D1405" s="223" t="s">
        <v>4397</v>
      </c>
      <c r="E1405" s="221"/>
      <c r="F1405" s="223"/>
      <c r="G1405" s="221"/>
    </row>
    <row r="1406" spans="2:7" ht="30" customHeight="1" thickBot="1" x14ac:dyDescent="0.3">
      <c r="B1406" s="221"/>
      <c r="C1406" s="221"/>
      <c r="D1406" s="223" t="s">
        <v>4398</v>
      </c>
      <c r="E1406" s="221"/>
      <c r="F1406" s="223"/>
      <c r="G1406" s="221"/>
    </row>
    <row r="1407" spans="2:7" ht="30" customHeight="1" thickBot="1" x14ac:dyDescent="0.3">
      <c r="B1407" s="221"/>
      <c r="C1407" s="221"/>
      <c r="D1407" s="223" t="s">
        <v>4399</v>
      </c>
      <c r="E1407" s="221"/>
      <c r="F1407" s="223"/>
      <c r="G1407" s="221"/>
    </row>
    <row r="1408" spans="2:7" ht="30" customHeight="1" thickBot="1" x14ac:dyDescent="0.3">
      <c r="B1408" s="221"/>
      <c r="C1408" s="221"/>
      <c r="D1408" s="223" t="s">
        <v>575</v>
      </c>
      <c r="E1408" s="221"/>
      <c r="F1408" s="223"/>
      <c r="G1408" s="221"/>
    </row>
    <row r="1409" spans="2:7" ht="30" customHeight="1" thickBot="1" x14ac:dyDescent="0.3">
      <c r="B1409" s="221"/>
      <c r="C1409" s="221"/>
      <c r="D1409" s="223" t="s">
        <v>4400</v>
      </c>
      <c r="E1409" s="221"/>
      <c r="F1409" s="223"/>
      <c r="G1409" s="221"/>
    </row>
    <row r="1410" spans="2:7" ht="30" customHeight="1" thickBot="1" x14ac:dyDescent="0.3">
      <c r="B1410" s="221"/>
      <c r="C1410" s="221"/>
      <c r="D1410" s="218"/>
      <c r="E1410" s="221"/>
      <c r="F1410" s="223"/>
      <c r="G1410" s="221"/>
    </row>
    <row r="1411" spans="2:7" ht="30" customHeight="1" thickBot="1" x14ac:dyDescent="0.3">
      <c r="B1411" s="221"/>
      <c r="C1411" s="221"/>
      <c r="D1411" s="222" t="s">
        <v>4374</v>
      </c>
      <c r="E1411" s="221"/>
      <c r="F1411" s="223"/>
      <c r="G1411" s="221"/>
    </row>
    <row r="1412" spans="2:7" ht="30" customHeight="1" thickBot="1" x14ac:dyDescent="0.3">
      <c r="B1412" s="221"/>
      <c r="C1412" s="221"/>
      <c r="D1412" s="223" t="s">
        <v>4401</v>
      </c>
      <c r="E1412" s="221"/>
      <c r="F1412" s="223"/>
      <c r="G1412" s="221"/>
    </row>
    <row r="1413" spans="2:7" ht="30" customHeight="1" thickBot="1" x14ac:dyDescent="0.3">
      <c r="B1413" s="221"/>
      <c r="C1413" s="221"/>
      <c r="D1413" s="223"/>
      <c r="E1413" s="221"/>
      <c r="F1413" s="223"/>
      <c r="G1413" s="221"/>
    </row>
    <row r="1414" spans="2:7" ht="30" customHeight="1" thickBot="1" x14ac:dyDescent="0.3">
      <c r="B1414" s="221"/>
      <c r="C1414" s="221"/>
      <c r="D1414" s="223" t="s">
        <v>4402</v>
      </c>
      <c r="E1414" s="221"/>
      <c r="F1414" s="223"/>
      <c r="G1414" s="221"/>
    </row>
    <row r="1415" spans="2:7" ht="30" customHeight="1" thickBot="1" x14ac:dyDescent="0.3">
      <c r="B1415" s="221"/>
      <c r="C1415" s="221"/>
      <c r="D1415" s="223"/>
      <c r="E1415" s="221"/>
      <c r="F1415" s="223"/>
      <c r="G1415" s="221"/>
    </row>
    <row r="1416" spans="2:7" ht="30" customHeight="1" thickBot="1" x14ac:dyDescent="0.3">
      <c r="B1416" s="221"/>
      <c r="C1416" s="221"/>
      <c r="D1416" s="223" t="s">
        <v>4388</v>
      </c>
      <c r="E1416" s="221"/>
      <c r="F1416" s="223"/>
      <c r="G1416" s="221"/>
    </row>
    <row r="1417" spans="2:7" ht="30" customHeight="1" thickBot="1" x14ac:dyDescent="0.3">
      <c r="B1417" s="221"/>
      <c r="C1417" s="221"/>
      <c r="D1417" s="223"/>
      <c r="E1417" s="221"/>
      <c r="F1417" s="223"/>
      <c r="G1417" s="221"/>
    </row>
    <row r="1418" spans="2:7" ht="30" customHeight="1" thickBot="1" x14ac:dyDescent="0.3">
      <c r="B1418" s="221"/>
      <c r="C1418" s="221"/>
      <c r="D1418" s="223" t="s">
        <v>4403</v>
      </c>
      <c r="E1418" s="221"/>
      <c r="F1418" s="223"/>
      <c r="G1418" s="221"/>
    </row>
    <row r="1419" spans="2:7" ht="30" customHeight="1" thickBot="1" x14ac:dyDescent="0.3">
      <c r="B1419" s="221"/>
      <c r="C1419" s="221"/>
      <c r="D1419" s="223" t="s">
        <v>4404</v>
      </c>
      <c r="E1419" s="221"/>
      <c r="F1419" s="223"/>
      <c r="G1419" s="221"/>
    </row>
    <row r="1420" spans="2:7" ht="30" customHeight="1" thickBot="1" x14ac:dyDescent="0.3">
      <c r="B1420" s="221"/>
      <c r="C1420" s="221"/>
      <c r="D1420" s="223" t="s">
        <v>4405</v>
      </c>
      <c r="E1420" s="221"/>
      <c r="F1420" s="223"/>
      <c r="G1420" s="221"/>
    </row>
    <row r="1421" spans="2:7" ht="30" customHeight="1" thickBot="1" x14ac:dyDescent="0.3">
      <c r="B1421" s="221"/>
      <c r="C1421" s="221"/>
      <c r="D1421" s="223" t="s">
        <v>4406</v>
      </c>
      <c r="E1421" s="221"/>
      <c r="F1421" s="223"/>
      <c r="G1421" s="221"/>
    </row>
    <row r="1422" spans="2:7" ht="30" customHeight="1" thickBot="1" x14ac:dyDescent="0.3">
      <c r="B1422" s="221"/>
      <c r="C1422" s="221"/>
      <c r="D1422" s="223"/>
      <c r="E1422" s="221"/>
      <c r="F1422" s="223"/>
      <c r="G1422" s="221"/>
    </row>
    <row r="1423" spans="2:7" ht="30" customHeight="1" thickBot="1" x14ac:dyDescent="0.3">
      <c r="B1423" s="221"/>
      <c r="C1423" s="221"/>
      <c r="D1423" s="223" t="s">
        <v>4407</v>
      </c>
      <c r="E1423" s="221"/>
      <c r="F1423" s="223"/>
      <c r="G1423" s="221"/>
    </row>
    <row r="1424" spans="2:7" ht="30" customHeight="1" thickBot="1" x14ac:dyDescent="0.3">
      <c r="B1424" s="221"/>
      <c r="C1424" s="221"/>
      <c r="D1424" s="223"/>
      <c r="E1424" s="221"/>
      <c r="F1424" s="223"/>
      <c r="G1424" s="221"/>
    </row>
    <row r="1425" spans="2:7" ht="30" customHeight="1" thickBot="1" x14ac:dyDescent="0.3">
      <c r="B1425" s="221"/>
      <c r="C1425" s="221"/>
      <c r="D1425" s="223" t="s">
        <v>4408</v>
      </c>
      <c r="E1425" s="221"/>
      <c r="F1425" s="223"/>
      <c r="G1425" s="221"/>
    </row>
    <row r="1426" spans="2:7" ht="30" customHeight="1" thickBot="1" x14ac:dyDescent="0.3">
      <c r="B1426" s="221" t="s">
        <v>4409</v>
      </c>
      <c r="C1426" s="221" t="s">
        <v>4294</v>
      </c>
      <c r="D1426" s="222" t="s">
        <v>4319</v>
      </c>
      <c r="E1426" s="221" t="s">
        <v>8333</v>
      </c>
      <c r="F1426" s="223"/>
      <c r="G1426" s="228" t="s">
        <v>8536</v>
      </c>
    </row>
    <row r="1427" spans="2:7" ht="30" customHeight="1" thickBot="1" x14ac:dyDescent="0.3">
      <c r="B1427" s="221"/>
      <c r="C1427" s="221"/>
      <c r="D1427" s="223"/>
      <c r="E1427" s="221"/>
      <c r="F1427" s="223" t="s">
        <v>4303</v>
      </c>
      <c r="G1427" s="229"/>
    </row>
    <row r="1428" spans="2:7" ht="30" customHeight="1" thickBot="1" x14ac:dyDescent="0.3">
      <c r="B1428" s="221"/>
      <c r="C1428" s="221"/>
      <c r="D1428" s="223" t="s">
        <v>4410</v>
      </c>
      <c r="E1428" s="221"/>
      <c r="F1428" s="223"/>
      <c r="G1428" s="229"/>
    </row>
    <row r="1429" spans="2:7" ht="30" customHeight="1" thickBot="1" x14ac:dyDescent="0.3">
      <c r="B1429" s="221"/>
      <c r="C1429" s="221"/>
      <c r="D1429" s="223" t="s">
        <v>4411</v>
      </c>
      <c r="E1429" s="221"/>
      <c r="F1429" s="223" t="s">
        <v>4412</v>
      </c>
      <c r="G1429" s="229"/>
    </row>
    <row r="1430" spans="2:7" ht="30" customHeight="1" thickBot="1" x14ac:dyDescent="0.3">
      <c r="B1430" s="221"/>
      <c r="C1430" s="221"/>
      <c r="D1430" s="223"/>
      <c r="E1430" s="221"/>
      <c r="F1430" s="223"/>
      <c r="G1430" s="229"/>
    </row>
    <row r="1431" spans="2:7" ht="30" customHeight="1" thickBot="1" x14ac:dyDescent="0.3">
      <c r="B1431" s="221"/>
      <c r="C1431" s="221"/>
      <c r="D1431" s="223" t="s">
        <v>4413</v>
      </c>
      <c r="E1431" s="221"/>
      <c r="F1431" s="223"/>
      <c r="G1431" s="229"/>
    </row>
    <row r="1432" spans="2:7" ht="30" customHeight="1" thickBot="1" x14ac:dyDescent="0.3">
      <c r="B1432" s="221"/>
      <c r="C1432" s="221"/>
      <c r="D1432" s="223" t="s">
        <v>4414</v>
      </c>
      <c r="E1432" s="221"/>
      <c r="F1432" s="223"/>
      <c r="G1432" s="229"/>
    </row>
    <row r="1433" spans="2:7" ht="30" customHeight="1" thickBot="1" x14ac:dyDescent="0.3">
      <c r="B1433" s="221"/>
      <c r="C1433" s="221"/>
      <c r="D1433" s="223"/>
      <c r="E1433" s="221"/>
      <c r="F1433" s="223"/>
      <c r="G1433" s="229"/>
    </row>
    <row r="1434" spans="2:7" ht="30" customHeight="1" thickBot="1" x14ac:dyDescent="0.3">
      <c r="B1434" s="221"/>
      <c r="C1434" s="221"/>
      <c r="D1434" s="222" t="s">
        <v>4374</v>
      </c>
      <c r="E1434" s="221"/>
      <c r="F1434" s="223"/>
      <c r="G1434" s="229"/>
    </row>
    <row r="1435" spans="2:7" ht="30" customHeight="1" thickBot="1" x14ac:dyDescent="0.3">
      <c r="B1435" s="221"/>
      <c r="C1435" s="221"/>
      <c r="D1435" s="223"/>
      <c r="E1435" s="221"/>
      <c r="F1435" s="223"/>
      <c r="G1435" s="229"/>
    </row>
    <row r="1436" spans="2:7" ht="30" customHeight="1" thickBot="1" x14ac:dyDescent="0.3">
      <c r="B1436" s="221"/>
      <c r="C1436" s="221"/>
      <c r="D1436" s="223" t="s">
        <v>4415</v>
      </c>
      <c r="E1436" s="221"/>
      <c r="F1436" s="223"/>
      <c r="G1436" s="229"/>
    </row>
    <row r="1437" spans="2:7" ht="30" customHeight="1" thickBot="1" x14ac:dyDescent="0.3">
      <c r="B1437" s="221"/>
      <c r="C1437" s="221"/>
      <c r="D1437" s="223"/>
      <c r="E1437" s="221"/>
      <c r="F1437" s="223"/>
      <c r="G1437" s="229"/>
    </row>
    <row r="1438" spans="2:7" ht="30" customHeight="1" thickBot="1" x14ac:dyDescent="0.3">
      <c r="B1438" s="221"/>
      <c r="C1438" s="221"/>
      <c r="D1438" s="218" t="s">
        <v>10005</v>
      </c>
      <c r="E1438" s="221"/>
      <c r="F1438" s="223"/>
      <c r="G1438" s="229"/>
    </row>
    <row r="1439" spans="2:7" ht="30" customHeight="1" thickBot="1" x14ac:dyDescent="0.3">
      <c r="B1439" s="221"/>
      <c r="C1439" s="221"/>
      <c r="D1439" s="223" t="s">
        <v>4416</v>
      </c>
      <c r="E1439" s="221"/>
      <c r="F1439" s="223"/>
      <c r="G1439" s="229"/>
    </row>
    <row r="1440" spans="2:7" ht="30" customHeight="1" thickBot="1" x14ac:dyDescent="0.3">
      <c r="B1440" s="221"/>
      <c r="C1440" s="221"/>
      <c r="D1440" s="223"/>
      <c r="E1440" s="221"/>
      <c r="F1440" s="223"/>
      <c r="G1440" s="230"/>
    </row>
    <row r="1441" spans="2:7" ht="30" customHeight="1" thickBot="1" x14ac:dyDescent="0.3">
      <c r="B1441" s="221" t="s">
        <v>4417</v>
      </c>
      <c r="C1441" s="221" t="s">
        <v>4294</v>
      </c>
      <c r="D1441" s="222" t="s">
        <v>4374</v>
      </c>
      <c r="E1441" s="221" t="s">
        <v>8342</v>
      </c>
      <c r="F1441" s="223"/>
      <c r="G1441" s="228" t="s">
        <v>8536</v>
      </c>
    </row>
    <row r="1442" spans="2:7" ht="30" customHeight="1" thickBot="1" x14ac:dyDescent="0.3">
      <c r="B1442" s="221"/>
      <c r="C1442" s="221"/>
      <c r="D1442" s="223" t="s">
        <v>4418</v>
      </c>
      <c r="E1442" s="221"/>
      <c r="F1442" s="223" t="s">
        <v>4303</v>
      </c>
      <c r="G1442" s="229"/>
    </row>
    <row r="1443" spans="2:7" ht="30" customHeight="1" thickBot="1" x14ac:dyDescent="0.3">
      <c r="B1443" s="221"/>
      <c r="C1443" s="221"/>
      <c r="D1443" s="218"/>
      <c r="E1443" s="221"/>
      <c r="F1443" s="223"/>
      <c r="G1443" s="229"/>
    </row>
    <row r="1444" spans="2:7" ht="30" customHeight="1" thickBot="1" x14ac:dyDescent="0.3">
      <c r="B1444" s="221"/>
      <c r="C1444" s="221"/>
      <c r="D1444" s="218" t="s">
        <v>4419</v>
      </c>
      <c r="E1444" s="221"/>
      <c r="F1444" s="223" t="s">
        <v>4420</v>
      </c>
      <c r="G1444" s="229"/>
    </row>
    <row r="1445" spans="2:7" ht="30" customHeight="1" thickBot="1" x14ac:dyDescent="0.3">
      <c r="B1445" s="221"/>
      <c r="C1445" s="221"/>
      <c r="D1445" s="218"/>
      <c r="E1445" s="221"/>
      <c r="F1445" s="223"/>
      <c r="G1445" s="229"/>
    </row>
    <row r="1446" spans="2:7" ht="30" customHeight="1" thickBot="1" x14ac:dyDescent="0.3">
      <c r="B1446" s="221"/>
      <c r="C1446" s="221"/>
      <c r="D1446" s="223" t="s">
        <v>4421</v>
      </c>
      <c r="E1446" s="221"/>
      <c r="F1446" s="223"/>
      <c r="G1446" s="229"/>
    </row>
    <row r="1447" spans="2:7" ht="30" customHeight="1" thickBot="1" x14ac:dyDescent="0.3">
      <c r="B1447" s="221"/>
      <c r="C1447" s="221"/>
      <c r="D1447" s="223"/>
      <c r="E1447" s="221"/>
      <c r="F1447" s="223"/>
      <c r="G1447" s="229"/>
    </row>
    <row r="1448" spans="2:7" ht="30" customHeight="1" thickBot="1" x14ac:dyDescent="0.3">
      <c r="B1448" s="221"/>
      <c r="C1448" s="221"/>
      <c r="D1448" s="218" t="s">
        <v>4422</v>
      </c>
      <c r="E1448" s="221"/>
      <c r="F1448" s="223"/>
      <c r="G1448" s="229"/>
    </row>
    <row r="1449" spans="2:7" ht="30" customHeight="1" thickBot="1" x14ac:dyDescent="0.3">
      <c r="B1449" s="221"/>
      <c r="C1449" s="221"/>
      <c r="D1449" s="223"/>
      <c r="E1449" s="221"/>
      <c r="F1449" s="223"/>
      <c r="G1449" s="229"/>
    </row>
    <row r="1450" spans="2:7" ht="30" customHeight="1" thickBot="1" x14ac:dyDescent="0.3">
      <c r="B1450" s="221"/>
      <c r="C1450" s="221"/>
      <c r="D1450" s="223" t="s">
        <v>4423</v>
      </c>
      <c r="E1450" s="221"/>
      <c r="F1450" s="223"/>
      <c r="G1450" s="229"/>
    </row>
    <row r="1451" spans="2:7" ht="30" customHeight="1" thickBot="1" x14ac:dyDescent="0.3">
      <c r="B1451" s="221"/>
      <c r="C1451" s="221"/>
      <c r="D1451" s="223" t="s">
        <v>4424</v>
      </c>
      <c r="E1451" s="221"/>
      <c r="F1451" s="223"/>
      <c r="G1451" s="229"/>
    </row>
    <row r="1452" spans="2:7" ht="30" customHeight="1" thickBot="1" x14ac:dyDescent="0.3">
      <c r="B1452" s="221"/>
      <c r="C1452" s="221"/>
      <c r="D1452" s="223"/>
      <c r="E1452" s="221"/>
      <c r="F1452" s="223"/>
      <c r="G1452" s="229"/>
    </row>
    <row r="1453" spans="2:7" ht="30" customHeight="1" thickBot="1" x14ac:dyDescent="0.3">
      <c r="B1453" s="221"/>
      <c r="C1453" s="221"/>
      <c r="D1453" s="223"/>
      <c r="E1453" s="221"/>
      <c r="F1453" s="223"/>
      <c r="G1453" s="229"/>
    </row>
    <row r="1454" spans="2:7" ht="30" customHeight="1" thickBot="1" x14ac:dyDescent="0.3">
      <c r="B1454" s="221"/>
      <c r="C1454" s="221"/>
      <c r="D1454" s="218" t="s">
        <v>4425</v>
      </c>
      <c r="E1454" s="221"/>
      <c r="F1454" s="223"/>
      <c r="G1454" s="229"/>
    </row>
    <row r="1455" spans="2:7" ht="30" customHeight="1" thickBot="1" x14ac:dyDescent="0.3">
      <c r="B1455" s="221"/>
      <c r="C1455" s="221"/>
      <c r="D1455" s="223"/>
      <c r="E1455" s="221"/>
      <c r="F1455" s="223"/>
      <c r="G1455" s="229"/>
    </row>
    <row r="1456" spans="2:7" ht="30" customHeight="1" thickBot="1" x14ac:dyDescent="0.3">
      <c r="B1456" s="221"/>
      <c r="C1456" s="221"/>
      <c r="D1456" s="223" t="s">
        <v>4426</v>
      </c>
      <c r="E1456" s="221"/>
      <c r="F1456" s="223"/>
      <c r="G1456" s="229"/>
    </row>
    <row r="1457" spans="2:7" ht="30" customHeight="1" thickBot="1" x14ac:dyDescent="0.3">
      <c r="B1457" s="221"/>
      <c r="C1457" s="221"/>
      <c r="D1457" s="223"/>
      <c r="E1457" s="221"/>
      <c r="F1457" s="223"/>
      <c r="G1457" s="229"/>
    </row>
    <row r="1458" spans="2:7" ht="30" customHeight="1" thickBot="1" x14ac:dyDescent="0.3">
      <c r="B1458" s="221"/>
      <c r="C1458" s="221"/>
      <c r="D1458" s="218" t="s">
        <v>4427</v>
      </c>
      <c r="E1458" s="221"/>
      <c r="F1458" s="223"/>
      <c r="G1458" s="229"/>
    </row>
    <row r="1459" spans="2:7" ht="30" customHeight="1" thickBot="1" x14ac:dyDescent="0.3">
      <c r="B1459" s="221"/>
      <c r="C1459" s="221"/>
      <c r="D1459" s="223"/>
      <c r="E1459" s="221"/>
      <c r="F1459" s="223"/>
      <c r="G1459" s="229"/>
    </row>
    <row r="1460" spans="2:7" ht="30" customHeight="1" thickBot="1" x14ac:dyDescent="0.3">
      <c r="B1460" s="221"/>
      <c r="C1460" s="221"/>
      <c r="D1460" s="223" t="s">
        <v>4428</v>
      </c>
      <c r="E1460" s="221"/>
      <c r="F1460" s="223"/>
      <c r="G1460" s="229"/>
    </row>
    <row r="1461" spans="2:7" ht="30" customHeight="1" thickBot="1" x14ac:dyDescent="0.3">
      <c r="B1461" s="221"/>
      <c r="C1461" s="221"/>
      <c r="D1461" s="223"/>
      <c r="E1461" s="221"/>
      <c r="F1461" s="223"/>
      <c r="G1461" s="230"/>
    </row>
    <row r="1462" spans="2:7" ht="30" customHeight="1" thickBot="1" x14ac:dyDescent="0.3">
      <c r="B1462" s="221" t="s">
        <v>4429</v>
      </c>
      <c r="C1462" s="221" t="s">
        <v>4294</v>
      </c>
      <c r="D1462" s="222" t="s">
        <v>4319</v>
      </c>
      <c r="E1462" s="221" t="s">
        <v>8340</v>
      </c>
      <c r="F1462" s="223" t="s">
        <v>4303</v>
      </c>
      <c r="G1462" s="221" t="s">
        <v>4297</v>
      </c>
    </row>
    <row r="1463" spans="2:7" ht="30" customHeight="1" thickBot="1" x14ac:dyDescent="0.3">
      <c r="B1463" s="221"/>
      <c r="C1463" s="221"/>
      <c r="D1463" s="223"/>
      <c r="E1463" s="221"/>
      <c r="F1463" s="223"/>
      <c r="G1463" s="221"/>
    </row>
    <row r="1464" spans="2:7" ht="30" customHeight="1" thickBot="1" x14ac:dyDescent="0.3">
      <c r="B1464" s="221"/>
      <c r="C1464" s="221"/>
      <c r="D1464" s="223" t="s">
        <v>4430</v>
      </c>
      <c r="E1464" s="221"/>
      <c r="F1464" s="223" t="s">
        <v>4431</v>
      </c>
      <c r="G1464" s="221"/>
    </row>
    <row r="1465" spans="2:7" ht="30" customHeight="1" thickBot="1" x14ac:dyDescent="0.3">
      <c r="B1465" s="221"/>
      <c r="C1465" s="221"/>
      <c r="D1465" s="223"/>
      <c r="E1465" s="221"/>
      <c r="F1465" s="223"/>
      <c r="G1465" s="221"/>
    </row>
    <row r="1466" spans="2:7" ht="30" customHeight="1" thickBot="1" x14ac:dyDescent="0.3">
      <c r="B1466" s="221"/>
      <c r="C1466" s="221"/>
      <c r="D1466" s="223" t="s">
        <v>4432</v>
      </c>
      <c r="E1466" s="221"/>
      <c r="F1466" s="223" t="s">
        <v>4433</v>
      </c>
      <c r="G1466" s="221"/>
    </row>
    <row r="1467" spans="2:7" ht="30" customHeight="1" thickBot="1" x14ac:dyDescent="0.3">
      <c r="B1467" s="221"/>
      <c r="C1467" s="221"/>
      <c r="D1467" s="223"/>
      <c r="E1467" s="221"/>
      <c r="F1467" s="223" t="s">
        <v>4434</v>
      </c>
      <c r="G1467" s="221"/>
    </row>
    <row r="1468" spans="2:7" ht="30" customHeight="1" thickBot="1" x14ac:dyDescent="0.3">
      <c r="B1468" s="221"/>
      <c r="C1468" s="221"/>
      <c r="D1468" s="222" t="s">
        <v>4374</v>
      </c>
      <c r="E1468" s="221"/>
      <c r="F1468" s="223"/>
      <c r="G1468" s="221"/>
    </row>
    <row r="1469" spans="2:7" ht="30" customHeight="1" thickBot="1" x14ac:dyDescent="0.3">
      <c r="B1469" s="221"/>
      <c r="C1469" s="221"/>
      <c r="D1469" s="223" t="s">
        <v>4435</v>
      </c>
      <c r="E1469" s="221"/>
      <c r="F1469" s="223" t="s">
        <v>4436</v>
      </c>
      <c r="G1469" s="221"/>
    </row>
    <row r="1470" spans="2:7" ht="30" customHeight="1" thickBot="1" x14ac:dyDescent="0.3">
      <c r="B1470" s="221"/>
      <c r="C1470" s="221"/>
      <c r="D1470" s="223" t="s">
        <v>4437</v>
      </c>
      <c r="E1470" s="221"/>
      <c r="F1470" s="223"/>
      <c r="G1470" s="221"/>
    </row>
    <row r="1471" spans="2:7" ht="30" customHeight="1" thickBot="1" x14ac:dyDescent="0.3">
      <c r="B1471" s="221"/>
      <c r="C1471" s="221"/>
      <c r="D1471" s="223"/>
      <c r="E1471" s="221"/>
      <c r="F1471" s="223"/>
      <c r="G1471" s="221"/>
    </row>
    <row r="1472" spans="2:7" ht="30" customHeight="1" thickBot="1" x14ac:dyDescent="0.3">
      <c r="B1472" s="221" t="s">
        <v>4438</v>
      </c>
      <c r="C1472" s="221" t="s">
        <v>4294</v>
      </c>
      <c r="D1472" s="222" t="s">
        <v>4439</v>
      </c>
      <c r="E1472" s="221" t="s">
        <v>8343</v>
      </c>
      <c r="F1472" s="223"/>
      <c r="G1472" s="228" t="s">
        <v>8536</v>
      </c>
    </row>
    <row r="1473" spans="2:7" ht="30" customHeight="1" thickBot="1" x14ac:dyDescent="0.3">
      <c r="B1473" s="221"/>
      <c r="C1473" s="221"/>
      <c r="D1473" s="223"/>
      <c r="E1473" s="221"/>
      <c r="F1473" s="223" t="s">
        <v>4440</v>
      </c>
      <c r="G1473" s="229"/>
    </row>
    <row r="1474" spans="2:7" ht="30" customHeight="1" thickBot="1" x14ac:dyDescent="0.3">
      <c r="B1474" s="221"/>
      <c r="C1474" s="221"/>
      <c r="D1474" s="223" t="s">
        <v>4441</v>
      </c>
      <c r="E1474" s="221"/>
      <c r="F1474" s="223"/>
      <c r="G1474" s="229"/>
    </row>
    <row r="1475" spans="2:7" ht="30" customHeight="1" thickBot="1" x14ac:dyDescent="0.3">
      <c r="B1475" s="221"/>
      <c r="C1475" s="221"/>
      <c r="D1475" s="223"/>
      <c r="E1475" s="221"/>
      <c r="F1475" s="223" t="s">
        <v>4442</v>
      </c>
      <c r="G1475" s="229"/>
    </row>
    <row r="1476" spans="2:7" ht="30" customHeight="1" thickBot="1" x14ac:dyDescent="0.3">
      <c r="B1476" s="221"/>
      <c r="C1476" s="221"/>
      <c r="D1476" s="223" t="s">
        <v>4443</v>
      </c>
      <c r="E1476" s="221"/>
      <c r="F1476" s="223"/>
      <c r="G1476" s="229"/>
    </row>
    <row r="1477" spans="2:7" ht="30" customHeight="1" thickBot="1" x14ac:dyDescent="0.3">
      <c r="B1477" s="221"/>
      <c r="C1477" s="221"/>
      <c r="D1477" s="223"/>
      <c r="E1477" s="221"/>
      <c r="F1477" s="223"/>
      <c r="G1477" s="229"/>
    </row>
    <row r="1478" spans="2:7" ht="30" customHeight="1" thickBot="1" x14ac:dyDescent="0.3">
      <c r="B1478" s="221"/>
      <c r="C1478" s="221"/>
      <c r="D1478" s="223"/>
      <c r="E1478" s="221"/>
      <c r="F1478" s="223"/>
      <c r="G1478" s="230"/>
    </row>
    <row r="1479" spans="2:7" ht="30" customHeight="1" thickBot="1" x14ac:dyDescent="0.3">
      <c r="B1479" s="221" t="s">
        <v>4444</v>
      </c>
      <c r="C1479" s="221" t="s">
        <v>4294</v>
      </c>
      <c r="D1479" s="222" t="s">
        <v>4439</v>
      </c>
      <c r="E1479" s="221" t="s">
        <v>8343</v>
      </c>
      <c r="F1479" s="223"/>
      <c r="G1479" s="228" t="s">
        <v>8536</v>
      </c>
    </row>
    <row r="1480" spans="2:7" ht="30" customHeight="1" thickBot="1" x14ac:dyDescent="0.3">
      <c r="B1480" s="221"/>
      <c r="C1480" s="221"/>
      <c r="D1480" s="223" t="s">
        <v>4445</v>
      </c>
      <c r="E1480" s="221"/>
      <c r="F1480" s="223" t="s">
        <v>4440</v>
      </c>
      <c r="G1480" s="229"/>
    </row>
    <row r="1481" spans="2:7" ht="30" customHeight="1" thickBot="1" x14ac:dyDescent="0.3">
      <c r="B1481" s="221"/>
      <c r="C1481" s="221"/>
      <c r="D1481" s="223"/>
      <c r="E1481" s="221"/>
      <c r="F1481" s="223"/>
      <c r="G1481" s="229"/>
    </row>
    <row r="1482" spans="2:7" ht="30" customHeight="1" thickBot="1" x14ac:dyDescent="0.3">
      <c r="B1482" s="221"/>
      <c r="C1482" s="221"/>
      <c r="D1482" s="222" t="s">
        <v>4374</v>
      </c>
      <c r="E1482" s="221"/>
      <c r="F1482" s="223" t="s">
        <v>4412</v>
      </c>
      <c r="G1482" s="229"/>
    </row>
    <row r="1483" spans="2:7" ht="30" customHeight="1" thickBot="1" x14ac:dyDescent="0.3">
      <c r="B1483" s="221"/>
      <c r="C1483" s="221"/>
      <c r="D1483" s="223" t="s">
        <v>4446</v>
      </c>
      <c r="E1483" s="221"/>
      <c r="F1483" s="223"/>
      <c r="G1483" s="229"/>
    </row>
    <row r="1484" spans="2:7" ht="30" customHeight="1" thickBot="1" x14ac:dyDescent="0.3">
      <c r="B1484" s="221"/>
      <c r="C1484" s="221"/>
      <c r="D1484" s="223"/>
      <c r="E1484" s="221"/>
      <c r="F1484" s="223"/>
      <c r="G1484" s="229"/>
    </row>
    <row r="1485" spans="2:7" ht="30" customHeight="1" thickBot="1" x14ac:dyDescent="0.3">
      <c r="B1485" s="221"/>
      <c r="C1485" s="221"/>
      <c r="D1485" s="218" t="s">
        <v>10006</v>
      </c>
      <c r="E1485" s="221"/>
      <c r="F1485" s="223"/>
      <c r="G1485" s="229"/>
    </row>
    <row r="1486" spans="2:7" ht="30" customHeight="1" thickBot="1" x14ac:dyDescent="0.3">
      <c r="B1486" s="221"/>
      <c r="C1486" s="221"/>
      <c r="D1486" s="223"/>
      <c r="E1486" s="221"/>
      <c r="F1486" s="223"/>
      <c r="G1486" s="229"/>
    </row>
    <row r="1487" spans="2:7" ht="30" customHeight="1" thickBot="1" x14ac:dyDescent="0.3">
      <c r="B1487" s="221"/>
      <c r="C1487" s="221"/>
      <c r="D1487" s="223"/>
      <c r="E1487" s="221"/>
      <c r="F1487" s="223"/>
      <c r="G1487" s="229"/>
    </row>
    <row r="1488" spans="2:7" ht="30" customHeight="1" thickBot="1" x14ac:dyDescent="0.3">
      <c r="B1488" s="221"/>
      <c r="C1488" s="221"/>
      <c r="D1488" s="223"/>
      <c r="E1488" s="221"/>
      <c r="F1488" s="223"/>
      <c r="G1488" s="230"/>
    </row>
    <row r="1489" spans="2:7" ht="30" customHeight="1" thickBot="1" x14ac:dyDescent="0.3">
      <c r="B1489" s="221" t="s">
        <v>4447</v>
      </c>
      <c r="C1489" s="221" t="s">
        <v>4294</v>
      </c>
      <c r="D1489" s="222" t="s">
        <v>4439</v>
      </c>
      <c r="E1489" s="221" t="s">
        <v>8344</v>
      </c>
      <c r="F1489" s="223"/>
      <c r="G1489" s="228" t="s">
        <v>8536</v>
      </c>
    </row>
    <row r="1490" spans="2:7" ht="30" customHeight="1" thickBot="1" x14ac:dyDescent="0.3">
      <c r="B1490" s="221"/>
      <c r="C1490" s="221"/>
      <c r="D1490" s="225"/>
      <c r="E1490" s="221"/>
      <c r="F1490" s="223" t="s">
        <v>4440</v>
      </c>
      <c r="G1490" s="229"/>
    </row>
    <row r="1491" spans="2:7" ht="30" customHeight="1" thickBot="1" x14ac:dyDescent="0.3">
      <c r="B1491" s="221"/>
      <c r="C1491" s="221"/>
      <c r="D1491" s="225" t="s">
        <v>4448</v>
      </c>
      <c r="E1491" s="221"/>
      <c r="F1491" s="223"/>
      <c r="G1491" s="229"/>
    </row>
    <row r="1492" spans="2:7" ht="30" customHeight="1" thickBot="1" x14ac:dyDescent="0.3">
      <c r="B1492" s="221"/>
      <c r="C1492" s="221"/>
      <c r="D1492" s="225"/>
      <c r="E1492" s="221"/>
      <c r="F1492" s="223"/>
      <c r="G1492" s="229"/>
    </row>
    <row r="1493" spans="2:7" ht="30" customHeight="1" thickBot="1" x14ac:dyDescent="0.3">
      <c r="B1493" s="221"/>
      <c r="C1493" s="221"/>
      <c r="D1493" s="223" t="s">
        <v>4449</v>
      </c>
      <c r="E1493" s="221"/>
      <c r="F1493" s="223"/>
      <c r="G1493" s="229"/>
    </row>
    <row r="1494" spans="2:7" ht="30" customHeight="1" thickBot="1" x14ac:dyDescent="0.3">
      <c r="B1494" s="221"/>
      <c r="C1494" s="221"/>
      <c r="D1494" s="223"/>
      <c r="E1494" s="221"/>
      <c r="F1494" s="223" t="s">
        <v>4431</v>
      </c>
      <c r="G1494" s="229"/>
    </row>
    <row r="1495" spans="2:7" ht="30" customHeight="1" thickBot="1" x14ac:dyDescent="0.3">
      <c r="B1495" s="221"/>
      <c r="C1495" s="221"/>
      <c r="D1495" s="223" t="s">
        <v>10007</v>
      </c>
      <c r="E1495" s="221"/>
      <c r="F1495" s="223" t="s">
        <v>4448</v>
      </c>
      <c r="G1495" s="229"/>
    </row>
    <row r="1496" spans="2:7" ht="30" customHeight="1" thickBot="1" x14ac:dyDescent="0.3">
      <c r="B1496" s="221"/>
      <c r="C1496" s="221"/>
      <c r="D1496" s="223"/>
      <c r="E1496" s="221"/>
      <c r="F1496" s="223" t="s">
        <v>4450</v>
      </c>
      <c r="G1496" s="229"/>
    </row>
    <row r="1497" spans="2:7" ht="30" customHeight="1" thickBot="1" x14ac:dyDescent="0.3">
      <c r="B1497" s="221"/>
      <c r="C1497" s="221"/>
      <c r="D1497" s="223" t="s">
        <v>4451</v>
      </c>
      <c r="E1497" s="221"/>
      <c r="F1497" s="223"/>
      <c r="G1497" s="229"/>
    </row>
    <row r="1498" spans="2:7" ht="30" customHeight="1" thickBot="1" x14ac:dyDescent="0.3">
      <c r="B1498" s="221"/>
      <c r="C1498" s="221"/>
      <c r="D1498" s="223" t="s">
        <v>4452</v>
      </c>
      <c r="E1498" s="221"/>
      <c r="F1498" s="223"/>
      <c r="G1498" s="229"/>
    </row>
    <row r="1499" spans="2:7" ht="30" customHeight="1" thickBot="1" x14ac:dyDescent="0.3">
      <c r="B1499" s="221"/>
      <c r="C1499" s="221"/>
      <c r="D1499" s="223" t="s">
        <v>10008</v>
      </c>
      <c r="E1499" s="221"/>
      <c r="F1499" s="223"/>
      <c r="G1499" s="229"/>
    </row>
    <row r="1500" spans="2:7" ht="30" customHeight="1" thickBot="1" x14ac:dyDescent="0.3">
      <c r="B1500" s="221"/>
      <c r="C1500" s="221"/>
      <c r="D1500" s="218"/>
      <c r="E1500" s="221"/>
      <c r="F1500" s="223"/>
      <c r="G1500" s="229"/>
    </row>
    <row r="1501" spans="2:7" ht="30" customHeight="1" thickBot="1" x14ac:dyDescent="0.3">
      <c r="B1501" s="221"/>
      <c r="C1501" s="221"/>
      <c r="D1501" s="222" t="s">
        <v>4374</v>
      </c>
      <c r="E1501" s="221"/>
      <c r="F1501" s="223"/>
      <c r="G1501" s="229"/>
    </row>
    <row r="1502" spans="2:7" ht="30" customHeight="1" thickBot="1" x14ac:dyDescent="0.3">
      <c r="B1502" s="221"/>
      <c r="C1502" s="221"/>
      <c r="D1502" s="223" t="s">
        <v>4453</v>
      </c>
      <c r="E1502" s="221"/>
      <c r="F1502" s="223"/>
      <c r="G1502" s="229"/>
    </row>
    <row r="1503" spans="2:7" ht="30" customHeight="1" thickBot="1" x14ac:dyDescent="0.3">
      <c r="B1503" s="221"/>
      <c r="C1503" s="221"/>
      <c r="D1503" s="223" t="s">
        <v>4454</v>
      </c>
      <c r="E1503" s="221"/>
      <c r="F1503" s="223"/>
      <c r="G1503" s="230"/>
    </row>
    <row r="1504" spans="2:7" ht="30" customHeight="1" thickBot="1" x14ac:dyDescent="0.3">
      <c r="B1504" s="221" t="s">
        <v>4455</v>
      </c>
      <c r="C1504" s="221" t="s">
        <v>4294</v>
      </c>
      <c r="D1504" s="222" t="s">
        <v>4439</v>
      </c>
      <c r="E1504" s="221" t="s">
        <v>8345</v>
      </c>
      <c r="F1504" s="223"/>
      <c r="G1504" s="228" t="s">
        <v>8536</v>
      </c>
    </row>
    <row r="1505" spans="2:7" ht="30" customHeight="1" thickBot="1" x14ac:dyDescent="0.3">
      <c r="B1505" s="221"/>
      <c r="C1505" s="221"/>
      <c r="D1505" s="225" t="s">
        <v>4456</v>
      </c>
      <c r="E1505" s="221"/>
      <c r="F1505" s="223" t="s">
        <v>4440</v>
      </c>
      <c r="G1505" s="229"/>
    </row>
    <row r="1506" spans="2:7" ht="30" customHeight="1" thickBot="1" x14ac:dyDescent="0.3">
      <c r="B1506" s="221"/>
      <c r="C1506" s="221"/>
      <c r="D1506" s="218"/>
      <c r="E1506" s="221"/>
      <c r="F1506" s="223"/>
      <c r="G1506" s="229"/>
    </row>
    <row r="1507" spans="2:7" ht="30" customHeight="1" thickBot="1" x14ac:dyDescent="0.3">
      <c r="B1507" s="221"/>
      <c r="C1507" s="221"/>
      <c r="D1507" s="223" t="s">
        <v>4457</v>
      </c>
      <c r="E1507" s="221"/>
      <c r="F1507" s="223" t="s">
        <v>4458</v>
      </c>
      <c r="G1507" s="229"/>
    </row>
    <row r="1508" spans="2:7" ht="30" customHeight="1" thickBot="1" x14ac:dyDescent="0.3">
      <c r="B1508" s="221"/>
      <c r="C1508" s="221"/>
      <c r="D1508" s="223"/>
      <c r="E1508" s="221"/>
      <c r="F1508" s="223" t="s">
        <v>4459</v>
      </c>
      <c r="G1508" s="229"/>
    </row>
    <row r="1509" spans="2:7" ht="30" customHeight="1" thickBot="1" x14ac:dyDescent="0.3">
      <c r="B1509" s="221"/>
      <c r="C1509" s="221"/>
      <c r="D1509" s="222" t="s">
        <v>4374</v>
      </c>
      <c r="E1509" s="221"/>
      <c r="F1509" s="223" t="s">
        <v>4460</v>
      </c>
      <c r="G1509" s="229"/>
    </row>
    <row r="1510" spans="2:7" ht="30" customHeight="1" thickBot="1" x14ac:dyDescent="0.3">
      <c r="B1510" s="221"/>
      <c r="C1510" s="221"/>
      <c r="D1510" s="223" t="s">
        <v>4461</v>
      </c>
      <c r="E1510" s="221"/>
      <c r="F1510" s="223" t="s">
        <v>4462</v>
      </c>
      <c r="G1510" s="229"/>
    </row>
    <row r="1511" spans="2:7" ht="30" customHeight="1" thickBot="1" x14ac:dyDescent="0.3">
      <c r="B1511" s="221"/>
      <c r="C1511" s="221"/>
      <c r="D1511" s="223"/>
      <c r="E1511" s="221"/>
      <c r="F1511" s="223"/>
      <c r="G1511" s="229"/>
    </row>
    <row r="1512" spans="2:7" ht="30" customHeight="1" thickBot="1" x14ac:dyDescent="0.3">
      <c r="B1512" s="221"/>
      <c r="C1512" s="221"/>
      <c r="D1512" s="223" t="s">
        <v>4463</v>
      </c>
      <c r="E1512" s="221"/>
      <c r="F1512" s="223"/>
      <c r="G1512" s="229"/>
    </row>
    <row r="1513" spans="2:7" ht="30" customHeight="1" thickBot="1" x14ac:dyDescent="0.3">
      <c r="B1513" s="221"/>
      <c r="C1513" s="221"/>
      <c r="D1513" s="223"/>
      <c r="E1513" s="221"/>
      <c r="F1513" s="223"/>
      <c r="G1513" s="229"/>
    </row>
    <row r="1514" spans="2:7" ht="30" customHeight="1" thickBot="1" x14ac:dyDescent="0.3">
      <c r="B1514" s="221"/>
      <c r="C1514" s="221"/>
      <c r="D1514" s="223"/>
      <c r="E1514" s="221"/>
      <c r="F1514" s="223"/>
      <c r="G1514" s="229"/>
    </row>
    <row r="1515" spans="2:7" ht="30" customHeight="1" thickBot="1" x14ac:dyDescent="0.3">
      <c r="B1515" s="221"/>
      <c r="C1515" s="221"/>
      <c r="D1515" s="223"/>
      <c r="E1515" s="221"/>
      <c r="F1515" s="223"/>
      <c r="G1515" s="230"/>
    </row>
    <row r="1516" spans="2:7" ht="30" customHeight="1" thickBot="1" x14ac:dyDescent="0.3">
      <c r="B1516" s="221" t="s">
        <v>4464</v>
      </c>
      <c r="C1516" s="221" t="s">
        <v>4294</v>
      </c>
      <c r="D1516" s="222" t="s">
        <v>4374</v>
      </c>
      <c r="E1516" s="221" t="s">
        <v>8340</v>
      </c>
      <c r="F1516" s="223"/>
      <c r="G1516" s="228" t="s">
        <v>8536</v>
      </c>
    </row>
    <row r="1517" spans="2:7" ht="30" customHeight="1" thickBot="1" x14ac:dyDescent="0.3">
      <c r="B1517" s="221"/>
      <c r="C1517" s="221"/>
      <c r="D1517" s="223"/>
      <c r="E1517" s="221"/>
      <c r="F1517" s="223" t="s">
        <v>4440</v>
      </c>
      <c r="G1517" s="229"/>
    </row>
    <row r="1518" spans="2:7" ht="30" customHeight="1" thickBot="1" x14ac:dyDescent="0.3">
      <c r="B1518" s="221"/>
      <c r="C1518" s="221"/>
      <c r="D1518" s="223" t="s">
        <v>4465</v>
      </c>
      <c r="E1518" s="221"/>
      <c r="F1518" s="223"/>
      <c r="G1518" s="229"/>
    </row>
    <row r="1519" spans="2:7" ht="30" customHeight="1" thickBot="1" x14ac:dyDescent="0.3">
      <c r="B1519" s="221"/>
      <c r="C1519" s="221"/>
      <c r="D1519" s="223"/>
      <c r="E1519" s="221"/>
      <c r="F1519" s="223" t="s">
        <v>4466</v>
      </c>
      <c r="G1519" s="229"/>
    </row>
    <row r="1520" spans="2:7" ht="30" customHeight="1" thickBot="1" x14ac:dyDescent="0.3">
      <c r="B1520" s="221"/>
      <c r="C1520" s="221"/>
      <c r="D1520" s="218"/>
      <c r="E1520" s="221"/>
      <c r="F1520" s="223" t="s">
        <v>4420</v>
      </c>
      <c r="G1520" s="229"/>
    </row>
    <row r="1521" spans="2:7" ht="30" customHeight="1" thickBot="1" x14ac:dyDescent="0.3">
      <c r="B1521" s="221"/>
      <c r="C1521" s="221"/>
      <c r="D1521" s="218"/>
      <c r="E1521" s="221"/>
      <c r="F1521" s="223"/>
      <c r="G1521" s="229"/>
    </row>
    <row r="1522" spans="2:7" ht="30" customHeight="1" thickBot="1" x14ac:dyDescent="0.3">
      <c r="B1522" s="221"/>
      <c r="C1522" s="221"/>
      <c r="D1522" s="218"/>
      <c r="E1522" s="221"/>
      <c r="F1522" s="223"/>
      <c r="G1522" s="229"/>
    </row>
    <row r="1523" spans="2:7" ht="30" customHeight="1" thickBot="1" x14ac:dyDescent="0.3">
      <c r="B1523" s="221"/>
      <c r="C1523" s="221"/>
      <c r="D1523" s="218" t="s">
        <v>4467</v>
      </c>
      <c r="E1523" s="221"/>
      <c r="F1523" s="223"/>
      <c r="G1523" s="229"/>
    </row>
    <row r="1524" spans="2:7" ht="30" customHeight="1" thickBot="1" x14ac:dyDescent="0.3">
      <c r="B1524" s="221"/>
      <c r="C1524" s="221"/>
      <c r="D1524" s="223"/>
      <c r="E1524" s="221"/>
      <c r="F1524" s="223"/>
      <c r="G1524" s="229"/>
    </row>
    <row r="1525" spans="2:7" ht="30" customHeight="1" thickBot="1" x14ac:dyDescent="0.3">
      <c r="B1525" s="221"/>
      <c r="C1525" s="221"/>
      <c r="D1525" s="223" t="s">
        <v>4468</v>
      </c>
      <c r="E1525" s="221"/>
      <c r="F1525" s="223"/>
      <c r="G1525" s="229"/>
    </row>
    <row r="1526" spans="2:7" ht="30" customHeight="1" thickBot="1" x14ac:dyDescent="0.3">
      <c r="B1526" s="221"/>
      <c r="C1526" s="221"/>
      <c r="D1526" s="223"/>
      <c r="E1526" s="221"/>
      <c r="F1526" s="223"/>
      <c r="G1526" s="229"/>
    </row>
    <row r="1527" spans="2:7" ht="30" customHeight="1" thickBot="1" x14ac:dyDescent="0.3">
      <c r="B1527" s="221"/>
      <c r="C1527" s="221"/>
      <c r="D1527" s="218" t="s">
        <v>4469</v>
      </c>
      <c r="E1527" s="221"/>
      <c r="F1527" s="223"/>
      <c r="G1527" s="229"/>
    </row>
    <row r="1528" spans="2:7" ht="30" customHeight="1" thickBot="1" x14ac:dyDescent="0.3">
      <c r="B1528" s="221"/>
      <c r="C1528" s="221"/>
      <c r="D1528" s="223"/>
      <c r="E1528" s="221"/>
      <c r="F1528" s="223"/>
      <c r="G1528" s="229"/>
    </row>
    <row r="1529" spans="2:7" ht="30" customHeight="1" thickBot="1" x14ac:dyDescent="0.3">
      <c r="B1529" s="221"/>
      <c r="C1529" s="221"/>
      <c r="D1529" s="223" t="s">
        <v>4470</v>
      </c>
      <c r="E1529" s="221"/>
      <c r="F1529" s="223"/>
      <c r="G1529" s="229"/>
    </row>
    <row r="1530" spans="2:7" ht="30" customHeight="1" thickBot="1" x14ac:dyDescent="0.3">
      <c r="B1530" s="221"/>
      <c r="C1530" s="221"/>
      <c r="D1530" s="223"/>
      <c r="E1530" s="221"/>
      <c r="F1530" s="223"/>
      <c r="G1530" s="229"/>
    </row>
    <row r="1531" spans="2:7" ht="30" customHeight="1" thickBot="1" x14ac:dyDescent="0.3">
      <c r="B1531" s="221"/>
      <c r="C1531" s="221"/>
      <c r="D1531" s="223"/>
      <c r="E1531" s="221"/>
      <c r="F1531" s="223"/>
      <c r="G1531" s="230"/>
    </row>
    <row r="1532" spans="2:7" ht="30" customHeight="1" thickBot="1" x14ac:dyDescent="0.3">
      <c r="B1532" s="221" t="s">
        <v>4471</v>
      </c>
      <c r="C1532" s="221" t="s">
        <v>4294</v>
      </c>
      <c r="D1532" s="222" t="s">
        <v>4374</v>
      </c>
      <c r="E1532" s="221" t="s">
        <v>4472</v>
      </c>
      <c r="F1532" s="223" t="s">
        <v>4473</v>
      </c>
      <c r="G1532" s="223"/>
    </row>
    <row r="1533" spans="2:7" ht="30" customHeight="1" thickBot="1" x14ac:dyDescent="0.3">
      <c r="B1533" s="221"/>
      <c r="C1533" s="221"/>
      <c r="D1533" s="223"/>
      <c r="E1533" s="221"/>
      <c r="F1533" s="223"/>
      <c r="G1533" s="223" t="s">
        <v>4297</v>
      </c>
    </row>
    <row r="1534" spans="2:7" ht="30" customHeight="1" thickBot="1" x14ac:dyDescent="0.3">
      <c r="B1534" s="221"/>
      <c r="C1534" s="221"/>
      <c r="D1534" s="223" t="s">
        <v>4474</v>
      </c>
      <c r="E1534" s="221"/>
      <c r="F1534" s="223"/>
      <c r="G1534" s="223"/>
    </row>
    <row r="1535" spans="2:7" ht="30" customHeight="1" thickBot="1" x14ac:dyDescent="0.3">
      <c r="B1535" s="221"/>
      <c r="C1535" s="221"/>
      <c r="D1535" s="223"/>
      <c r="E1535" s="221"/>
      <c r="F1535" s="223" t="s">
        <v>4475</v>
      </c>
      <c r="G1535" s="223"/>
    </row>
    <row r="1536" spans="2:7" ht="30" customHeight="1" thickBot="1" x14ac:dyDescent="0.3">
      <c r="B1536" s="221"/>
      <c r="C1536" s="221"/>
      <c r="D1536" s="223"/>
      <c r="E1536" s="221"/>
      <c r="F1536" s="223"/>
      <c r="G1536" s="223"/>
    </row>
    <row r="1537" spans="2:7" ht="30" customHeight="1" thickBot="1" x14ac:dyDescent="0.3">
      <c r="B1537" s="221"/>
      <c r="C1537" s="221"/>
      <c r="D1537" s="223"/>
      <c r="E1537" s="221"/>
      <c r="F1537" s="223"/>
      <c r="G1537" s="223"/>
    </row>
    <row r="1538" spans="2:7" ht="30" customHeight="1" thickBot="1" x14ac:dyDescent="0.3">
      <c r="B1538" s="221"/>
      <c r="C1538" s="221"/>
      <c r="D1538" s="223"/>
      <c r="E1538" s="221"/>
      <c r="F1538" s="223"/>
      <c r="G1538" s="223"/>
    </row>
    <row r="1539" spans="2:7" ht="30" customHeight="1" thickBot="1" x14ac:dyDescent="0.3">
      <c r="B1539" s="233">
        <v>1491</v>
      </c>
      <c r="C1539" s="233" t="s">
        <v>4476</v>
      </c>
      <c r="D1539" s="220" t="s">
        <v>10009</v>
      </c>
      <c r="E1539" s="341" t="s">
        <v>8734</v>
      </c>
      <c r="F1539" s="233" t="s">
        <v>4477</v>
      </c>
      <c r="G1539" s="233" t="s">
        <v>3379</v>
      </c>
    </row>
    <row r="1540" spans="2:7" ht="30" customHeight="1" thickBot="1" x14ac:dyDescent="0.3">
      <c r="B1540" s="233"/>
      <c r="C1540" s="233"/>
      <c r="D1540" s="220" t="s">
        <v>10010</v>
      </c>
      <c r="E1540" s="342"/>
      <c r="F1540" s="233"/>
      <c r="G1540" s="233"/>
    </row>
    <row r="1541" spans="2:7" ht="30" customHeight="1" thickBot="1" x14ac:dyDescent="0.3">
      <c r="B1541" s="233"/>
      <c r="C1541" s="233"/>
      <c r="D1541" s="220" t="s">
        <v>10011</v>
      </c>
      <c r="E1541" s="343"/>
      <c r="F1541" s="233"/>
      <c r="G1541" s="233"/>
    </row>
    <row r="1542" spans="2:7" ht="118.5" customHeight="1" thickBot="1" x14ac:dyDescent="0.3">
      <c r="B1542" s="219">
        <v>1932</v>
      </c>
      <c r="C1542" s="220" t="s">
        <v>4478</v>
      </c>
      <c r="D1542" s="223" t="s">
        <v>4479</v>
      </c>
      <c r="E1542" s="234" t="s">
        <v>9181</v>
      </c>
      <c r="F1542" s="223" t="s">
        <v>1081</v>
      </c>
      <c r="G1542" s="223" t="s">
        <v>84</v>
      </c>
    </row>
    <row r="1543" spans="2:7" ht="30" customHeight="1" thickBot="1" x14ac:dyDescent="0.3">
      <c r="B1543" s="219">
        <v>1493</v>
      </c>
      <c r="C1543" s="220" t="s">
        <v>4478</v>
      </c>
      <c r="D1543" s="223" t="s">
        <v>4480</v>
      </c>
      <c r="E1543" s="223" t="s">
        <v>8735</v>
      </c>
      <c r="F1543" s="223" t="s">
        <v>1081</v>
      </c>
      <c r="G1543" s="223" t="s">
        <v>322</v>
      </c>
    </row>
    <row r="1544" spans="2:7" ht="30" customHeight="1" thickBot="1" x14ac:dyDescent="0.3">
      <c r="B1544" s="219">
        <v>1494</v>
      </c>
      <c r="C1544" s="220" t="s">
        <v>4478</v>
      </c>
      <c r="D1544" s="223" t="s">
        <v>4481</v>
      </c>
      <c r="E1544" s="223" t="s">
        <v>8736</v>
      </c>
      <c r="F1544" s="223" t="s">
        <v>1081</v>
      </c>
      <c r="G1544" s="223" t="s">
        <v>322</v>
      </c>
    </row>
    <row r="1545" spans="2:7" ht="30" customHeight="1" thickBot="1" x14ac:dyDescent="0.3">
      <c r="B1545" s="219">
        <v>1495</v>
      </c>
      <c r="C1545" s="220" t="s">
        <v>4478</v>
      </c>
      <c r="D1545" s="223" t="s">
        <v>4482</v>
      </c>
      <c r="E1545" s="223" t="s">
        <v>8737</v>
      </c>
      <c r="F1545" s="223" t="s">
        <v>1081</v>
      </c>
      <c r="G1545" s="223" t="s">
        <v>322</v>
      </c>
    </row>
    <row r="1546" spans="2:7" ht="30" customHeight="1" thickBot="1" x14ac:dyDescent="0.3">
      <c r="B1546" s="219">
        <v>1496</v>
      </c>
      <c r="C1546" s="220" t="s">
        <v>4478</v>
      </c>
      <c r="D1546" s="223" t="s">
        <v>4483</v>
      </c>
      <c r="E1546" s="223" t="s">
        <v>8738</v>
      </c>
      <c r="F1546" s="223" t="s">
        <v>1081</v>
      </c>
      <c r="G1546" s="223" t="s">
        <v>322</v>
      </c>
    </row>
    <row r="1547" spans="2:7" ht="30" customHeight="1" thickBot="1" x14ac:dyDescent="0.3">
      <c r="B1547" s="219">
        <v>1497</v>
      </c>
      <c r="C1547" s="220" t="s">
        <v>4478</v>
      </c>
      <c r="D1547" s="220" t="s">
        <v>4484</v>
      </c>
      <c r="E1547" s="220" t="s">
        <v>8739</v>
      </c>
      <c r="F1547" s="223" t="s">
        <v>1081</v>
      </c>
      <c r="G1547" s="223" t="s">
        <v>322</v>
      </c>
    </row>
    <row r="1548" spans="2:7" ht="30" customHeight="1" thickBot="1" x14ac:dyDescent="0.3">
      <c r="B1548" s="219">
        <v>1498</v>
      </c>
      <c r="C1548" s="220" t="s">
        <v>4478</v>
      </c>
      <c r="D1548" s="220" t="s">
        <v>4485</v>
      </c>
      <c r="E1548" s="220" t="s">
        <v>8942</v>
      </c>
      <c r="F1548" s="219" t="s">
        <v>4486</v>
      </c>
      <c r="G1548" s="220" t="s">
        <v>84</v>
      </c>
    </row>
    <row r="1549" spans="2:7" ht="30" customHeight="1" thickBot="1" x14ac:dyDescent="0.3">
      <c r="B1549" s="219">
        <v>1499</v>
      </c>
      <c r="C1549" s="220" t="s">
        <v>4478</v>
      </c>
      <c r="D1549" s="220" t="s">
        <v>4487</v>
      </c>
      <c r="E1549" s="220" t="s">
        <v>7067</v>
      </c>
      <c r="F1549" s="219" t="s">
        <v>4486</v>
      </c>
      <c r="G1549" s="220" t="s">
        <v>84</v>
      </c>
    </row>
    <row r="1550" spans="2:7" ht="30" customHeight="1" thickBot="1" x14ac:dyDescent="0.3">
      <c r="B1550" s="219">
        <v>1500</v>
      </c>
      <c r="C1550" s="220" t="s">
        <v>4478</v>
      </c>
      <c r="D1550" s="220" t="s">
        <v>4488</v>
      </c>
      <c r="E1550" s="220" t="s">
        <v>8740</v>
      </c>
      <c r="F1550" s="223" t="s">
        <v>1081</v>
      </c>
      <c r="G1550" s="223" t="s">
        <v>322</v>
      </c>
    </row>
    <row r="1551" spans="2:7" ht="30" customHeight="1" thickBot="1" x14ac:dyDescent="0.3">
      <c r="B1551" s="219">
        <v>1501</v>
      </c>
      <c r="C1551" s="220" t="s">
        <v>4478</v>
      </c>
      <c r="D1551" s="220" t="s">
        <v>4489</v>
      </c>
      <c r="E1551" s="220" t="s">
        <v>9186</v>
      </c>
      <c r="F1551" s="223" t="s">
        <v>1081</v>
      </c>
      <c r="G1551" s="223" t="s">
        <v>322</v>
      </c>
    </row>
    <row r="1552" spans="2:7" ht="30" customHeight="1" thickBot="1" x14ac:dyDescent="0.3">
      <c r="B1552" s="219">
        <v>1502</v>
      </c>
      <c r="C1552" s="220" t="s">
        <v>4478</v>
      </c>
      <c r="D1552" s="220" t="s">
        <v>4490</v>
      </c>
      <c r="E1552" s="220" t="s">
        <v>8741</v>
      </c>
      <c r="F1552" s="223" t="s">
        <v>1081</v>
      </c>
      <c r="G1552" s="223" t="s">
        <v>322</v>
      </c>
    </row>
    <row r="1553" spans="2:7" ht="30" customHeight="1" thickBot="1" x14ac:dyDescent="0.3">
      <c r="B1553" s="219">
        <v>1503</v>
      </c>
      <c r="C1553" s="220" t="s">
        <v>4478</v>
      </c>
      <c r="D1553" s="220" t="s">
        <v>4491</v>
      </c>
      <c r="E1553" s="220" t="s">
        <v>8742</v>
      </c>
      <c r="F1553" s="223" t="s">
        <v>1081</v>
      </c>
      <c r="G1553" s="223" t="s">
        <v>322</v>
      </c>
    </row>
    <row r="1554" spans="2:7" ht="30" customHeight="1" thickBot="1" x14ac:dyDescent="0.3">
      <c r="B1554" s="219">
        <v>1504</v>
      </c>
      <c r="C1554" s="220" t="s">
        <v>4478</v>
      </c>
      <c r="D1554" s="220" t="s">
        <v>4492</v>
      </c>
      <c r="E1554" s="220" t="s">
        <v>7068</v>
      </c>
      <c r="F1554" s="223" t="s">
        <v>1081</v>
      </c>
      <c r="G1554" s="223" t="s">
        <v>322</v>
      </c>
    </row>
    <row r="1555" spans="2:7" ht="30" customHeight="1" thickBot="1" x14ac:dyDescent="0.3">
      <c r="B1555" s="219">
        <v>1505</v>
      </c>
      <c r="C1555" s="220" t="s">
        <v>4478</v>
      </c>
      <c r="D1555" s="220" t="s">
        <v>4493</v>
      </c>
      <c r="E1555" s="220" t="s">
        <v>7069</v>
      </c>
      <c r="F1555" s="223" t="s">
        <v>1081</v>
      </c>
      <c r="G1555" s="223" t="s">
        <v>322</v>
      </c>
    </row>
    <row r="1556" spans="2:7" ht="30" customHeight="1" thickBot="1" x14ac:dyDescent="0.3">
      <c r="B1556" s="219">
        <v>1506</v>
      </c>
      <c r="C1556" s="220" t="s">
        <v>4478</v>
      </c>
      <c r="D1556" s="220" t="s">
        <v>4494</v>
      </c>
      <c r="E1556" s="220" t="s">
        <v>7070</v>
      </c>
      <c r="F1556" s="219" t="s">
        <v>1081</v>
      </c>
      <c r="G1556" s="220" t="s">
        <v>84</v>
      </c>
    </row>
    <row r="1557" spans="2:7" ht="30" customHeight="1" thickBot="1" x14ac:dyDescent="0.3">
      <c r="B1557" s="219">
        <v>1507</v>
      </c>
      <c r="C1557" s="220" t="s">
        <v>4478</v>
      </c>
      <c r="D1557" s="220" t="s">
        <v>4495</v>
      </c>
      <c r="E1557" s="220" t="s">
        <v>7071</v>
      </c>
      <c r="F1557" s="223" t="s">
        <v>1081</v>
      </c>
      <c r="G1557" s="223" t="s">
        <v>322</v>
      </c>
    </row>
    <row r="1558" spans="2:7" ht="30" customHeight="1" thickBot="1" x14ac:dyDescent="0.3">
      <c r="B1558" s="219">
        <v>1508</v>
      </c>
      <c r="C1558" s="220" t="s">
        <v>4478</v>
      </c>
      <c r="D1558" s="220" t="s">
        <v>4496</v>
      </c>
      <c r="E1558" s="220" t="s">
        <v>8520</v>
      </c>
      <c r="F1558" s="223" t="s">
        <v>1081</v>
      </c>
      <c r="G1558" s="223" t="s">
        <v>322</v>
      </c>
    </row>
    <row r="1559" spans="2:7" ht="30" customHeight="1" thickBot="1" x14ac:dyDescent="0.3">
      <c r="B1559" s="219">
        <v>1509</v>
      </c>
      <c r="C1559" s="220" t="s">
        <v>4478</v>
      </c>
      <c r="D1559" s="220" t="s">
        <v>4497</v>
      </c>
      <c r="E1559" s="220" t="s">
        <v>7072</v>
      </c>
      <c r="F1559" s="223" t="s">
        <v>1081</v>
      </c>
      <c r="G1559" s="223" t="s">
        <v>322</v>
      </c>
    </row>
    <row r="1560" spans="2:7" ht="30" customHeight="1" thickBot="1" x14ac:dyDescent="0.3">
      <c r="B1560" s="219">
        <v>1510</v>
      </c>
      <c r="C1560" s="220" t="s">
        <v>4478</v>
      </c>
      <c r="D1560" s="220" t="s">
        <v>4498</v>
      </c>
      <c r="E1560" s="220" t="s">
        <v>7073</v>
      </c>
      <c r="F1560" s="219" t="s">
        <v>4486</v>
      </c>
      <c r="G1560" s="220" t="s">
        <v>84</v>
      </c>
    </row>
    <row r="1561" spans="2:7" ht="30" customHeight="1" thickBot="1" x14ac:dyDescent="0.3">
      <c r="B1561" s="219">
        <v>1511</v>
      </c>
      <c r="C1561" s="220" t="s">
        <v>4478</v>
      </c>
      <c r="D1561" s="220" t="s">
        <v>4499</v>
      </c>
      <c r="E1561" s="220" t="s">
        <v>8743</v>
      </c>
      <c r="F1561" s="223" t="s">
        <v>1081</v>
      </c>
      <c r="G1561" s="223" t="s">
        <v>322</v>
      </c>
    </row>
    <row r="1562" spans="2:7" ht="30" customHeight="1" thickBot="1" x14ac:dyDescent="0.3">
      <c r="B1562" s="219">
        <v>1512</v>
      </c>
      <c r="C1562" s="220" t="s">
        <v>4478</v>
      </c>
      <c r="D1562" s="220" t="s">
        <v>4500</v>
      </c>
      <c r="E1562" s="220" t="s">
        <v>8658</v>
      </c>
      <c r="F1562" s="219" t="s">
        <v>1081</v>
      </c>
      <c r="G1562" s="220" t="s">
        <v>84</v>
      </c>
    </row>
    <row r="1563" spans="2:7" ht="30" customHeight="1" thickBot="1" x14ac:dyDescent="0.3">
      <c r="B1563" s="219">
        <v>1513</v>
      </c>
      <c r="C1563" s="220" t="s">
        <v>4478</v>
      </c>
      <c r="D1563" s="220" t="s">
        <v>4501</v>
      </c>
      <c r="E1563" s="220" t="s">
        <v>7074</v>
      </c>
      <c r="F1563" s="219" t="s">
        <v>1081</v>
      </c>
      <c r="G1563" s="220" t="s">
        <v>84</v>
      </c>
    </row>
    <row r="1564" spans="2:7" ht="30" customHeight="1" thickBot="1" x14ac:dyDescent="0.3">
      <c r="B1564" s="219">
        <v>1514</v>
      </c>
      <c r="C1564" s="220" t="s">
        <v>4478</v>
      </c>
      <c r="D1564" s="220" t="s">
        <v>4502</v>
      </c>
      <c r="E1564" s="220" t="s">
        <v>8744</v>
      </c>
      <c r="F1564" s="223" t="s">
        <v>1081</v>
      </c>
      <c r="G1564" s="223" t="s">
        <v>322</v>
      </c>
    </row>
    <row r="1565" spans="2:7" ht="30" customHeight="1" thickBot="1" x14ac:dyDescent="0.3">
      <c r="B1565" s="219">
        <v>1515</v>
      </c>
      <c r="C1565" s="220" t="s">
        <v>4478</v>
      </c>
      <c r="D1565" s="220" t="s">
        <v>4503</v>
      </c>
      <c r="E1565" s="220" t="s">
        <v>7629</v>
      </c>
      <c r="F1565" s="223" t="s">
        <v>1081</v>
      </c>
      <c r="G1565" s="223" t="s">
        <v>322</v>
      </c>
    </row>
    <row r="1566" spans="2:7" ht="30" customHeight="1" thickBot="1" x14ac:dyDescent="0.3">
      <c r="B1566" s="219">
        <v>1516</v>
      </c>
      <c r="C1566" s="220" t="s">
        <v>4478</v>
      </c>
      <c r="D1566" s="220" t="s">
        <v>4504</v>
      </c>
      <c r="E1566" s="220" t="s">
        <v>9082</v>
      </c>
      <c r="F1566" s="223" t="s">
        <v>1081</v>
      </c>
      <c r="G1566" s="223" t="s">
        <v>322</v>
      </c>
    </row>
    <row r="1567" spans="2:7" ht="30" customHeight="1" thickBot="1" x14ac:dyDescent="0.3">
      <c r="B1567" s="219">
        <v>1517</v>
      </c>
      <c r="C1567" s="220" t="s">
        <v>4478</v>
      </c>
      <c r="D1567" s="220" t="s">
        <v>4505</v>
      </c>
      <c r="E1567" s="220" t="s">
        <v>2336</v>
      </c>
      <c r="F1567" s="223" t="s">
        <v>1081</v>
      </c>
      <c r="G1567" s="223" t="s">
        <v>2890</v>
      </c>
    </row>
    <row r="1568" spans="2:7" ht="30" customHeight="1" thickBot="1" x14ac:dyDescent="0.3">
      <c r="B1568" s="219">
        <v>1518</v>
      </c>
      <c r="C1568" s="220" t="s">
        <v>4478</v>
      </c>
      <c r="D1568" s="220" t="s">
        <v>4506</v>
      </c>
      <c r="E1568" s="220" t="s">
        <v>8745</v>
      </c>
      <c r="F1568" s="223" t="s">
        <v>1081</v>
      </c>
      <c r="G1568" s="223" t="s">
        <v>322</v>
      </c>
    </row>
    <row r="1569" spans="2:7" ht="30" customHeight="1" thickBot="1" x14ac:dyDescent="0.3">
      <c r="B1569" s="219">
        <v>1519</v>
      </c>
      <c r="C1569" s="220" t="s">
        <v>4478</v>
      </c>
      <c r="D1569" s="220" t="s">
        <v>4507</v>
      </c>
      <c r="E1569" s="220" t="s">
        <v>8746</v>
      </c>
      <c r="F1569" s="223" t="s">
        <v>1081</v>
      </c>
      <c r="G1569" s="223" t="s">
        <v>322</v>
      </c>
    </row>
    <row r="1570" spans="2:7" ht="30" customHeight="1" thickBot="1" x14ac:dyDescent="0.3">
      <c r="B1570" s="219">
        <v>1520</v>
      </c>
      <c r="C1570" s="220" t="s">
        <v>4478</v>
      </c>
      <c r="D1570" s="220" t="s">
        <v>4508</v>
      </c>
      <c r="E1570" s="220" t="s">
        <v>7630</v>
      </c>
      <c r="F1570" s="223" t="s">
        <v>1081</v>
      </c>
      <c r="G1570" s="223" t="s">
        <v>322</v>
      </c>
    </row>
    <row r="1571" spans="2:7" ht="30" customHeight="1" thickBot="1" x14ac:dyDescent="0.3">
      <c r="B1571" s="219">
        <v>1521</v>
      </c>
      <c r="C1571" s="220" t="s">
        <v>4478</v>
      </c>
      <c r="D1571" s="220" t="s">
        <v>4509</v>
      </c>
      <c r="E1571" s="220" t="s">
        <v>8747</v>
      </c>
      <c r="F1571" s="223" t="s">
        <v>1081</v>
      </c>
      <c r="G1571" s="223" t="s">
        <v>322</v>
      </c>
    </row>
    <row r="1572" spans="2:7" ht="30" customHeight="1" thickBot="1" x14ac:dyDescent="0.3">
      <c r="B1572" s="219">
        <v>1522</v>
      </c>
      <c r="C1572" s="220" t="s">
        <v>4478</v>
      </c>
      <c r="D1572" s="220" t="s">
        <v>4510</v>
      </c>
      <c r="E1572" s="220" t="s">
        <v>8748</v>
      </c>
      <c r="F1572" s="223" t="s">
        <v>1081</v>
      </c>
      <c r="G1572" s="223" t="s">
        <v>322</v>
      </c>
    </row>
    <row r="1573" spans="2:7" ht="30" customHeight="1" thickBot="1" x14ac:dyDescent="0.3">
      <c r="B1573" s="219">
        <v>1523</v>
      </c>
      <c r="C1573" s="220" t="s">
        <v>4478</v>
      </c>
      <c r="D1573" s="220" t="s">
        <v>4511</v>
      </c>
      <c r="E1573" s="220" t="s">
        <v>7631</v>
      </c>
      <c r="F1573" s="223" t="s">
        <v>1081</v>
      </c>
      <c r="G1573" s="223" t="s">
        <v>322</v>
      </c>
    </row>
    <row r="1574" spans="2:7" ht="30" customHeight="1" thickBot="1" x14ac:dyDescent="0.3">
      <c r="B1574" s="219">
        <v>1524</v>
      </c>
      <c r="C1574" s="220" t="s">
        <v>4478</v>
      </c>
      <c r="D1574" s="220" t="s">
        <v>4512</v>
      </c>
      <c r="E1574" s="220" t="s">
        <v>7632</v>
      </c>
      <c r="F1574" s="223" t="s">
        <v>1081</v>
      </c>
      <c r="G1574" s="223" t="s">
        <v>322</v>
      </c>
    </row>
    <row r="1575" spans="2:7" ht="30" customHeight="1" thickBot="1" x14ac:dyDescent="0.3">
      <c r="B1575" s="219">
        <v>1525</v>
      </c>
      <c r="C1575" s="220" t="s">
        <v>4478</v>
      </c>
      <c r="D1575" s="220" t="s">
        <v>4513</v>
      </c>
      <c r="E1575" s="220" t="s">
        <v>8749</v>
      </c>
      <c r="F1575" s="223" t="s">
        <v>1081</v>
      </c>
      <c r="G1575" s="223" t="s">
        <v>322</v>
      </c>
    </row>
    <row r="1576" spans="2:7" ht="30" customHeight="1" thickBot="1" x14ac:dyDescent="0.3">
      <c r="B1576" s="219">
        <v>1526</v>
      </c>
      <c r="C1576" s="220" t="s">
        <v>4478</v>
      </c>
      <c r="D1576" s="220" t="s">
        <v>4514</v>
      </c>
      <c r="E1576" s="220" t="s">
        <v>8750</v>
      </c>
      <c r="F1576" s="223" t="s">
        <v>1081</v>
      </c>
      <c r="G1576" s="223" t="s">
        <v>322</v>
      </c>
    </row>
    <row r="1577" spans="2:7" ht="30" customHeight="1" thickBot="1" x14ac:dyDescent="0.3">
      <c r="B1577" s="219">
        <v>1527</v>
      </c>
      <c r="C1577" s="220" t="s">
        <v>4478</v>
      </c>
      <c r="D1577" s="220" t="s">
        <v>4515</v>
      </c>
      <c r="E1577" s="220" t="s">
        <v>8749</v>
      </c>
      <c r="F1577" s="223" t="s">
        <v>1081</v>
      </c>
      <c r="G1577" s="223" t="s">
        <v>322</v>
      </c>
    </row>
    <row r="1578" spans="2:7" ht="30" customHeight="1" thickBot="1" x14ac:dyDescent="0.3">
      <c r="B1578" s="219">
        <v>1528</v>
      </c>
      <c r="C1578" s="220" t="s">
        <v>4478</v>
      </c>
      <c r="D1578" s="220" t="s">
        <v>4516</v>
      </c>
      <c r="E1578" s="220" t="s">
        <v>8749</v>
      </c>
      <c r="F1578" s="223" t="s">
        <v>1081</v>
      </c>
      <c r="G1578" s="223" t="s">
        <v>322</v>
      </c>
    </row>
    <row r="1579" spans="2:7" ht="30" customHeight="1" thickBot="1" x14ac:dyDescent="0.3">
      <c r="B1579" s="219">
        <v>1529</v>
      </c>
      <c r="C1579" s="220" t="s">
        <v>4478</v>
      </c>
      <c r="D1579" s="220" t="s">
        <v>4517</v>
      </c>
      <c r="E1579" s="220" t="s">
        <v>8749</v>
      </c>
      <c r="F1579" s="223" t="s">
        <v>1081</v>
      </c>
      <c r="G1579" s="223" t="s">
        <v>322</v>
      </c>
    </row>
    <row r="1580" spans="2:7" ht="30" customHeight="1" thickBot="1" x14ac:dyDescent="0.3">
      <c r="B1580" s="219">
        <v>1530</v>
      </c>
      <c r="C1580" s="220" t="s">
        <v>4478</v>
      </c>
      <c r="D1580" s="220" t="s">
        <v>4518</v>
      </c>
      <c r="E1580" s="220" t="s">
        <v>9084</v>
      </c>
      <c r="F1580" s="223" t="s">
        <v>1081</v>
      </c>
      <c r="G1580" s="223" t="s">
        <v>322</v>
      </c>
    </row>
    <row r="1581" spans="2:7" ht="30" customHeight="1" thickBot="1" x14ac:dyDescent="0.3">
      <c r="B1581" s="219">
        <v>1531</v>
      </c>
      <c r="C1581" s="220" t="s">
        <v>4478</v>
      </c>
      <c r="D1581" s="220" t="s">
        <v>4519</v>
      </c>
      <c r="E1581" s="220" t="s">
        <v>7633</v>
      </c>
      <c r="F1581" s="219" t="s">
        <v>1081</v>
      </c>
      <c r="G1581" s="220" t="s">
        <v>84</v>
      </c>
    </row>
    <row r="1582" spans="2:7" ht="30" customHeight="1" thickBot="1" x14ac:dyDescent="0.3">
      <c r="B1582" s="219">
        <v>1532</v>
      </c>
      <c r="C1582" s="220" t="s">
        <v>4478</v>
      </c>
      <c r="D1582" s="220" t="s">
        <v>4520</v>
      </c>
      <c r="E1582" s="220" t="s">
        <v>7634</v>
      </c>
      <c r="F1582" s="223" t="s">
        <v>1081</v>
      </c>
      <c r="G1582" s="223" t="s">
        <v>322</v>
      </c>
    </row>
    <row r="1583" spans="2:7" ht="30" customHeight="1" thickBot="1" x14ac:dyDescent="0.3">
      <c r="B1583" s="219">
        <v>1533</v>
      </c>
      <c r="C1583" s="220" t="s">
        <v>4478</v>
      </c>
      <c r="D1583" s="220" t="s">
        <v>4521</v>
      </c>
      <c r="E1583" s="220" t="s">
        <v>7635</v>
      </c>
      <c r="F1583" s="223" t="s">
        <v>1081</v>
      </c>
      <c r="G1583" s="223" t="s">
        <v>322</v>
      </c>
    </row>
    <row r="1584" spans="2:7" ht="30" customHeight="1" thickBot="1" x14ac:dyDescent="0.3">
      <c r="B1584" s="219">
        <v>1534</v>
      </c>
      <c r="C1584" s="220" t="s">
        <v>4478</v>
      </c>
      <c r="D1584" s="220" t="s">
        <v>4522</v>
      </c>
      <c r="E1584" s="220" t="s">
        <v>8285</v>
      </c>
      <c r="F1584" s="223" t="s">
        <v>1081</v>
      </c>
      <c r="G1584" s="223" t="s">
        <v>565</v>
      </c>
    </row>
    <row r="1585" spans="2:7" ht="30" customHeight="1" thickBot="1" x14ac:dyDescent="0.3">
      <c r="B1585" s="219">
        <v>1535</v>
      </c>
      <c r="C1585" s="220" t="s">
        <v>4478</v>
      </c>
      <c r="D1585" s="220" t="s">
        <v>4523</v>
      </c>
      <c r="E1585" s="220" t="s">
        <v>7636</v>
      </c>
      <c r="F1585" s="223" t="s">
        <v>1081</v>
      </c>
      <c r="G1585" s="223" t="s">
        <v>322</v>
      </c>
    </row>
    <row r="1586" spans="2:7" ht="223.5" customHeight="1" thickBot="1" x14ac:dyDescent="0.3">
      <c r="B1586" s="219">
        <v>1536</v>
      </c>
      <c r="C1586" s="220" t="s">
        <v>4478</v>
      </c>
      <c r="D1586" s="220" t="s">
        <v>4524</v>
      </c>
      <c r="E1586" s="220" t="s">
        <v>9172</v>
      </c>
      <c r="F1586" s="219" t="s">
        <v>4525</v>
      </c>
      <c r="G1586" s="220" t="s">
        <v>84</v>
      </c>
    </row>
    <row r="1587" spans="2:7" ht="30" customHeight="1" thickBot="1" x14ac:dyDescent="0.3">
      <c r="B1587" s="219">
        <v>1537</v>
      </c>
      <c r="C1587" s="220" t="s">
        <v>4478</v>
      </c>
      <c r="D1587" s="220" t="s">
        <v>4526</v>
      </c>
      <c r="E1587" s="220" t="s">
        <v>7637</v>
      </c>
      <c r="F1587" s="223" t="s">
        <v>1081</v>
      </c>
      <c r="G1587" s="223" t="s">
        <v>322</v>
      </c>
    </row>
    <row r="1588" spans="2:7" ht="30" customHeight="1" thickBot="1" x14ac:dyDescent="0.3">
      <c r="B1588" s="219">
        <v>1538</v>
      </c>
      <c r="C1588" s="220" t="s">
        <v>4478</v>
      </c>
      <c r="D1588" s="220" t="s">
        <v>4527</v>
      </c>
      <c r="E1588" s="220" t="s">
        <v>8751</v>
      </c>
      <c r="F1588" s="223" t="s">
        <v>1081</v>
      </c>
      <c r="G1588" s="223" t="s">
        <v>322</v>
      </c>
    </row>
    <row r="1589" spans="2:7" ht="30" customHeight="1" thickBot="1" x14ac:dyDescent="0.3">
      <c r="B1589" s="219">
        <v>1539</v>
      </c>
      <c r="C1589" s="220" t="s">
        <v>4478</v>
      </c>
      <c r="D1589" s="220" t="s">
        <v>4528</v>
      </c>
      <c r="E1589" s="220" t="s">
        <v>9220</v>
      </c>
      <c r="F1589" s="223" t="s">
        <v>1081</v>
      </c>
      <c r="G1589" s="223" t="s">
        <v>322</v>
      </c>
    </row>
    <row r="1590" spans="2:7" ht="30" customHeight="1" thickBot="1" x14ac:dyDescent="0.3">
      <c r="B1590" s="219">
        <v>1540</v>
      </c>
      <c r="C1590" s="220" t="s">
        <v>4478</v>
      </c>
      <c r="D1590" s="220" t="s">
        <v>4529</v>
      </c>
      <c r="E1590" s="220" t="s">
        <v>8752</v>
      </c>
      <c r="F1590" s="223" t="s">
        <v>1081</v>
      </c>
      <c r="G1590" s="223" t="s">
        <v>322</v>
      </c>
    </row>
    <row r="1591" spans="2:7" ht="30" customHeight="1" thickBot="1" x14ac:dyDescent="0.3">
      <c r="B1591" s="219">
        <v>1541</v>
      </c>
      <c r="C1591" s="220" t="s">
        <v>4478</v>
      </c>
      <c r="D1591" s="220" t="s">
        <v>4530</v>
      </c>
      <c r="E1591" s="220" t="s">
        <v>8957</v>
      </c>
      <c r="F1591" s="219" t="s">
        <v>1081</v>
      </c>
      <c r="G1591" s="220" t="s">
        <v>8532</v>
      </c>
    </row>
    <row r="1592" spans="2:7" ht="30" customHeight="1" thickBot="1" x14ac:dyDescent="0.3">
      <c r="B1592" s="219">
        <v>1542</v>
      </c>
      <c r="C1592" s="220" t="s">
        <v>4478</v>
      </c>
      <c r="D1592" s="220" t="s">
        <v>9146</v>
      </c>
      <c r="E1592" s="220" t="s">
        <v>7638</v>
      </c>
      <c r="F1592" s="223" t="s">
        <v>1081</v>
      </c>
      <c r="G1592" s="223" t="s">
        <v>322</v>
      </c>
    </row>
    <row r="1593" spans="2:7" ht="30" customHeight="1" thickBot="1" x14ac:dyDescent="0.3">
      <c r="B1593" s="219">
        <v>1543</v>
      </c>
      <c r="C1593" s="220" t="s">
        <v>4478</v>
      </c>
      <c r="D1593" s="220" t="s">
        <v>4531</v>
      </c>
      <c r="E1593" s="220" t="s">
        <v>8891</v>
      </c>
      <c r="F1593" s="219" t="s">
        <v>2586</v>
      </c>
      <c r="G1593" s="220" t="s">
        <v>84</v>
      </c>
    </row>
    <row r="1594" spans="2:7" ht="30" customHeight="1" thickBot="1" x14ac:dyDescent="0.3">
      <c r="B1594" s="233">
        <v>1544</v>
      </c>
      <c r="C1594" s="233" t="s">
        <v>4478</v>
      </c>
      <c r="D1594" s="233" t="s">
        <v>10012</v>
      </c>
      <c r="E1594" s="233" t="s">
        <v>8939</v>
      </c>
      <c r="F1594" s="235" t="s">
        <v>2586</v>
      </c>
      <c r="G1594" s="233" t="s">
        <v>84</v>
      </c>
    </row>
    <row r="1595" spans="2:7" ht="30" customHeight="1" thickBot="1" x14ac:dyDescent="0.3">
      <c r="B1595" s="233"/>
      <c r="C1595" s="233"/>
      <c r="D1595" s="233"/>
      <c r="E1595" s="233"/>
      <c r="F1595" s="235"/>
      <c r="G1595" s="233"/>
    </row>
    <row r="1596" spans="2:7" ht="30" customHeight="1" thickBot="1" x14ac:dyDescent="0.3">
      <c r="B1596" s="233"/>
      <c r="C1596" s="233"/>
      <c r="D1596" s="233"/>
      <c r="E1596" s="233"/>
      <c r="F1596" s="235"/>
      <c r="G1596" s="233"/>
    </row>
    <row r="1597" spans="2:7" ht="30" customHeight="1" thickBot="1" x14ac:dyDescent="0.3">
      <c r="B1597" s="233"/>
      <c r="C1597" s="233"/>
      <c r="D1597" s="233"/>
      <c r="E1597" s="233"/>
      <c r="F1597" s="235"/>
      <c r="G1597" s="233"/>
    </row>
    <row r="1598" spans="2:7" ht="30" customHeight="1" thickBot="1" x14ac:dyDescent="0.3">
      <c r="B1598" s="233"/>
      <c r="C1598" s="233"/>
      <c r="D1598" s="233"/>
      <c r="E1598" s="233"/>
      <c r="F1598" s="235"/>
      <c r="G1598" s="233"/>
    </row>
    <row r="1599" spans="2:7" ht="30" customHeight="1" thickBot="1" x14ac:dyDescent="0.3">
      <c r="B1599" s="233"/>
      <c r="C1599" s="233"/>
      <c r="D1599" s="233"/>
      <c r="E1599" s="233"/>
      <c r="F1599" s="235"/>
      <c r="G1599" s="233"/>
    </row>
    <row r="1600" spans="2:7" ht="30" customHeight="1" thickBot="1" x14ac:dyDescent="0.3">
      <c r="B1600" s="235">
        <v>1545</v>
      </c>
      <c r="C1600" s="233" t="s">
        <v>4478</v>
      </c>
      <c r="D1600" s="233" t="s">
        <v>4532</v>
      </c>
      <c r="E1600" s="233" t="s">
        <v>7639</v>
      </c>
      <c r="F1600" s="235" t="s">
        <v>4486</v>
      </c>
      <c r="G1600" s="233" t="s">
        <v>84</v>
      </c>
    </row>
    <row r="1601" spans="2:7" ht="30" customHeight="1" thickBot="1" x14ac:dyDescent="0.3">
      <c r="B1601" s="235"/>
      <c r="C1601" s="233"/>
      <c r="D1601" s="233"/>
      <c r="E1601" s="233"/>
      <c r="F1601" s="235"/>
      <c r="G1601" s="233"/>
    </row>
    <row r="1602" spans="2:7" ht="30" customHeight="1" thickBot="1" x14ac:dyDescent="0.3">
      <c r="B1602" s="219">
        <v>1546</v>
      </c>
      <c r="C1602" s="220" t="s">
        <v>4478</v>
      </c>
      <c r="D1602" s="220" t="s">
        <v>4533</v>
      </c>
      <c r="E1602" s="220" t="s">
        <v>7640</v>
      </c>
      <c r="F1602" s="219" t="s">
        <v>4486</v>
      </c>
      <c r="G1602" s="220" t="s">
        <v>84</v>
      </c>
    </row>
    <row r="1603" spans="2:7" ht="30" customHeight="1" thickBot="1" x14ac:dyDescent="0.3">
      <c r="B1603" s="219">
        <v>1547</v>
      </c>
      <c r="C1603" s="220" t="s">
        <v>4478</v>
      </c>
      <c r="D1603" s="220" t="s">
        <v>4534</v>
      </c>
      <c r="E1603" s="220" t="s">
        <v>7641</v>
      </c>
      <c r="F1603" s="219" t="s">
        <v>4486</v>
      </c>
      <c r="G1603" s="220" t="s">
        <v>84</v>
      </c>
    </row>
    <row r="1604" spans="2:7" ht="30" customHeight="1" thickBot="1" x14ac:dyDescent="0.3">
      <c r="B1604" s="219">
        <v>1548</v>
      </c>
      <c r="C1604" s="220" t="s">
        <v>4478</v>
      </c>
      <c r="D1604" s="220" t="s">
        <v>10013</v>
      </c>
      <c r="E1604" s="220" t="s">
        <v>7642</v>
      </c>
      <c r="F1604" s="219" t="s">
        <v>4486</v>
      </c>
      <c r="G1604" s="220" t="s">
        <v>84</v>
      </c>
    </row>
    <row r="1605" spans="2:7" ht="30" customHeight="1" thickBot="1" x14ac:dyDescent="0.3">
      <c r="B1605" s="219">
        <v>1549</v>
      </c>
      <c r="C1605" s="220" t="s">
        <v>4478</v>
      </c>
      <c r="D1605" s="220" t="s">
        <v>4535</v>
      </c>
      <c r="E1605" s="220" t="s">
        <v>7643</v>
      </c>
      <c r="F1605" s="219" t="s">
        <v>4486</v>
      </c>
      <c r="G1605" s="220" t="s">
        <v>84</v>
      </c>
    </row>
    <row r="1606" spans="2:7" ht="30" customHeight="1" thickBot="1" x14ac:dyDescent="0.3">
      <c r="B1606" s="219">
        <v>1550</v>
      </c>
      <c r="C1606" s="220" t="s">
        <v>4478</v>
      </c>
      <c r="D1606" s="220" t="s">
        <v>4536</v>
      </c>
      <c r="E1606" s="220" t="s">
        <v>7644</v>
      </c>
      <c r="F1606" s="219" t="s">
        <v>2586</v>
      </c>
      <c r="G1606" s="220" t="s">
        <v>3379</v>
      </c>
    </row>
    <row r="1607" spans="2:7" ht="30" customHeight="1" thickBot="1" x14ac:dyDescent="0.3">
      <c r="B1607" s="219">
        <v>1551</v>
      </c>
      <c r="C1607" s="220" t="s">
        <v>4478</v>
      </c>
      <c r="D1607" s="220" t="s">
        <v>4537</v>
      </c>
      <c r="E1607" s="220" t="s">
        <v>7645</v>
      </c>
      <c r="F1607" s="219" t="s">
        <v>2586</v>
      </c>
      <c r="G1607" s="220" t="s">
        <v>3379</v>
      </c>
    </row>
    <row r="1608" spans="2:7" ht="30" customHeight="1" thickBot="1" x14ac:dyDescent="0.3">
      <c r="B1608" s="219">
        <v>1552</v>
      </c>
      <c r="C1608" s="220" t="s">
        <v>4478</v>
      </c>
      <c r="D1608" s="220" t="s">
        <v>4538</v>
      </c>
      <c r="E1608" s="220" t="s">
        <v>8659</v>
      </c>
      <c r="F1608" s="219" t="s">
        <v>2254</v>
      </c>
      <c r="G1608" s="220" t="s">
        <v>3379</v>
      </c>
    </row>
    <row r="1609" spans="2:7" ht="30" customHeight="1" thickBot="1" x14ac:dyDescent="0.3">
      <c r="B1609" s="219">
        <v>1553</v>
      </c>
      <c r="C1609" s="220" t="s">
        <v>4478</v>
      </c>
      <c r="D1609" s="220" t="s">
        <v>4539</v>
      </c>
      <c r="E1609" s="220" t="s">
        <v>8361</v>
      </c>
      <c r="F1609" s="223" t="s">
        <v>1083</v>
      </c>
      <c r="G1609" s="223" t="s">
        <v>565</v>
      </c>
    </row>
    <row r="1610" spans="2:7" ht="30" customHeight="1" thickBot="1" x14ac:dyDescent="0.3">
      <c r="B1610" s="219">
        <v>1554</v>
      </c>
      <c r="C1610" s="220" t="s">
        <v>4478</v>
      </c>
      <c r="D1610" s="220" t="s">
        <v>4540</v>
      </c>
      <c r="E1610" s="220" t="s">
        <v>8362</v>
      </c>
      <c r="F1610" s="223" t="s">
        <v>1083</v>
      </c>
      <c r="G1610" s="223" t="s">
        <v>565</v>
      </c>
    </row>
    <row r="1611" spans="2:7" ht="30" customHeight="1" thickBot="1" x14ac:dyDescent="0.3">
      <c r="B1611" s="219">
        <v>1555</v>
      </c>
      <c r="C1611" s="220" t="s">
        <v>4478</v>
      </c>
      <c r="D1611" s="220" t="s">
        <v>4541</v>
      </c>
      <c r="E1611" s="220" t="s">
        <v>8753</v>
      </c>
      <c r="F1611" s="223" t="s">
        <v>1083</v>
      </c>
      <c r="G1611" s="223" t="s">
        <v>322</v>
      </c>
    </row>
    <row r="1612" spans="2:7" ht="30" customHeight="1" thickBot="1" x14ac:dyDescent="0.3">
      <c r="B1612" s="219">
        <v>1556</v>
      </c>
      <c r="C1612" s="220" t="s">
        <v>4478</v>
      </c>
      <c r="D1612" s="220" t="s">
        <v>4542</v>
      </c>
      <c r="E1612" s="220" t="s">
        <v>7646</v>
      </c>
      <c r="F1612" s="219" t="s">
        <v>2254</v>
      </c>
      <c r="G1612" s="220" t="s">
        <v>84</v>
      </c>
    </row>
    <row r="1613" spans="2:7" ht="30" customHeight="1" thickBot="1" x14ac:dyDescent="0.3">
      <c r="B1613" s="219">
        <v>1557</v>
      </c>
      <c r="C1613" s="220" t="s">
        <v>4478</v>
      </c>
      <c r="D1613" s="220" t="s">
        <v>4543</v>
      </c>
      <c r="E1613" s="220" t="s">
        <v>7647</v>
      </c>
      <c r="F1613" s="223" t="s">
        <v>1083</v>
      </c>
      <c r="G1613" s="223" t="s">
        <v>322</v>
      </c>
    </row>
    <row r="1614" spans="2:7" ht="30" customHeight="1" thickBot="1" x14ac:dyDescent="0.3">
      <c r="B1614" s="219">
        <v>1558</v>
      </c>
      <c r="C1614" s="220" t="s">
        <v>4478</v>
      </c>
      <c r="D1614" s="220" t="s">
        <v>10014</v>
      </c>
      <c r="E1614" s="220" t="s">
        <v>8940</v>
      </c>
      <c r="F1614" s="223" t="s">
        <v>1083</v>
      </c>
      <c r="G1614" s="223" t="s">
        <v>108</v>
      </c>
    </row>
    <row r="1615" spans="2:7" ht="30" customHeight="1" thickBot="1" x14ac:dyDescent="0.3">
      <c r="B1615" s="219">
        <v>1559</v>
      </c>
      <c r="C1615" s="220" t="s">
        <v>4478</v>
      </c>
      <c r="D1615" s="220" t="s">
        <v>4544</v>
      </c>
      <c r="E1615" s="220" t="s">
        <v>7351</v>
      </c>
      <c r="F1615" s="219" t="s">
        <v>4486</v>
      </c>
      <c r="G1615" s="220" t="s">
        <v>84</v>
      </c>
    </row>
    <row r="1616" spans="2:7" ht="30" customHeight="1" thickBot="1" x14ac:dyDescent="0.3">
      <c r="B1616" s="219">
        <v>1560</v>
      </c>
      <c r="C1616" s="220" t="s">
        <v>4478</v>
      </c>
      <c r="D1616" s="220" t="s">
        <v>4545</v>
      </c>
      <c r="E1616" s="220" t="s">
        <v>7351</v>
      </c>
      <c r="F1616" s="219" t="s">
        <v>4486</v>
      </c>
      <c r="G1616" s="220" t="s">
        <v>84</v>
      </c>
    </row>
    <row r="1617" spans="2:7" ht="30" customHeight="1" thickBot="1" x14ac:dyDescent="0.3">
      <c r="B1617" s="219">
        <v>1561</v>
      </c>
      <c r="C1617" s="220" t="s">
        <v>4478</v>
      </c>
      <c r="D1617" s="220" t="s">
        <v>9147</v>
      </c>
      <c r="E1617" s="220" t="s">
        <v>8941</v>
      </c>
      <c r="F1617" s="219" t="s">
        <v>4546</v>
      </c>
      <c r="G1617" s="220" t="s">
        <v>84</v>
      </c>
    </row>
    <row r="1618" spans="2:7" ht="30" customHeight="1" thickBot="1" x14ac:dyDescent="0.3">
      <c r="B1618" s="219">
        <v>1562</v>
      </c>
      <c r="C1618" s="220" t="s">
        <v>4478</v>
      </c>
      <c r="D1618" s="220" t="s">
        <v>4547</v>
      </c>
      <c r="E1618" s="220" t="s">
        <v>8959</v>
      </c>
      <c r="F1618" s="219" t="s">
        <v>4548</v>
      </c>
      <c r="G1618" s="220" t="s">
        <v>4549</v>
      </c>
    </row>
    <row r="1619" spans="2:7" ht="30" customHeight="1" thickBot="1" x14ac:dyDescent="0.3">
      <c r="B1619" s="219">
        <v>1563</v>
      </c>
      <c r="C1619" s="220" t="s">
        <v>4478</v>
      </c>
      <c r="D1619" s="231" t="s">
        <v>4550</v>
      </c>
      <c r="E1619" s="220" t="s">
        <v>7648</v>
      </c>
      <c r="F1619" s="219" t="s">
        <v>4548</v>
      </c>
      <c r="G1619" s="220" t="s">
        <v>3379</v>
      </c>
    </row>
    <row r="1620" spans="2:7" ht="30" customHeight="1" thickBot="1" x14ac:dyDescent="0.3">
      <c r="B1620" s="219">
        <v>1564</v>
      </c>
      <c r="C1620" s="220" t="s">
        <v>4478</v>
      </c>
      <c r="D1620" s="220" t="s">
        <v>4551</v>
      </c>
      <c r="E1620" s="220" t="s">
        <v>8754</v>
      </c>
      <c r="F1620" s="219" t="s">
        <v>4548</v>
      </c>
      <c r="G1620" s="220" t="s">
        <v>3379</v>
      </c>
    </row>
    <row r="1621" spans="2:7" ht="30" customHeight="1" thickBot="1" x14ac:dyDescent="0.3">
      <c r="B1621" s="219">
        <v>1565</v>
      </c>
      <c r="C1621" s="220" t="s">
        <v>4478</v>
      </c>
      <c r="D1621" s="220" t="s">
        <v>4552</v>
      </c>
      <c r="E1621" s="220" t="s">
        <v>7649</v>
      </c>
      <c r="F1621" s="223" t="s">
        <v>1081</v>
      </c>
      <c r="G1621" s="223" t="s">
        <v>322</v>
      </c>
    </row>
    <row r="1622" spans="2:7" ht="30" customHeight="1" thickBot="1" x14ac:dyDescent="0.3">
      <c r="B1622" s="219">
        <v>1566</v>
      </c>
      <c r="C1622" s="220" t="s">
        <v>4478</v>
      </c>
      <c r="D1622" s="220" t="s">
        <v>4553</v>
      </c>
      <c r="E1622" s="220" t="s">
        <v>7650</v>
      </c>
      <c r="F1622" s="223" t="s">
        <v>1083</v>
      </c>
      <c r="G1622" s="223" t="s">
        <v>322</v>
      </c>
    </row>
    <row r="1623" spans="2:7" ht="30" customHeight="1" thickBot="1" x14ac:dyDescent="0.3">
      <c r="B1623" s="219">
        <v>1567</v>
      </c>
      <c r="C1623" s="220" t="s">
        <v>4478</v>
      </c>
      <c r="D1623" s="220" t="s">
        <v>4554</v>
      </c>
      <c r="E1623" s="220" t="s">
        <v>8943</v>
      </c>
      <c r="F1623" s="220" t="s">
        <v>2971</v>
      </c>
      <c r="G1623" s="220" t="s">
        <v>84</v>
      </c>
    </row>
    <row r="1624" spans="2:7" ht="30" customHeight="1" thickBot="1" x14ac:dyDescent="0.3">
      <c r="B1624" s="219">
        <v>1568</v>
      </c>
      <c r="C1624" s="220" t="s">
        <v>4478</v>
      </c>
      <c r="D1624" s="220" t="s">
        <v>2969</v>
      </c>
      <c r="E1624" s="220" t="s">
        <v>7651</v>
      </c>
      <c r="F1624" s="220" t="s">
        <v>2971</v>
      </c>
      <c r="G1624" s="220" t="s">
        <v>84</v>
      </c>
    </row>
    <row r="1625" spans="2:7" ht="30" customHeight="1" thickBot="1" x14ac:dyDescent="0.3">
      <c r="B1625" s="219">
        <v>1569</v>
      </c>
      <c r="C1625" s="220" t="s">
        <v>4478</v>
      </c>
      <c r="D1625" s="220" t="s">
        <v>2972</v>
      </c>
      <c r="E1625" s="220" t="s">
        <v>7652</v>
      </c>
      <c r="F1625" s="220" t="s">
        <v>2973</v>
      </c>
      <c r="G1625" s="220" t="s">
        <v>84</v>
      </c>
    </row>
    <row r="1626" spans="2:7" ht="30" customHeight="1" thickBot="1" x14ac:dyDescent="0.3">
      <c r="B1626" s="221" t="s">
        <v>4555</v>
      </c>
      <c r="C1626" s="221" t="s">
        <v>4556</v>
      </c>
      <c r="D1626" s="223" t="s">
        <v>4557</v>
      </c>
      <c r="E1626" s="224" t="s">
        <v>8755</v>
      </c>
      <c r="F1626" s="223" t="s">
        <v>4558</v>
      </c>
      <c r="G1626" s="221" t="s">
        <v>322</v>
      </c>
    </row>
    <row r="1627" spans="2:7" ht="30" customHeight="1" thickBot="1" x14ac:dyDescent="0.3">
      <c r="B1627" s="221"/>
      <c r="C1627" s="221"/>
      <c r="D1627" s="223"/>
      <c r="E1627" s="224"/>
      <c r="F1627" s="223" t="s">
        <v>4559</v>
      </c>
      <c r="G1627" s="221"/>
    </row>
    <row r="1628" spans="2:7" ht="30" customHeight="1" thickBot="1" x14ac:dyDescent="0.3">
      <c r="B1628" s="221"/>
      <c r="C1628" s="221"/>
      <c r="D1628" s="218" t="s">
        <v>10015</v>
      </c>
      <c r="E1628" s="224"/>
      <c r="F1628" s="223"/>
      <c r="G1628" s="221"/>
    </row>
    <row r="1629" spans="2:7" ht="30" customHeight="1" thickBot="1" x14ac:dyDescent="0.3">
      <c r="B1629" s="236" t="s">
        <v>4560</v>
      </c>
      <c r="C1629" s="221" t="s">
        <v>4556</v>
      </c>
      <c r="D1629" s="223" t="s">
        <v>4561</v>
      </c>
      <c r="E1629" s="221" t="s">
        <v>8756</v>
      </c>
      <c r="F1629" s="223" t="s">
        <v>4558</v>
      </c>
      <c r="G1629" s="221" t="s">
        <v>322</v>
      </c>
    </row>
    <row r="1630" spans="2:7" ht="30" customHeight="1" thickBot="1" x14ac:dyDescent="0.3">
      <c r="B1630" s="236"/>
      <c r="C1630" s="221"/>
      <c r="D1630" s="223"/>
      <c r="E1630" s="221"/>
      <c r="F1630" s="223" t="s">
        <v>4562</v>
      </c>
      <c r="G1630" s="221"/>
    </row>
    <row r="1631" spans="2:7" ht="30" customHeight="1" thickBot="1" x14ac:dyDescent="0.3">
      <c r="B1631" s="236"/>
      <c r="C1631" s="221"/>
      <c r="D1631" s="218" t="s">
        <v>10016</v>
      </c>
      <c r="E1631" s="221"/>
      <c r="F1631" s="223"/>
      <c r="G1631" s="221"/>
    </row>
    <row r="1632" spans="2:7" ht="30" customHeight="1" thickBot="1" x14ac:dyDescent="0.3">
      <c r="B1632" s="236" t="s">
        <v>4563</v>
      </c>
      <c r="C1632" s="221" t="s">
        <v>4556</v>
      </c>
      <c r="D1632" s="223" t="s">
        <v>4564</v>
      </c>
      <c r="E1632" s="221" t="s">
        <v>8755</v>
      </c>
      <c r="F1632" s="223" t="s">
        <v>4558</v>
      </c>
      <c r="G1632" s="221" t="s">
        <v>322</v>
      </c>
    </row>
    <row r="1633" spans="2:7" ht="30" customHeight="1" thickBot="1" x14ac:dyDescent="0.3">
      <c r="B1633" s="236"/>
      <c r="C1633" s="221"/>
      <c r="D1633" s="223"/>
      <c r="E1633" s="221"/>
      <c r="F1633" s="223" t="s">
        <v>4565</v>
      </c>
      <c r="G1633" s="221"/>
    </row>
    <row r="1634" spans="2:7" ht="30" customHeight="1" thickBot="1" x14ac:dyDescent="0.3">
      <c r="B1634" s="236"/>
      <c r="C1634" s="221"/>
      <c r="D1634" s="218" t="s">
        <v>10017</v>
      </c>
      <c r="E1634" s="221"/>
      <c r="F1634" s="223"/>
      <c r="G1634" s="221"/>
    </row>
    <row r="1635" spans="2:7" ht="30" customHeight="1" thickBot="1" x14ac:dyDescent="0.3">
      <c r="B1635" s="236" t="s">
        <v>4566</v>
      </c>
      <c r="C1635" s="221" t="s">
        <v>4556</v>
      </c>
      <c r="D1635" s="223" t="s">
        <v>4567</v>
      </c>
      <c r="E1635" s="221" t="s">
        <v>8757</v>
      </c>
      <c r="F1635" s="223" t="s">
        <v>4558</v>
      </c>
      <c r="G1635" s="221" t="s">
        <v>322</v>
      </c>
    </row>
    <row r="1636" spans="2:7" ht="30" customHeight="1" thickBot="1" x14ac:dyDescent="0.3">
      <c r="B1636" s="236"/>
      <c r="C1636" s="221"/>
      <c r="D1636" s="223"/>
      <c r="E1636" s="221"/>
      <c r="F1636" s="223" t="s">
        <v>4568</v>
      </c>
      <c r="G1636" s="221"/>
    </row>
    <row r="1637" spans="2:7" ht="30" customHeight="1" thickBot="1" x14ac:dyDescent="0.3">
      <c r="B1637" s="236"/>
      <c r="C1637" s="221"/>
      <c r="D1637" s="218" t="s">
        <v>10018</v>
      </c>
      <c r="E1637" s="221"/>
      <c r="F1637" s="223"/>
      <c r="G1637" s="221"/>
    </row>
    <row r="1638" spans="2:7" ht="30" customHeight="1" thickBot="1" x14ac:dyDescent="0.3">
      <c r="B1638" s="236" t="s">
        <v>4569</v>
      </c>
      <c r="C1638" s="221" t="s">
        <v>4556</v>
      </c>
      <c r="D1638" s="223" t="s">
        <v>4570</v>
      </c>
      <c r="E1638" s="221" t="s">
        <v>8758</v>
      </c>
      <c r="F1638" s="223" t="s">
        <v>4558</v>
      </c>
      <c r="G1638" s="221" t="s">
        <v>322</v>
      </c>
    </row>
    <row r="1639" spans="2:7" ht="30" customHeight="1" thickBot="1" x14ac:dyDescent="0.3">
      <c r="B1639" s="236"/>
      <c r="C1639" s="221"/>
      <c r="D1639" s="223"/>
      <c r="E1639" s="221"/>
      <c r="F1639" s="223" t="s">
        <v>4571</v>
      </c>
      <c r="G1639" s="221"/>
    </row>
    <row r="1640" spans="2:7" ht="30" customHeight="1" thickBot="1" x14ac:dyDescent="0.3">
      <c r="B1640" s="236"/>
      <c r="C1640" s="221"/>
      <c r="D1640" s="218" t="s">
        <v>10018</v>
      </c>
      <c r="E1640" s="221"/>
      <c r="F1640" s="223"/>
      <c r="G1640" s="221"/>
    </row>
    <row r="1641" spans="2:7" ht="30" customHeight="1" thickBot="1" x14ac:dyDescent="0.3">
      <c r="B1641" s="236" t="s">
        <v>4572</v>
      </c>
      <c r="C1641" s="221" t="s">
        <v>4556</v>
      </c>
      <c r="D1641" s="223" t="s">
        <v>4573</v>
      </c>
      <c r="E1641" s="221" t="s">
        <v>2868</v>
      </c>
      <c r="F1641" s="223" t="s">
        <v>4558</v>
      </c>
      <c r="G1641" s="221" t="s">
        <v>322</v>
      </c>
    </row>
    <row r="1642" spans="2:7" ht="30" customHeight="1" thickBot="1" x14ac:dyDescent="0.3">
      <c r="B1642" s="236"/>
      <c r="C1642" s="221"/>
      <c r="D1642" s="223"/>
      <c r="E1642" s="221"/>
      <c r="F1642" s="223" t="s">
        <v>4574</v>
      </c>
      <c r="G1642" s="221"/>
    </row>
    <row r="1643" spans="2:7" ht="30" customHeight="1" thickBot="1" x14ac:dyDescent="0.3">
      <c r="B1643" s="236"/>
      <c r="C1643" s="221"/>
      <c r="D1643" s="218" t="s">
        <v>10019</v>
      </c>
      <c r="E1643" s="221"/>
      <c r="F1643" s="223"/>
      <c r="G1643" s="221"/>
    </row>
    <row r="1644" spans="2:7" ht="30" customHeight="1" thickBot="1" x14ac:dyDescent="0.3">
      <c r="B1644" s="236" t="s">
        <v>4575</v>
      </c>
      <c r="C1644" s="221" t="s">
        <v>4556</v>
      </c>
      <c r="D1644" s="223" t="s">
        <v>4576</v>
      </c>
      <c r="E1644" s="221" t="s">
        <v>3714</v>
      </c>
      <c r="F1644" s="223" t="s">
        <v>4558</v>
      </c>
      <c r="G1644" s="221" t="s">
        <v>322</v>
      </c>
    </row>
    <row r="1645" spans="2:7" ht="30" customHeight="1" thickBot="1" x14ac:dyDescent="0.3">
      <c r="B1645" s="236"/>
      <c r="C1645" s="221"/>
      <c r="D1645" s="223"/>
      <c r="E1645" s="221"/>
      <c r="F1645" s="223" t="s">
        <v>4577</v>
      </c>
      <c r="G1645" s="221"/>
    </row>
    <row r="1646" spans="2:7" ht="30" customHeight="1" thickBot="1" x14ac:dyDescent="0.3">
      <c r="B1646" s="236"/>
      <c r="C1646" s="221"/>
      <c r="D1646" s="218" t="s">
        <v>10020</v>
      </c>
      <c r="E1646" s="221"/>
      <c r="F1646" s="223"/>
      <c r="G1646" s="221"/>
    </row>
    <row r="1647" spans="2:7" ht="30" customHeight="1" thickBot="1" x14ac:dyDescent="0.3">
      <c r="B1647" s="236"/>
      <c r="C1647" s="221"/>
      <c r="D1647" s="223"/>
      <c r="E1647" s="221"/>
      <c r="F1647" s="223"/>
      <c r="G1647" s="221"/>
    </row>
    <row r="1648" spans="2:7" ht="30" customHeight="1" thickBot="1" x14ac:dyDescent="0.3">
      <c r="B1648" s="236"/>
      <c r="C1648" s="221"/>
      <c r="D1648" s="223" t="s">
        <v>4578</v>
      </c>
      <c r="E1648" s="221"/>
      <c r="F1648" s="223"/>
      <c r="G1648" s="221"/>
    </row>
    <row r="1649" spans="2:7" ht="30" customHeight="1" thickBot="1" x14ac:dyDescent="0.3">
      <c r="B1649" s="236" t="s">
        <v>4579</v>
      </c>
      <c r="C1649" s="221" t="s">
        <v>4556</v>
      </c>
      <c r="D1649" s="223" t="s">
        <v>4580</v>
      </c>
      <c r="E1649" s="221" t="s">
        <v>8759</v>
      </c>
      <c r="F1649" s="223" t="s">
        <v>4558</v>
      </c>
      <c r="G1649" s="221" t="s">
        <v>322</v>
      </c>
    </row>
    <row r="1650" spans="2:7" ht="30" customHeight="1" thickBot="1" x14ac:dyDescent="0.3">
      <c r="B1650" s="236"/>
      <c r="C1650" s="221"/>
      <c r="D1650" s="223"/>
      <c r="E1650" s="221"/>
      <c r="F1650" s="223" t="s">
        <v>4581</v>
      </c>
      <c r="G1650" s="221"/>
    </row>
    <row r="1651" spans="2:7" ht="30" customHeight="1" thickBot="1" x14ac:dyDescent="0.3">
      <c r="B1651" s="236"/>
      <c r="C1651" s="221"/>
      <c r="D1651" s="218" t="s">
        <v>10021</v>
      </c>
      <c r="E1651" s="221"/>
      <c r="F1651" s="223"/>
      <c r="G1651" s="221"/>
    </row>
    <row r="1652" spans="2:7" ht="30" customHeight="1" thickBot="1" x14ac:dyDescent="0.3">
      <c r="B1652" s="236" t="s">
        <v>4582</v>
      </c>
      <c r="C1652" s="221" t="s">
        <v>4556</v>
      </c>
      <c r="D1652" s="223" t="s">
        <v>4583</v>
      </c>
      <c r="E1652" s="221" t="s">
        <v>7653</v>
      </c>
      <c r="F1652" s="223" t="s">
        <v>4558</v>
      </c>
      <c r="G1652" s="221" t="s">
        <v>322</v>
      </c>
    </row>
    <row r="1653" spans="2:7" ht="30" customHeight="1" thickBot="1" x14ac:dyDescent="0.3">
      <c r="B1653" s="236"/>
      <c r="C1653" s="221"/>
      <c r="D1653" s="223"/>
      <c r="E1653" s="221"/>
      <c r="F1653" s="223" t="s">
        <v>4584</v>
      </c>
      <c r="G1653" s="221"/>
    </row>
    <row r="1654" spans="2:7" ht="30" customHeight="1" thickBot="1" x14ac:dyDescent="0.3">
      <c r="B1654" s="236"/>
      <c r="C1654" s="221"/>
      <c r="D1654" s="218" t="s">
        <v>10022</v>
      </c>
      <c r="E1654" s="221"/>
      <c r="F1654" s="223"/>
      <c r="G1654" s="221"/>
    </row>
    <row r="1655" spans="2:7" ht="30" customHeight="1" thickBot="1" x14ac:dyDescent="0.3">
      <c r="B1655" s="236" t="s">
        <v>4585</v>
      </c>
      <c r="C1655" s="221" t="s">
        <v>4556</v>
      </c>
      <c r="D1655" s="223" t="s">
        <v>4586</v>
      </c>
      <c r="E1655" s="221" t="s">
        <v>7654</v>
      </c>
      <c r="F1655" s="223" t="s">
        <v>4558</v>
      </c>
      <c r="G1655" s="221" t="s">
        <v>322</v>
      </c>
    </row>
    <row r="1656" spans="2:7" ht="30" customHeight="1" thickBot="1" x14ac:dyDescent="0.3">
      <c r="B1656" s="236"/>
      <c r="C1656" s="221"/>
      <c r="D1656" s="223"/>
      <c r="E1656" s="221"/>
      <c r="F1656" s="223" t="s">
        <v>4587</v>
      </c>
      <c r="G1656" s="221"/>
    </row>
    <row r="1657" spans="2:7" ht="30" customHeight="1" thickBot="1" x14ac:dyDescent="0.3">
      <c r="B1657" s="236"/>
      <c r="C1657" s="221"/>
      <c r="D1657" s="218" t="s">
        <v>10023</v>
      </c>
      <c r="E1657" s="221"/>
      <c r="F1657" s="223"/>
      <c r="G1657" s="221"/>
    </row>
    <row r="1658" spans="2:7" ht="30" customHeight="1" thickBot="1" x14ac:dyDescent="0.3">
      <c r="B1658" s="236" t="s">
        <v>4588</v>
      </c>
      <c r="C1658" s="221" t="s">
        <v>4556</v>
      </c>
      <c r="D1658" s="223" t="s">
        <v>4589</v>
      </c>
      <c r="E1658" s="221" t="s">
        <v>7653</v>
      </c>
      <c r="F1658" s="223" t="s">
        <v>4558</v>
      </c>
      <c r="G1658" s="221" t="s">
        <v>322</v>
      </c>
    </row>
    <row r="1659" spans="2:7" ht="30" customHeight="1" thickBot="1" x14ac:dyDescent="0.3">
      <c r="B1659" s="236"/>
      <c r="C1659" s="221"/>
      <c r="D1659" s="223"/>
      <c r="E1659" s="221"/>
      <c r="F1659" s="223" t="s">
        <v>4590</v>
      </c>
      <c r="G1659" s="221"/>
    </row>
    <row r="1660" spans="2:7" ht="30" customHeight="1" thickBot="1" x14ac:dyDescent="0.3">
      <c r="B1660" s="236"/>
      <c r="C1660" s="221"/>
      <c r="D1660" s="218" t="s">
        <v>10022</v>
      </c>
      <c r="E1660" s="221"/>
      <c r="F1660" s="223"/>
      <c r="G1660" s="221"/>
    </row>
    <row r="1661" spans="2:7" ht="30" customHeight="1" thickBot="1" x14ac:dyDescent="0.3">
      <c r="B1661" s="236" t="s">
        <v>4591</v>
      </c>
      <c r="C1661" s="221" t="s">
        <v>4556</v>
      </c>
      <c r="D1661" s="223" t="s">
        <v>4592</v>
      </c>
      <c r="E1661" s="221" t="s">
        <v>8760</v>
      </c>
      <c r="F1661" s="223" t="s">
        <v>4558</v>
      </c>
      <c r="G1661" s="221" t="s">
        <v>322</v>
      </c>
    </row>
    <row r="1662" spans="2:7" ht="30" customHeight="1" thickBot="1" x14ac:dyDescent="0.3">
      <c r="B1662" s="236"/>
      <c r="C1662" s="221"/>
      <c r="D1662" s="223"/>
      <c r="E1662" s="221"/>
      <c r="F1662" s="223" t="s">
        <v>4593</v>
      </c>
      <c r="G1662" s="221"/>
    </row>
    <row r="1663" spans="2:7" ht="30" customHeight="1" thickBot="1" x14ac:dyDescent="0.3">
      <c r="B1663" s="236"/>
      <c r="C1663" s="221"/>
      <c r="D1663" s="218" t="s">
        <v>10024</v>
      </c>
      <c r="E1663" s="221"/>
      <c r="F1663" s="223"/>
      <c r="G1663" s="221"/>
    </row>
    <row r="1664" spans="2:7" ht="30" customHeight="1" thickBot="1" x14ac:dyDescent="0.3">
      <c r="B1664" s="236" t="s">
        <v>4594</v>
      </c>
      <c r="C1664" s="221" t="s">
        <v>4556</v>
      </c>
      <c r="D1664" s="223" t="s">
        <v>4595</v>
      </c>
      <c r="E1664" s="221" t="s">
        <v>8761</v>
      </c>
      <c r="F1664" s="223" t="s">
        <v>4558</v>
      </c>
      <c r="G1664" s="221" t="s">
        <v>322</v>
      </c>
    </row>
    <row r="1665" spans="2:7" ht="30" customHeight="1" thickBot="1" x14ac:dyDescent="0.3">
      <c r="B1665" s="236"/>
      <c r="C1665" s="221"/>
      <c r="D1665" s="223"/>
      <c r="E1665" s="221"/>
      <c r="F1665" s="223" t="s">
        <v>4596</v>
      </c>
      <c r="G1665" s="221"/>
    </row>
    <row r="1666" spans="2:7" ht="30" customHeight="1" thickBot="1" x14ac:dyDescent="0.3">
      <c r="B1666" s="236"/>
      <c r="C1666" s="221"/>
      <c r="D1666" s="218" t="s">
        <v>10025</v>
      </c>
      <c r="E1666" s="221"/>
      <c r="F1666" s="223"/>
      <c r="G1666" s="221"/>
    </row>
    <row r="1667" spans="2:7" ht="30" customHeight="1" thickBot="1" x14ac:dyDescent="0.3">
      <c r="B1667" s="236" t="s">
        <v>4597</v>
      </c>
      <c r="C1667" s="221" t="s">
        <v>4556</v>
      </c>
      <c r="D1667" s="223" t="s">
        <v>4598</v>
      </c>
      <c r="E1667" s="221" t="s">
        <v>8761</v>
      </c>
      <c r="F1667" s="223" t="s">
        <v>4558</v>
      </c>
      <c r="G1667" s="221" t="s">
        <v>322</v>
      </c>
    </row>
    <row r="1668" spans="2:7" ht="30" customHeight="1" thickBot="1" x14ac:dyDescent="0.3">
      <c r="B1668" s="236"/>
      <c r="C1668" s="221"/>
      <c r="D1668" s="223"/>
      <c r="E1668" s="221"/>
      <c r="F1668" s="223" t="s">
        <v>4599</v>
      </c>
      <c r="G1668" s="221"/>
    </row>
    <row r="1669" spans="2:7" ht="30" customHeight="1" thickBot="1" x14ac:dyDescent="0.3">
      <c r="B1669" s="236"/>
      <c r="C1669" s="221"/>
      <c r="D1669" s="218" t="s">
        <v>10025</v>
      </c>
      <c r="E1669" s="221"/>
      <c r="F1669" s="223"/>
      <c r="G1669" s="221"/>
    </row>
    <row r="1670" spans="2:7" ht="30" customHeight="1" thickBot="1" x14ac:dyDescent="0.3">
      <c r="B1670" s="236" t="s">
        <v>4600</v>
      </c>
      <c r="C1670" s="221" t="s">
        <v>4556</v>
      </c>
      <c r="D1670" s="223" t="s">
        <v>4601</v>
      </c>
      <c r="E1670" s="221" t="s">
        <v>7655</v>
      </c>
      <c r="F1670" s="223" t="s">
        <v>4558</v>
      </c>
      <c r="G1670" s="221" t="s">
        <v>322</v>
      </c>
    </row>
    <row r="1671" spans="2:7" ht="30" customHeight="1" thickBot="1" x14ac:dyDescent="0.3">
      <c r="B1671" s="236"/>
      <c r="C1671" s="221"/>
      <c r="D1671" s="223"/>
      <c r="E1671" s="221"/>
      <c r="F1671" s="223" t="s">
        <v>4602</v>
      </c>
      <c r="G1671" s="221"/>
    </row>
    <row r="1672" spans="2:7" ht="30" customHeight="1" thickBot="1" x14ac:dyDescent="0.3">
      <c r="B1672" s="236"/>
      <c r="C1672" s="221"/>
      <c r="D1672" s="218" t="s">
        <v>10026</v>
      </c>
      <c r="E1672" s="221"/>
      <c r="F1672" s="223"/>
      <c r="G1672" s="221"/>
    </row>
    <row r="1673" spans="2:7" ht="30" customHeight="1" thickBot="1" x14ac:dyDescent="0.3">
      <c r="B1673" s="236" t="s">
        <v>4603</v>
      </c>
      <c r="C1673" s="221" t="s">
        <v>4556</v>
      </c>
      <c r="D1673" s="223" t="s">
        <v>4604</v>
      </c>
      <c r="E1673" s="221" t="s">
        <v>8762</v>
      </c>
      <c r="F1673" s="223" t="s">
        <v>4558</v>
      </c>
      <c r="G1673" s="221" t="s">
        <v>322</v>
      </c>
    </row>
    <row r="1674" spans="2:7" ht="30" customHeight="1" thickBot="1" x14ac:dyDescent="0.3">
      <c r="B1674" s="236"/>
      <c r="C1674" s="221"/>
      <c r="D1674" s="223"/>
      <c r="E1674" s="221"/>
      <c r="F1674" s="223" t="s">
        <v>4605</v>
      </c>
      <c r="G1674" s="221"/>
    </row>
    <row r="1675" spans="2:7" ht="30" customHeight="1" thickBot="1" x14ac:dyDescent="0.3">
      <c r="B1675" s="236"/>
      <c r="C1675" s="221"/>
      <c r="D1675" s="218" t="s">
        <v>10027</v>
      </c>
      <c r="E1675" s="221"/>
      <c r="F1675" s="223"/>
      <c r="G1675" s="221"/>
    </row>
    <row r="1676" spans="2:7" ht="30" customHeight="1" thickBot="1" x14ac:dyDescent="0.3">
      <c r="B1676" s="236" t="s">
        <v>4606</v>
      </c>
      <c r="C1676" s="221" t="s">
        <v>4556</v>
      </c>
      <c r="D1676" s="223" t="s">
        <v>4607</v>
      </c>
      <c r="E1676" s="221" t="s">
        <v>7656</v>
      </c>
      <c r="F1676" s="223" t="s">
        <v>4558</v>
      </c>
      <c r="G1676" s="221" t="s">
        <v>322</v>
      </c>
    </row>
    <row r="1677" spans="2:7" ht="30" customHeight="1" thickBot="1" x14ac:dyDescent="0.3">
      <c r="B1677" s="236"/>
      <c r="C1677" s="221"/>
      <c r="D1677" s="223"/>
      <c r="E1677" s="221"/>
      <c r="F1677" s="223" t="s">
        <v>4608</v>
      </c>
      <c r="G1677" s="221"/>
    </row>
    <row r="1678" spans="2:7" ht="30" customHeight="1" thickBot="1" x14ac:dyDescent="0.3">
      <c r="B1678" s="236"/>
      <c r="C1678" s="221"/>
      <c r="D1678" s="218" t="s">
        <v>10028</v>
      </c>
      <c r="E1678" s="221"/>
      <c r="F1678" s="223"/>
      <c r="G1678" s="221"/>
    </row>
    <row r="1679" spans="2:7" ht="30" customHeight="1" thickBot="1" x14ac:dyDescent="0.3">
      <c r="B1679" s="236" t="s">
        <v>4609</v>
      </c>
      <c r="C1679" s="221" t="s">
        <v>4556</v>
      </c>
      <c r="D1679" s="223" t="s">
        <v>4610</v>
      </c>
      <c r="E1679" s="221" t="s">
        <v>7657</v>
      </c>
      <c r="F1679" s="223" t="s">
        <v>4558</v>
      </c>
      <c r="G1679" s="221" t="s">
        <v>322</v>
      </c>
    </row>
    <row r="1680" spans="2:7" ht="30" customHeight="1" thickBot="1" x14ac:dyDescent="0.3">
      <c r="B1680" s="236"/>
      <c r="C1680" s="221"/>
      <c r="D1680" s="223"/>
      <c r="E1680" s="221"/>
      <c r="F1680" s="223" t="s">
        <v>4611</v>
      </c>
      <c r="G1680" s="221"/>
    </row>
    <row r="1681" spans="2:7" ht="30" customHeight="1" thickBot="1" x14ac:dyDescent="0.3">
      <c r="B1681" s="236"/>
      <c r="C1681" s="221"/>
      <c r="D1681" s="218" t="s">
        <v>10029</v>
      </c>
      <c r="E1681" s="221"/>
      <c r="F1681" s="223"/>
      <c r="G1681" s="221"/>
    </row>
    <row r="1682" spans="2:7" ht="30" customHeight="1" thickBot="1" x14ac:dyDescent="0.3">
      <c r="B1682" s="236" t="s">
        <v>4612</v>
      </c>
      <c r="C1682" s="221" t="s">
        <v>4556</v>
      </c>
      <c r="D1682" s="223" t="s">
        <v>4613</v>
      </c>
      <c r="E1682" s="221" t="s">
        <v>7658</v>
      </c>
      <c r="F1682" s="223" t="s">
        <v>4558</v>
      </c>
      <c r="G1682" s="221" t="s">
        <v>322</v>
      </c>
    </row>
    <row r="1683" spans="2:7" ht="30" customHeight="1" thickBot="1" x14ac:dyDescent="0.3">
      <c r="B1683" s="236"/>
      <c r="C1683" s="221"/>
      <c r="D1683" s="223"/>
      <c r="E1683" s="221"/>
      <c r="F1683" s="223" t="s">
        <v>4614</v>
      </c>
      <c r="G1683" s="221"/>
    </row>
    <row r="1684" spans="2:7" ht="30" customHeight="1" thickBot="1" x14ac:dyDescent="0.3">
      <c r="B1684" s="236"/>
      <c r="C1684" s="221"/>
      <c r="D1684" s="218" t="s">
        <v>10030</v>
      </c>
      <c r="E1684" s="221"/>
      <c r="F1684" s="223"/>
      <c r="G1684" s="221"/>
    </row>
    <row r="1685" spans="2:7" ht="30" customHeight="1" thickBot="1" x14ac:dyDescent="0.3">
      <c r="B1685" s="236" t="s">
        <v>4615</v>
      </c>
      <c r="C1685" s="221" t="s">
        <v>4556</v>
      </c>
      <c r="D1685" s="223" t="s">
        <v>4616</v>
      </c>
      <c r="E1685" s="221" t="s">
        <v>7987</v>
      </c>
      <c r="F1685" s="223" t="s">
        <v>4558</v>
      </c>
      <c r="G1685" s="221" t="s">
        <v>322</v>
      </c>
    </row>
    <row r="1686" spans="2:7" ht="30" customHeight="1" thickBot="1" x14ac:dyDescent="0.3">
      <c r="B1686" s="236"/>
      <c r="C1686" s="221"/>
      <c r="D1686" s="223"/>
      <c r="E1686" s="221"/>
      <c r="F1686" s="223" t="s">
        <v>4617</v>
      </c>
      <c r="G1686" s="221"/>
    </row>
    <row r="1687" spans="2:7" ht="30" customHeight="1" thickBot="1" x14ac:dyDescent="0.3">
      <c r="B1687" s="236"/>
      <c r="C1687" s="221"/>
      <c r="D1687" s="218" t="s">
        <v>10031</v>
      </c>
      <c r="E1687" s="221"/>
      <c r="F1687" s="223"/>
      <c r="G1687" s="221"/>
    </row>
    <row r="1688" spans="2:7" ht="30" customHeight="1" thickBot="1" x14ac:dyDescent="0.3">
      <c r="B1688" s="236"/>
      <c r="C1688" s="221"/>
      <c r="D1688" s="223"/>
      <c r="E1688" s="221"/>
      <c r="F1688" s="223"/>
      <c r="G1688" s="221"/>
    </row>
    <row r="1689" spans="2:7" ht="30" customHeight="1" thickBot="1" x14ac:dyDescent="0.3">
      <c r="B1689" s="236"/>
      <c r="C1689" s="221"/>
      <c r="D1689" s="223" t="s">
        <v>4618</v>
      </c>
      <c r="E1689" s="221"/>
      <c r="F1689" s="223"/>
      <c r="G1689" s="221"/>
    </row>
    <row r="1690" spans="2:7" ht="30" customHeight="1" thickBot="1" x14ac:dyDescent="0.3">
      <c r="B1690" s="236" t="s">
        <v>4619</v>
      </c>
      <c r="C1690" s="221" t="s">
        <v>4556</v>
      </c>
      <c r="D1690" s="223" t="s">
        <v>4620</v>
      </c>
      <c r="E1690" s="221" t="s">
        <v>7988</v>
      </c>
      <c r="F1690" s="223" t="s">
        <v>4558</v>
      </c>
      <c r="G1690" s="221" t="s">
        <v>322</v>
      </c>
    </row>
    <row r="1691" spans="2:7" ht="30" customHeight="1" thickBot="1" x14ac:dyDescent="0.3">
      <c r="B1691" s="236"/>
      <c r="C1691" s="221"/>
      <c r="D1691" s="223"/>
      <c r="E1691" s="221"/>
      <c r="F1691" s="223" t="s">
        <v>4621</v>
      </c>
      <c r="G1691" s="221"/>
    </row>
    <row r="1692" spans="2:7" ht="30" customHeight="1" thickBot="1" x14ac:dyDescent="0.3">
      <c r="B1692" s="236"/>
      <c r="C1692" s="221"/>
      <c r="D1692" s="218" t="s">
        <v>10031</v>
      </c>
      <c r="E1692" s="221"/>
      <c r="F1692" s="223"/>
      <c r="G1692" s="221"/>
    </row>
    <row r="1693" spans="2:7" ht="30" customHeight="1" thickBot="1" x14ac:dyDescent="0.3">
      <c r="B1693" s="236"/>
      <c r="C1693" s="221"/>
      <c r="D1693" s="223"/>
      <c r="E1693" s="221"/>
      <c r="F1693" s="223"/>
      <c r="G1693" s="221"/>
    </row>
    <row r="1694" spans="2:7" ht="30" customHeight="1" thickBot="1" x14ac:dyDescent="0.3">
      <c r="B1694" s="236"/>
      <c r="C1694" s="221"/>
      <c r="D1694" s="223" t="s">
        <v>4622</v>
      </c>
      <c r="E1694" s="221"/>
      <c r="F1694" s="223"/>
      <c r="G1694" s="221"/>
    </row>
    <row r="1695" spans="2:7" ht="30" customHeight="1" thickBot="1" x14ac:dyDescent="0.3">
      <c r="B1695" s="236" t="s">
        <v>4623</v>
      </c>
      <c r="C1695" s="221" t="s">
        <v>4556</v>
      </c>
      <c r="D1695" s="223" t="s">
        <v>4624</v>
      </c>
      <c r="E1695" s="221" t="s">
        <v>8763</v>
      </c>
      <c r="F1695" s="223" t="s">
        <v>4558</v>
      </c>
      <c r="G1695" s="221" t="s">
        <v>322</v>
      </c>
    </row>
    <row r="1696" spans="2:7" ht="30" customHeight="1" thickBot="1" x14ac:dyDescent="0.3">
      <c r="B1696" s="236"/>
      <c r="C1696" s="221"/>
      <c r="D1696" s="223"/>
      <c r="E1696" s="221"/>
      <c r="F1696" s="223" t="s">
        <v>4625</v>
      </c>
      <c r="G1696" s="221"/>
    </row>
    <row r="1697" spans="2:7" ht="30" customHeight="1" thickBot="1" x14ac:dyDescent="0.3">
      <c r="B1697" s="236"/>
      <c r="C1697" s="221"/>
      <c r="D1697" s="218" t="s">
        <v>10032</v>
      </c>
      <c r="E1697" s="221"/>
      <c r="F1697" s="223"/>
      <c r="G1697" s="221"/>
    </row>
    <row r="1698" spans="2:7" ht="30" customHeight="1" thickBot="1" x14ac:dyDescent="0.3">
      <c r="B1698" s="236" t="s">
        <v>4626</v>
      </c>
      <c r="C1698" s="221" t="s">
        <v>4556</v>
      </c>
      <c r="D1698" s="223" t="s">
        <v>4627</v>
      </c>
      <c r="E1698" s="221" t="s">
        <v>7989</v>
      </c>
      <c r="F1698" s="223" t="s">
        <v>4558</v>
      </c>
      <c r="G1698" s="221" t="s">
        <v>322</v>
      </c>
    </row>
    <row r="1699" spans="2:7" ht="30" customHeight="1" thickBot="1" x14ac:dyDescent="0.3">
      <c r="B1699" s="236"/>
      <c r="C1699" s="221"/>
      <c r="D1699" s="223"/>
      <c r="E1699" s="221"/>
      <c r="F1699" s="223" t="s">
        <v>4628</v>
      </c>
      <c r="G1699" s="221"/>
    </row>
    <row r="1700" spans="2:7" ht="30" customHeight="1" thickBot="1" x14ac:dyDescent="0.3">
      <c r="B1700" s="236"/>
      <c r="C1700" s="221"/>
      <c r="D1700" s="218" t="s">
        <v>10033</v>
      </c>
      <c r="E1700" s="221"/>
      <c r="F1700" s="223"/>
      <c r="G1700" s="221"/>
    </row>
    <row r="1701" spans="2:7" ht="30" customHeight="1" thickBot="1" x14ac:dyDescent="0.3">
      <c r="B1701" s="236" t="s">
        <v>4629</v>
      </c>
      <c r="C1701" s="221" t="s">
        <v>4556</v>
      </c>
      <c r="D1701" s="223" t="s">
        <v>4630</v>
      </c>
      <c r="E1701" s="221" t="s">
        <v>8764</v>
      </c>
      <c r="F1701" s="223" t="s">
        <v>4558</v>
      </c>
      <c r="G1701" s="221" t="s">
        <v>322</v>
      </c>
    </row>
    <row r="1702" spans="2:7" ht="30" customHeight="1" thickBot="1" x14ac:dyDescent="0.3">
      <c r="B1702" s="236"/>
      <c r="C1702" s="221"/>
      <c r="D1702" s="223"/>
      <c r="E1702" s="221"/>
      <c r="F1702" s="223" t="s">
        <v>4631</v>
      </c>
      <c r="G1702" s="221"/>
    </row>
    <row r="1703" spans="2:7" ht="30" customHeight="1" thickBot="1" x14ac:dyDescent="0.3">
      <c r="B1703" s="236"/>
      <c r="C1703" s="221"/>
      <c r="D1703" s="218" t="s">
        <v>10034</v>
      </c>
      <c r="E1703" s="221"/>
      <c r="F1703" s="223"/>
      <c r="G1703" s="221"/>
    </row>
    <row r="1704" spans="2:7" ht="30" customHeight="1" thickBot="1" x14ac:dyDescent="0.3">
      <c r="B1704" s="236" t="s">
        <v>4632</v>
      </c>
      <c r="C1704" s="221" t="s">
        <v>4556</v>
      </c>
      <c r="D1704" s="223" t="s">
        <v>4633</v>
      </c>
      <c r="E1704" s="221" t="s">
        <v>8765</v>
      </c>
      <c r="F1704" s="223" t="s">
        <v>4558</v>
      </c>
      <c r="G1704" s="221" t="s">
        <v>322</v>
      </c>
    </row>
    <row r="1705" spans="2:7" ht="30" customHeight="1" thickBot="1" x14ac:dyDescent="0.3">
      <c r="B1705" s="236"/>
      <c r="C1705" s="221"/>
      <c r="D1705" s="223"/>
      <c r="E1705" s="221"/>
      <c r="F1705" s="223" t="s">
        <v>4634</v>
      </c>
      <c r="G1705" s="221"/>
    </row>
    <row r="1706" spans="2:7" ht="30" customHeight="1" thickBot="1" x14ac:dyDescent="0.3">
      <c r="B1706" s="236"/>
      <c r="C1706" s="221"/>
      <c r="D1706" s="218" t="s">
        <v>10035</v>
      </c>
      <c r="E1706" s="221"/>
      <c r="F1706" s="223"/>
      <c r="G1706" s="221"/>
    </row>
    <row r="1707" spans="2:7" ht="30" customHeight="1" thickBot="1" x14ac:dyDescent="0.3">
      <c r="B1707" s="236" t="s">
        <v>4635</v>
      </c>
      <c r="C1707" s="221" t="s">
        <v>4556</v>
      </c>
      <c r="D1707" s="223" t="s">
        <v>4636</v>
      </c>
      <c r="E1707" s="221" t="s">
        <v>2336</v>
      </c>
      <c r="F1707" s="223" t="s">
        <v>4558</v>
      </c>
      <c r="G1707" s="221" t="s">
        <v>2890</v>
      </c>
    </row>
    <row r="1708" spans="2:7" ht="30" customHeight="1" thickBot="1" x14ac:dyDescent="0.3">
      <c r="B1708" s="236"/>
      <c r="C1708" s="221"/>
      <c r="D1708" s="223"/>
      <c r="E1708" s="221"/>
      <c r="F1708" s="223" t="s">
        <v>4637</v>
      </c>
      <c r="G1708" s="221"/>
    </row>
    <row r="1709" spans="2:7" ht="30" customHeight="1" thickBot="1" x14ac:dyDescent="0.3">
      <c r="B1709" s="236"/>
      <c r="C1709" s="221"/>
      <c r="D1709" s="218" t="s">
        <v>10036</v>
      </c>
      <c r="E1709" s="221"/>
      <c r="F1709" s="223"/>
      <c r="G1709" s="221"/>
    </row>
    <row r="1710" spans="2:7" ht="30" customHeight="1" thickBot="1" x14ac:dyDescent="0.3">
      <c r="B1710" s="236" t="s">
        <v>4638</v>
      </c>
      <c r="C1710" s="221" t="s">
        <v>4556</v>
      </c>
      <c r="D1710" s="223" t="s">
        <v>4639</v>
      </c>
      <c r="E1710" s="221" t="s">
        <v>8766</v>
      </c>
      <c r="F1710" s="223" t="s">
        <v>4558</v>
      </c>
      <c r="G1710" s="221" t="s">
        <v>322</v>
      </c>
    </row>
    <row r="1711" spans="2:7" ht="30" customHeight="1" thickBot="1" x14ac:dyDescent="0.3">
      <c r="B1711" s="236"/>
      <c r="C1711" s="221"/>
      <c r="D1711" s="223"/>
      <c r="E1711" s="221"/>
      <c r="F1711" s="223" t="s">
        <v>4637</v>
      </c>
      <c r="G1711" s="221"/>
    </row>
    <row r="1712" spans="2:7" ht="30" customHeight="1" thickBot="1" x14ac:dyDescent="0.3">
      <c r="B1712" s="236"/>
      <c r="C1712" s="221"/>
      <c r="D1712" s="218" t="s">
        <v>10037</v>
      </c>
      <c r="E1712" s="221"/>
      <c r="F1712" s="223"/>
      <c r="G1712" s="221"/>
    </row>
    <row r="1713" spans="2:7" ht="30" customHeight="1" thickBot="1" x14ac:dyDescent="0.3">
      <c r="B1713" s="236"/>
      <c r="C1713" s="221"/>
      <c r="D1713" s="223"/>
      <c r="E1713" s="221"/>
      <c r="F1713" s="223"/>
      <c r="G1713" s="221"/>
    </row>
    <row r="1714" spans="2:7" ht="30" customHeight="1" thickBot="1" x14ac:dyDescent="0.3">
      <c r="B1714" s="236"/>
      <c r="C1714" s="221"/>
      <c r="D1714" s="223" t="s">
        <v>4640</v>
      </c>
      <c r="E1714" s="221"/>
      <c r="F1714" s="223"/>
      <c r="G1714" s="221"/>
    </row>
    <row r="1715" spans="2:7" ht="30" customHeight="1" thickBot="1" x14ac:dyDescent="0.3">
      <c r="B1715" s="236" t="s">
        <v>4641</v>
      </c>
      <c r="C1715" s="221" t="s">
        <v>4556</v>
      </c>
      <c r="D1715" s="223" t="s">
        <v>4642</v>
      </c>
      <c r="E1715" s="221" t="s">
        <v>8767</v>
      </c>
      <c r="F1715" s="223" t="s">
        <v>4558</v>
      </c>
      <c r="G1715" s="221" t="s">
        <v>322</v>
      </c>
    </row>
    <row r="1716" spans="2:7" ht="30" customHeight="1" thickBot="1" x14ac:dyDescent="0.3">
      <c r="B1716" s="236"/>
      <c r="C1716" s="221"/>
      <c r="D1716" s="223"/>
      <c r="E1716" s="221"/>
      <c r="F1716" s="223" t="s">
        <v>4643</v>
      </c>
      <c r="G1716" s="221"/>
    </row>
    <row r="1717" spans="2:7" ht="30" customHeight="1" thickBot="1" x14ac:dyDescent="0.3">
      <c r="B1717" s="236"/>
      <c r="C1717" s="221"/>
      <c r="D1717" s="218" t="s">
        <v>10038</v>
      </c>
      <c r="E1717" s="221"/>
      <c r="F1717" s="223"/>
      <c r="G1717" s="221"/>
    </row>
    <row r="1718" spans="2:7" ht="30" customHeight="1" thickBot="1" x14ac:dyDescent="0.3">
      <c r="B1718" s="236" t="s">
        <v>4644</v>
      </c>
      <c r="C1718" s="221" t="s">
        <v>4556</v>
      </c>
      <c r="D1718" s="223" t="s">
        <v>4645</v>
      </c>
      <c r="E1718" s="221" t="s">
        <v>7659</v>
      </c>
      <c r="F1718" s="223" t="s">
        <v>4558</v>
      </c>
      <c r="G1718" s="221" t="s">
        <v>322</v>
      </c>
    </row>
    <row r="1719" spans="2:7" ht="30" customHeight="1" thickBot="1" x14ac:dyDescent="0.3">
      <c r="B1719" s="236"/>
      <c r="C1719" s="221"/>
      <c r="D1719" s="223"/>
      <c r="E1719" s="221"/>
      <c r="F1719" s="223" t="s">
        <v>4646</v>
      </c>
      <c r="G1719" s="221"/>
    </row>
    <row r="1720" spans="2:7" ht="30" customHeight="1" thickBot="1" x14ac:dyDescent="0.3">
      <c r="B1720" s="236"/>
      <c r="C1720" s="221"/>
      <c r="D1720" s="218" t="s">
        <v>10039</v>
      </c>
      <c r="E1720" s="221"/>
      <c r="F1720" s="223"/>
      <c r="G1720" s="221"/>
    </row>
    <row r="1721" spans="2:7" ht="30" customHeight="1" thickBot="1" x14ac:dyDescent="0.3">
      <c r="B1721" s="236" t="s">
        <v>4647</v>
      </c>
      <c r="C1721" s="221" t="s">
        <v>4556</v>
      </c>
      <c r="D1721" s="223" t="s">
        <v>4648</v>
      </c>
      <c r="E1721" s="221" t="s">
        <v>8768</v>
      </c>
      <c r="F1721" s="223" t="s">
        <v>4558</v>
      </c>
      <c r="G1721" s="221" t="s">
        <v>322</v>
      </c>
    </row>
    <row r="1722" spans="2:7" ht="30" customHeight="1" thickBot="1" x14ac:dyDescent="0.3">
      <c r="B1722" s="236"/>
      <c r="C1722" s="221"/>
      <c r="D1722" s="223"/>
      <c r="E1722" s="221"/>
      <c r="F1722" s="223" t="s">
        <v>4649</v>
      </c>
      <c r="G1722" s="221"/>
    </row>
    <row r="1723" spans="2:7" ht="30" customHeight="1" thickBot="1" x14ac:dyDescent="0.3">
      <c r="B1723" s="236"/>
      <c r="C1723" s="221"/>
      <c r="D1723" s="218" t="s">
        <v>10040</v>
      </c>
      <c r="E1723" s="221"/>
      <c r="F1723" s="223"/>
      <c r="G1723" s="221"/>
    </row>
    <row r="1724" spans="2:7" ht="30" customHeight="1" thickBot="1" x14ac:dyDescent="0.3">
      <c r="B1724" s="236" t="s">
        <v>4650</v>
      </c>
      <c r="C1724" s="221" t="s">
        <v>4556</v>
      </c>
      <c r="D1724" s="223" t="s">
        <v>4651</v>
      </c>
      <c r="E1724" s="221" t="s">
        <v>8769</v>
      </c>
      <c r="F1724" s="223" t="s">
        <v>4558</v>
      </c>
      <c r="G1724" s="221" t="s">
        <v>322</v>
      </c>
    </row>
    <row r="1725" spans="2:7" ht="30" customHeight="1" thickBot="1" x14ac:dyDescent="0.3">
      <c r="B1725" s="236"/>
      <c r="C1725" s="221"/>
      <c r="D1725" s="223"/>
      <c r="E1725" s="221"/>
      <c r="F1725" s="223" t="s">
        <v>4652</v>
      </c>
      <c r="G1725" s="221"/>
    </row>
    <row r="1726" spans="2:7" ht="30" customHeight="1" thickBot="1" x14ac:dyDescent="0.3">
      <c r="B1726" s="236"/>
      <c r="C1726" s="221"/>
      <c r="D1726" s="218" t="s">
        <v>10041</v>
      </c>
      <c r="E1726" s="221"/>
      <c r="F1726" s="223"/>
      <c r="G1726" s="221"/>
    </row>
    <row r="1727" spans="2:7" ht="30" customHeight="1" thickBot="1" x14ac:dyDescent="0.3">
      <c r="B1727" s="236" t="s">
        <v>4653</v>
      </c>
      <c r="C1727" s="221" t="s">
        <v>4556</v>
      </c>
      <c r="D1727" s="223" t="s">
        <v>4654</v>
      </c>
      <c r="E1727" s="221" t="s">
        <v>8770</v>
      </c>
      <c r="F1727" s="223" t="s">
        <v>4558</v>
      </c>
      <c r="G1727" s="221" t="s">
        <v>322</v>
      </c>
    </row>
    <row r="1728" spans="2:7" ht="30" customHeight="1" thickBot="1" x14ac:dyDescent="0.3">
      <c r="B1728" s="236"/>
      <c r="C1728" s="221"/>
      <c r="D1728" s="223"/>
      <c r="E1728" s="221"/>
      <c r="F1728" s="223" t="s">
        <v>4655</v>
      </c>
      <c r="G1728" s="221"/>
    </row>
    <row r="1729" spans="2:7" ht="30" customHeight="1" thickBot="1" x14ac:dyDescent="0.3">
      <c r="B1729" s="236"/>
      <c r="C1729" s="221"/>
      <c r="D1729" s="218" t="s">
        <v>10042</v>
      </c>
      <c r="E1729" s="221"/>
      <c r="F1729" s="223"/>
      <c r="G1729" s="221"/>
    </row>
    <row r="1730" spans="2:7" ht="30" customHeight="1" thickBot="1" x14ac:dyDescent="0.3">
      <c r="B1730" s="236" t="s">
        <v>4656</v>
      </c>
      <c r="C1730" s="221" t="s">
        <v>4556</v>
      </c>
      <c r="D1730" s="223" t="s">
        <v>4657</v>
      </c>
      <c r="E1730" s="221" t="s">
        <v>8771</v>
      </c>
      <c r="F1730" s="223" t="s">
        <v>4558</v>
      </c>
      <c r="G1730" s="221" t="s">
        <v>322</v>
      </c>
    </row>
    <row r="1731" spans="2:7" ht="30" customHeight="1" thickBot="1" x14ac:dyDescent="0.3">
      <c r="B1731" s="236"/>
      <c r="C1731" s="221"/>
      <c r="D1731" s="223"/>
      <c r="E1731" s="221"/>
      <c r="F1731" s="223" t="s">
        <v>4658</v>
      </c>
      <c r="G1731" s="221"/>
    </row>
    <row r="1732" spans="2:7" ht="30" customHeight="1" thickBot="1" x14ac:dyDescent="0.3">
      <c r="B1732" s="236"/>
      <c r="C1732" s="221"/>
      <c r="D1732" s="218" t="s">
        <v>10042</v>
      </c>
      <c r="E1732" s="221"/>
      <c r="F1732" s="223"/>
      <c r="G1732" s="221"/>
    </row>
    <row r="1733" spans="2:7" ht="30" customHeight="1" thickBot="1" x14ac:dyDescent="0.3">
      <c r="B1733" s="236" t="s">
        <v>4659</v>
      </c>
      <c r="C1733" s="221" t="s">
        <v>4556</v>
      </c>
      <c r="D1733" s="223" t="s">
        <v>4660</v>
      </c>
      <c r="E1733" s="221" t="s">
        <v>8363</v>
      </c>
      <c r="F1733" s="223" t="s">
        <v>4558</v>
      </c>
      <c r="G1733" s="221" t="s">
        <v>565</v>
      </c>
    </row>
    <row r="1734" spans="2:7" ht="30" customHeight="1" thickBot="1" x14ac:dyDescent="0.3">
      <c r="B1734" s="236"/>
      <c r="C1734" s="221"/>
      <c r="D1734" s="223"/>
      <c r="E1734" s="221"/>
      <c r="F1734" s="223" t="s">
        <v>4661</v>
      </c>
      <c r="G1734" s="221"/>
    </row>
    <row r="1735" spans="2:7" ht="30" customHeight="1" thickBot="1" x14ac:dyDescent="0.3">
      <c r="B1735" s="236"/>
      <c r="C1735" s="221"/>
      <c r="D1735" s="218" t="s">
        <v>10043</v>
      </c>
      <c r="E1735" s="221"/>
      <c r="F1735" s="223"/>
      <c r="G1735" s="221"/>
    </row>
    <row r="1736" spans="2:7" ht="30" customHeight="1" thickBot="1" x14ac:dyDescent="0.3">
      <c r="B1736" s="236" t="s">
        <v>4662</v>
      </c>
      <c r="C1736" s="221" t="s">
        <v>4556</v>
      </c>
      <c r="D1736" s="223" t="s">
        <v>4663</v>
      </c>
      <c r="E1736" s="221" t="s">
        <v>8772</v>
      </c>
      <c r="F1736" s="223" t="s">
        <v>4558</v>
      </c>
      <c r="G1736" s="221" t="s">
        <v>322</v>
      </c>
    </row>
    <row r="1737" spans="2:7" ht="30" customHeight="1" thickBot="1" x14ac:dyDescent="0.3">
      <c r="B1737" s="236"/>
      <c r="C1737" s="221"/>
      <c r="D1737" s="223"/>
      <c r="E1737" s="221"/>
      <c r="F1737" s="223" t="s">
        <v>4664</v>
      </c>
      <c r="G1737" s="221"/>
    </row>
    <row r="1738" spans="2:7" ht="30" customHeight="1" thickBot="1" x14ac:dyDescent="0.3">
      <c r="B1738" s="236"/>
      <c r="C1738" s="221"/>
      <c r="D1738" s="218" t="s">
        <v>10044</v>
      </c>
      <c r="E1738" s="221"/>
      <c r="F1738" s="223"/>
      <c r="G1738" s="221"/>
    </row>
    <row r="1739" spans="2:7" ht="30" customHeight="1" thickBot="1" x14ac:dyDescent="0.3">
      <c r="B1739" s="236"/>
      <c r="C1739" s="221"/>
      <c r="D1739" s="223"/>
      <c r="E1739" s="221"/>
      <c r="F1739" s="223"/>
      <c r="G1739" s="221"/>
    </row>
    <row r="1740" spans="2:7" ht="30" customHeight="1" thickBot="1" x14ac:dyDescent="0.3">
      <c r="B1740" s="236"/>
      <c r="C1740" s="221"/>
      <c r="D1740" s="223" t="s">
        <v>4665</v>
      </c>
      <c r="E1740" s="221"/>
      <c r="F1740" s="223"/>
      <c r="G1740" s="221"/>
    </row>
    <row r="1741" spans="2:7" ht="30" customHeight="1" thickBot="1" x14ac:dyDescent="0.3">
      <c r="B1741" s="236" t="s">
        <v>4666</v>
      </c>
      <c r="C1741" s="221" t="s">
        <v>4556</v>
      </c>
      <c r="D1741" s="223" t="s">
        <v>4667</v>
      </c>
      <c r="E1741" s="221" t="s">
        <v>8773</v>
      </c>
      <c r="F1741" s="223" t="s">
        <v>4558</v>
      </c>
      <c r="G1741" s="221" t="s">
        <v>322</v>
      </c>
    </row>
    <row r="1742" spans="2:7" ht="30" customHeight="1" thickBot="1" x14ac:dyDescent="0.3">
      <c r="B1742" s="236"/>
      <c r="C1742" s="221"/>
      <c r="D1742" s="223"/>
      <c r="E1742" s="221"/>
      <c r="F1742" s="223" t="s">
        <v>4668</v>
      </c>
      <c r="G1742" s="221"/>
    </row>
    <row r="1743" spans="2:7" ht="30" customHeight="1" thickBot="1" x14ac:dyDescent="0.3">
      <c r="B1743" s="236"/>
      <c r="C1743" s="221"/>
      <c r="D1743" s="218" t="s">
        <v>10045</v>
      </c>
      <c r="E1743" s="221"/>
      <c r="F1743" s="223"/>
      <c r="G1743" s="221"/>
    </row>
    <row r="1744" spans="2:7" ht="30" customHeight="1" thickBot="1" x14ac:dyDescent="0.3">
      <c r="B1744" s="236" t="s">
        <v>4669</v>
      </c>
      <c r="C1744" s="221" t="s">
        <v>4556</v>
      </c>
      <c r="D1744" s="223" t="s">
        <v>4670</v>
      </c>
      <c r="E1744" s="221" t="s">
        <v>8346</v>
      </c>
      <c r="F1744" s="223" t="s">
        <v>4558</v>
      </c>
      <c r="G1744" s="221" t="s">
        <v>8095</v>
      </c>
    </row>
    <row r="1745" spans="2:7" ht="30" customHeight="1" thickBot="1" x14ac:dyDescent="0.3">
      <c r="B1745" s="236"/>
      <c r="C1745" s="221"/>
      <c r="D1745" s="223"/>
      <c r="E1745" s="221"/>
      <c r="F1745" s="223" t="s">
        <v>4671</v>
      </c>
      <c r="G1745" s="221"/>
    </row>
    <row r="1746" spans="2:7" ht="30" customHeight="1" thickBot="1" x14ac:dyDescent="0.3">
      <c r="B1746" s="236"/>
      <c r="C1746" s="221"/>
      <c r="D1746" s="218" t="s">
        <v>10046</v>
      </c>
      <c r="E1746" s="221"/>
      <c r="F1746" s="223"/>
      <c r="G1746" s="221"/>
    </row>
    <row r="1747" spans="2:7" ht="30" customHeight="1" thickBot="1" x14ac:dyDescent="0.3">
      <c r="B1747" s="236" t="s">
        <v>4672</v>
      </c>
      <c r="C1747" s="221" t="s">
        <v>4556</v>
      </c>
      <c r="D1747" s="223" t="s">
        <v>4673</v>
      </c>
      <c r="E1747" s="221" t="s">
        <v>7334</v>
      </c>
      <c r="F1747" s="223" t="s">
        <v>4558</v>
      </c>
      <c r="G1747" s="221" t="s">
        <v>322</v>
      </c>
    </row>
    <row r="1748" spans="2:7" ht="30" customHeight="1" thickBot="1" x14ac:dyDescent="0.3">
      <c r="B1748" s="236"/>
      <c r="C1748" s="221"/>
      <c r="D1748" s="223"/>
      <c r="E1748" s="221"/>
      <c r="F1748" s="223" t="s">
        <v>4671</v>
      </c>
      <c r="G1748" s="221"/>
    </row>
    <row r="1749" spans="2:7" ht="30" customHeight="1" thickBot="1" x14ac:dyDescent="0.3">
      <c r="B1749" s="236"/>
      <c r="C1749" s="221"/>
      <c r="D1749" s="218" t="s">
        <v>10047</v>
      </c>
      <c r="E1749" s="221"/>
      <c r="F1749" s="223"/>
      <c r="G1749" s="221"/>
    </row>
    <row r="1750" spans="2:7" ht="30" customHeight="1" thickBot="1" x14ac:dyDescent="0.3">
      <c r="B1750" s="236" t="s">
        <v>4674</v>
      </c>
      <c r="C1750" s="221" t="s">
        <v>4556</v>
      </c>
      <c r="D1750" s="223" t="s">
        <v>10048</v>
      </c>
      <c r="E1750" s="221" t="s">
        <v>8774</v>
      </c>
      <c r="F1750" s="223" t="s">
        <v>4558</v>
      </c>
      <c r="G1750" s="221" t="s">
        <v>322</v>
      </c>
    </row>
    <row r="1751" spans="2:7" ht="30" customHeight="1" thickBot="1" x14ac:dyDescent="0.3">
      <c r="B1751" s="236"/>
      <c r="C1751" s="221"/>
      <c r="D1751" s="223"/>
      <c r="E1751" s="221"/>
      <c r="F1751" s="223" t="s">
        <v>4675</v>
      </c>
      <c r="G1751" s="221"/>
    </row>
    <row r="1752" spans="2:7" ht="30" customHeight="1" thickBot="1" x14ac:dyDescent="0.3">
      <c r="B1752" s="236"/>
      <c r="C1752" s="221"/>
      <c r="D1752" s="218" t="s">
        <v>10049</v>
      </c>
      <c r="E1752" s="221"/>
      <c r="F1752" s="223"/>
      <c r="G1752" s="221"/>
    </row>
    <row r="1753" spans="2:7" ht="30" customHeight="1" thickBot="1" x14ac:dyDescent="0.3">
      <c r="B1753" s="236" t="s">
        <v>4676</v>
      </c>
      <c r="C1753" s="221" t="s">
        <v>4556</v>
      </c>
      <c r="D1753" s="223" t="s">
        <v>4677</v>
      </c>
      <c r="E1753" s="221" t="s">
        <v>8775</v>
      </c>
      <c r="F1753" s="223" t="s">
        <v>4558</v>
      </c>
      <c r="G1753" s="221" t="s">
        <v>322</v>
      </c>
    </row>
    <row r="1754" spans="2:7" ht="30" customHeight="1" thickBot="1" x14ac:dyDescent="0.3">
      <c r="B1754" s="236"/>
      <c r="C1754" s="221"/>
      <c r="D1754" s="223"/>
      <c r="E1754" s="221"/>
      <c r="F1754" s="223" t="s">
        <v>4678</v>
      </c>
      <c r="G1754" s="221"/>
    </row>
    <row r="1755" spans="2:7" ht="30" customHeight="1" thickBot="1" x14ac:dyDescent="0.3">
      <c r="B1755" s="236"/>
      <c r="C1755" s="221"/>
      <c r="D1755" s="218" t="s">
        <v>10050</v>
      </c>
      <c r="E1755" s="221"/>
      <c r="F1755" s="223"/>
      <c r="G1755" s="221"/>
    </row>
    <row r="1756" spans="2:7" ht="30" customHeight="1" thickBot="1" x14ac:dyDescent="0.3">
      <c r="B1756" s="236" t="s">
        <v>4679</v>
      </c>
      <c r="C1756" s="221" t="s">
        <v>4556</v>
      </c>
      <c r="D1756" s="223" t="s">
        <v>4680</v>
      </c>
      <c r="E1756" s="221" t="s">
        <v>8776</v>
      </c>
      <c r="F1756" s="223" t="s">
        <v>4558</v>
      </c>
      <c r="G1756" s="221" t="s">
        <v>322</v>
      </c>
    </row>
    <row r="1757" spans="2:7" ht="30" customHeight="1" thickBot="1" x14ac:dyDescent="0.3">
      <c r="B1757" s="236"/>
      <c r="C1757" s="221"/>
      <c r="D1757" s="223"/>
      <c r="E1757" s="221"/>
      <c r="F1757" s="223" t="s">
        <v>4681</v>
      </c>
      <c r="G1757" s="221"/>
    </row>
    <row r="1758" spans="2:7" ht="30" customHeight="1" thickBot="1" x14ac:dyDescent="0.3">
      <c r="B1758" s="236"/>
      <c r="C1758" s="221"/>
      <c r="D1758" s="218" t="s">
        <v>10051</v>
      </c>
      <c r="E1758" s="221"/>
      <c r="F1758" s="223"/>
      <c r="G1758" s="221"/>
    </row>
    <row r="1759" spans="2:7" ht="30" customHeight="1" thickBot="1" x14ac:dyDescent="0.3">
      <c r="B1759" s="236" t="s">
        <v>4682</v>
      </c>
      <c r="C1759" s="221" t="s">
        <v>4556</v>
      </c>
      <c r="D1759" s="223" t="s">
        <v>4683</v>
      </c>
      <c r="E1759" s="221" t="s">
        <v>8777</v>
      </c>
      <c r="F1759" s="223" t="s">
        <v>4558</v>
      </c>
      <c r="G1759" s="221" t="s">
        <v>322</v>
      </c>
    </row>
    <row r="1760" spans="2:7" ht="30" customHeight="1" thickBot="1" x14ac:dyDescent="0.3">
      <c r="B1760" s="236"/>
      <c r="C1760" s="221"/>
      <c r="D1760" s="223"/>
      <c r="E1760" s="221"/>
      <c r="F1760" s="223" t="s">
        <v>4684</v>
      </c>
      <c r="G1760" s="221"/>
    </row>
    <row r="1761" spans="2:7" ht="30" customHeight="1" thickBot="1" x14ac:dyDescent="0.3">
      <c r="B1761" s="236"/>
      <c r="C1761" s="221"/>
      <c r="D1761" s="218" t="s">
        <v>10052</v>
      </c>
      <c r="E1761" s="221"/>
      <c r="F1761" s="223"/>
      <c r="G1761" s="221"/>
    </row>
    <row r="1762" spans="2:7" ht="30" customHeight="1" thickBot="1" x14ac:dyDescent="0.3">
      <c r="B1762" s="236" t="s">
        <v>4685</v>
      </c>
      <c r="C1762" s="221" t="s">
        <v>4556</v>
      </c>
      <c r="D1762" s="223" t="s">
        <v>4686</v>
      </c>
      <c r="E1762" s="221" t="s">
        <v>8776</v>
      </c>
      <c r="F1762" s="223" t="s">
        <v>4558</v>
      </c>
      <c r="G1762" s="221" t="s">
        <v>322</v>
      </c>
    </row>
    <row r="1763" spans="2:7" ht="30" customHeight="1" thickBot="1" x14ac:dyDescent="0.3">
      <c r="B1763" s="236"/>
      <c r="C1763" s="221"/>
      <c r="D1763" s="223"/>
      <c r="E1763" s="221"/>
      <c r="F1763" s="223" t="s">
        <v>4687</v>
      </c>
      <c r="G1763" s="221"/>
    </row>
    <row r="1764" spans="2:7" ht="30" customHeight="1" thickBot="1" x14ac:dyDescent="0.3">
      <c r="B1764" s="236"/>
      <c r="C1764" s="221"/>
      <c r="D1764" s="218" t="s">
        <v>10053</v>
      </c>
      <c r="E1764" s="221"/>
      <c r="F1764" s="223"/>
      <c r="G1764" s="221"/>
    </row>
    <row r="1765" spans="2:7" ht="30" customHeight="1" thickBot="1" x14ac:dyDescent="0.3">
      <c r="B1765" s="236" t="s">
        <v>4688</v>
      </c>
      <c r="C1765" s="221" t="s">
        <v>4556</v>
      </c>
      <c r="D1765" s="223" t="s">
        <v>4689</v>
      </c>
      <c r="E1765" s="221" t="s">
        <v>7990</v>
      </c>
      <c r="F1765" s="223" t="s">
        <v>4558</v>
      </c>
      <c r="G1765" s="221" t="s">
        <v>322</v>
      </c>
    </row>
    <row r="1766" spans="2:7" ht="30" customHeight="1" thickBot="1" x14ac:dyDescent="0.3">
      <c r="B1766" s="236"/>
      <c r="C1766" s="221"/>
      <c r="D1766" s="223"/>
      <c r="E1766" s="221"/>
      <c r="F1766" s="223" t="s">
        <v>4690</v>
      </c>
      <c r="G1766" s="221"/>
    </row>
    <row r="1767" spans="2:7" ht="30" customHeight="1" thickBot="1" x14ac:dyDescent="0.3">
      <c r="B1767" s="236"/>
      <c r="C1767" s="221"/>
      <c r="D1767" s="218" t="s">
        <v>10054</v>
      </c>
      <c r="E1767" s="221"/>
      <c r="F1767" s="223"/>
      <c r="G1767" s="221"/>
    </row>
    <row r="1768" spans="2:7" ht="30" customHeight="1" thickBot="1" x14ac:dyDescent="0.3">
      <c r="B1768" s="236" t="s">
        <v>4691</v>
      </c>
      <c r="C1768" s="221" t="s">
        <v>4556</v>
      </c>
      <c r="D1768" s="223" t="s">
        <v>4692</v>
      </c>
      <c r="E1768" s="221" t="s">
        <v>7991</v>
      </c>
      <c r="F1768" s="223" t="s">
        <v>4558</v>
      </c>
      <c r="G1768" s="221" t="s">
        <v>322</v>
      </c>
    </row>
    <row r="1769" spans="2:7" ht="30" customHeight="1" thickBot="1" x14ac:dyDescent="0.3">
      <c r="B1769" s="236"/>
      <c r="C1769" s="221"/>
      <c r="D1769" s="223"/>
      <c r="E1769" s="221"/>
      <c r="F1769" s="223" t="s">
        <v>4690</v>
      </c>
      <c r="G1769" s="221"/>
    </row>
    <row r="1770" spans="2:7" ht="30" customHeight="1" thickBot="1" x14ac:dyDescent="0.3">
      <c r="B1770" s="236"/>
      <c r="C1770" s="221"/>
      <c r="D1770" s="218" t="s">
        <v>10055</v>
      </c>
      <c r="E1770" s="221"/>
      <c r="F1770" s="223"/>
      <c r="G1770" s="221"/>
    </row>
    <row r="1771" spans="2:7" ht="30" customHeight="1" thickBot="1" x14ac:dyDescent="0.3">
      <c r="B1771" s="236" t="s">
        <v>4693</v>
      </c>
      <c r="C1771" s="221" t="s">
        <v>4556</v>
      </c>
      <c r="D1771" s="223" t="s">
        <v>4694</v>
      </c>
      <c r="E1771" s="221" t="s">
        <v>7992</v>
      </c>
      <c r="F1771" s="223" t="s">
        <v>4558</v>
      </c>
      <c r="G1771" s="221" t="s">
        <v>322</v>
      </c>
    </row>
    <row r="1772" spans="2:7" ht="30" customHeight="1" thickBot="1" x14ac:dyDescent="0.3">
      <c r="B1772" s="236"/>
      <c r="C1772" s="221"/>
      <c r="D1772" s="223"/>
      <c r="E1772" s="221"/>
      <c r="F1772" s="223" t="s">
        <v>4695</v>
      </c>
      <c r="G1772" s="221"/>
    </row>
    <row r="1773" spans="2:7" ht="30" customHeight="1" thickBot="1" x14ac:dyDescent="0.3">
      <c r="B1773" s="236"/>
      <c r="C1773" s="221"/>
      <c r="D1773" s="218" t="s">
        <v>10056</v>
      </c>
      <c r="E1773" s="221"/>
      <c r="F1773" s="223"/>
      <c r="G1773" s="221"/>
    </row>
    <row r="1774" spans="2:7" ht="30" customHeight="1" thickBot="1" x14ac:dyDescent="0.3">
      <c r="B1774" s="236" t="s">
        <v>4696</v>
      </c>
      <c r="C1774" s="221" t="s">
        <v>4556</v>
      </c>
      <c r="D1774" s="223" t="s">
        <v>4697</v>
      </c>
      <c r="E1774" s="221" t="s">
        <v>8778</v>
      </c>
      <c r="F1774" s="223" t="s">
        <v>4558</v>
      </c>
      <c r="G1774" s="221" t="s">
        <v>322</v>
      </c>
    </row>
    <row r="1775" spans="2:7" ht="30" customHeight="1" thickBot="1" x14ac:dyDescent="0.3">
      <c r="B1775" s="236"/>
      <c r="C1775" s="221"/>
      <c r="D1775" s="223"/>
      <c r="E1775" s="221"/>
      <c r="F1775" s="223" t="s">
        <v>4698</v>
      </c>
      <c r="G1775" s="221"/>
    </row>
    <row r="1776" spans="2:7" ht="30" customHeight="1" thickBot="1" x14ac:dyDescent="0.3">
      <c r="B1776" s="236"/>
      <c r="C1776" s="221"/>
      <c r="D1776" s="218" t="s">
        <v>10057</v>
      </c>
      <c r="E1776" s="221"/>
      <c r="F1776" s="223"/>
      <c r="G1776" s="221"/>
    </row>
    <row r="1777" spans="2:7" ht="30" customHeight="1" thickBot="1" x14ac:dyDescent="0.3">
      <c r="B1777" s="236" t="s">
        <v>4699</v>
      </c>
      <c r="C1777" s="221" t="s">
        <v>4556</v>
      </c>
      <c r="D1777" s="218" t="s">
        <v>4700</v>
      </c>
      <c r="E1777" s="221" t="s">
        <v>7337</v>
      </c>
      <c r="F1777" s="221" t="s">
        <v>4701</v>
      </c>
      <c r="G1777" s="221" t="s">
        <v>565</v>
      </c>
    </row>
    <row r="1778" spans="2:7" ht="30" customHeight="1" thickBot="1" x14ac:dyDescent="0.3">
      <c r="B1778" s="236"/>
      <c r="C1778" s="221"/>
      <c r="D1778" s="223"/>
      <c r="E1778" s="221"/>
      <c r="F1778" s="221"/>
      <c r="G1778" s="221"/>
    </row>
    <row r="1779" spans="2:7" ht="30" customHeight="1" thickBot="1" x14ac:dyDescent="0.3">
      <c r="B1779" s="236"/>
      <c r="C1779" s="221"/>
      <c r="D1779" s="218" t="s">
        <v>10058</v>
      </c>
      <c r="E1779" s="221"/>
      <c r="F1779" s="221"/>
      <c r="G1779" s="221"/>
    </row>
    <row r="1780" spans="2:7" ht="30" customHeight="1" thickBot="1" x14ac:dyDescent="0.3">
      <c r="B1780" s="236"/>
      <c r="C1780" s="221"/>
      <c r="D1780" s="223"/>
      <c r="E1780" s="221"/>
      <c r="F1780" s="221"/>
      <c r="G1780" s="221"/>
    </row>
    <row r="1781" spans="2:7" ht="30" customHeight="1" thickBot="1" x14ac:dyDescent="0.3">
      <c r="B1781" s="236"/>
      <c r="C1781" s="221"/>
      <c r="D1781" s="223" t="s">
        <v>4702</v>
      </c>
      <c r="E1781" s="221"/>
      <c r="F1781" s="221"/>
      <c r="G1781" s="221"/>
    </row>
    <row r="1782" spans="2:7" ht="30" customHeight="1" thickBot="1" x14ac:dyDescent="0.3">
      <c r="B1782" s="236" t="s">
        <v>4703</v>
      </c>
      <c r="C1782" s="221" t="s">
        <v>4556</v>
      </c>
      <c r="D1782" s="223" t="s">
        <v>4704</v>
      </c>
      <c r="E1782" s="221" t="s">
        <v>1143</v>
      </c>
      <c r="F1782" s="221" t="s">
        <v>4705</v>
      </c>
      <c r="G1782" s="221" t="s">
        <v>565</v>
      </c>
    </row>
    <row r="1783" spans="2:7" ht="30" customHeight="1" thickBot="1" x14ac:dyDescent="0.3">
      <c r="B1783" s="236"/>
      <c r="C1783" s="221"/>
      <c r="D1783" s="223"/>
      <c r="E1783" s="221"/>
      <c r="F1783" s="221"/>
      <c r="G1783" s="221"/>
    </row>
    <row r="1784" spans="2:7" ht="30" customHeight="1" thickBot="1" x14ac:dyDescent="0.3">
      <c r="B1784" s="236"/>
      <c r="C1784" s="221"/>
      <c r="D1784" s="223" t="s">
        <v>4706</v>
      </c>
      <c r="E1784" s="221"/>
      <c r="F1784" s="221"/>
      <c r="G1784" s="221"/>
    </row>
    <row r="1785" spans="2:7" ht="30" customHeight="1" thickBot="1" x14ac:dyDescent="0.3">
      <c r="B1785" s="236"/>
      <c r="C1785" s="221"/>
      <c r="D1785" s="223"/>
      <c r="E1785" s="221"/>
      <c r="F1785" s="221"/>
      <c r="G1785" s="221"/>
    </row>
    <row r="1786" spans="2:7" ht="30" customHeight="1" thickBot="1" x14ac:dyDescent="0.3">
      <c r="B1786" s="236"/>
      <c r="C1786" s="221"/>
      <c r="D1786" s="218" t="s">
        <v>10059</v>
      </c>
      <c r="E1786" s="221"/>
      <c r="F1786" s="221"/>
      <c r="G1786" s="221"/>
    </row>
    <row r="1787" spans="2:7" ht="30" customHeight="1" thickBot="1" x14ac:dyDescent="0.3">
      <c r="B1787" s="236" t="s">
        <v>4707</v>
      </c>
      <c r="C1787" s="221" t="s">
        <v>4556</v>
      </c>
      <c r="D1787" s="223" t="s">
        <v>4708</v>
      </c>
      <c r="E1787" s="221" t="s">
        <v>4709</v>
      </c>
      <c r="F1787" s="221" t="s">
        <v>4710</v>
      </c>
      <c r="G1787" s="221" t="s">
        <v>565</v>
      </c>
    </row>
    <row r="1788" spans="2:7" ht="30" customHeight="1" thickBot="1" x14ac:dyDescent="0.3">
      <c r="B1788" s="236"/>
      <c r="C1788" s="221"/>
      <c r="D1788" s="223"/>
      <c r="E1788" s="221"/>
      <c r="F1788" s="221"/>
      <c r="G1788" s="221"/>
    </row>
    <row r="1789" spans="2:7" ht="30" customHeight="1" thickBot="1" x14ac:dyDescent="0.3">
      <c r="B1789" s="236"/>
      <c r="C1789" s="221"/>
      <c r="D1789" s="223" t="s">
        <v>10060</v>
      </c>
      <c r="E1789" s="221"/>
      <c r="F1789" s="221"/>
      <c r="G1789" s="221"/>
    </row>
    <row r="1790" spans="2:7" ht="30" customHeight="1" thickBot="1" x14ac:dyDescent="0.3">
      <c r="B1790" s="236"/>
      <c r="C1790" s="221"/>
      <c r="D1790" s="223"/>
      <c r="E1790" s="221"/>
      <c r="F1790" s="221"/>
      <c r="G1790" s="221"/>
    </row>
    <row r="1791" spans="2:7" ht="30" customHeight="1" thickBot="1" x14ac:dyDescent="0.3">
      <c r="B1791" s="236"/>
      <c r="C1791" s="221"/>
      <c r="D1791" s="223" t="s">
        <v>4711</v>
      </c>
      <c r="E1791" s="221"/>
      <c r="F1791" s="221"/>
      <c r="G1791" s="221"/>
    </row>
    <row r="1792" spans="2:7" ht="30" customHeight="1" thickBot="1" x14ac:dyDescent="0.3">
      <c r="B1792" s="223" t="s">
        <v>4712</v>
      </c>
      <c r="C1792" s="223" t="s">
        <v>4713</v>
      </c>
      <c r="D1792" s="223" t="s">
        <v>4714</v>
      </c>
      <c r="E1792" s="223" t="s">
        <v>7660</v>
      </c>
      <c r="F1792" s="223" t="s">
        <v>4715</v>
      </c>
      <c r="G1792" s="223" t="s">
        <v>322</v>
      </c>
    </row>
    <row r="1793" spans="2:7" ht="30" customHeight="1" thickBot="1" x14ac:dyDescent="0.3">
      <c r="B1793" s="223" t="s">
        <v>4716</v>
      </c>
      <c r="C1793" s="223" t="s">
        <v>4713</v>
      </c>
      <c r="D1793" s="223" t="s">
        <v>10061</v>
      </c>
      <c r="E1793" s="223" t="s">
        <v>8754</v>
      </c>
      <c r="F1793" s="223" t="s">
        <v>4717</v>
      </c>
      <c r="G1793" s="223" t="s">
        <v>322</v>
      </c>
    </row>
    <row r="1794" spans="2:7" ht="30" customHeight="1" thickBot="1" x14ac:dyDescent="0.3">
      <c r="B1794" s="221" t="s">
        <v>4718</v>
      </c>
      <c r="C1794" s="221" t="s">
        <v>4713</v>
      </c>
      <c r="D1794" s="223" t="s">
        <v>4719</v>
      </c>
      <c r="E1794" s="221" t="s">
        <v>8779</v>
      </c>
      <c r="F1794" s="221" t="s">
        <v>4720</v>
      </c>
      <c r="G1794" s="221" t="s">
        <v>322</v>
      </c>
    </row>
    <row r="1795" spans="2:7" ht="30" customHeight="1" thickBot="1" x14ac:dyDescent="0.3">
      <c r="B1795" s="221"/>
      <c r="C1795" s="221"/>
      <c r="D1795" s="223"/>
      <c r="E1795" s="221"/>
      <c r="F1795" s="221"/>
      <c r="G1795" s="221"/>
    </row>
    <row r="1796" spans="2:7" ht="30" customHeight="1" thickBot="1" x14ac:dyDescent="0.3">
      <c r="B1796" s="221"/>
      <c r="C1796" s="221"/>
      <c r="D1796" s="223" t="s">
        <v>10062</v>
      </c>
      <c r="E1796" s="221"/>
      <c r="F1796" s="221"/>
      <c r="G1796" s="221"/>
    </row>
    <row r="1797" spans="2:7" ht="30" customHeight="1" thickBot="1" x14ac:dyDescent="0.3">
      <c r="B1797" s="221"/>
      <c r="C1797" s="221"/>
      <c r="D1797" s="223"/>
      <c r="E1797" s="221"/>
      <c r="F1797" s="221"/>
      <c r="G1797" s="221"/>
    </row>
    <row r="1798" spans="2:7" ht="30" customHeight="1" thickBot="1" x14ac:dyDescent="0.3">
      <c r="B1798" s="221"/>
      <c r="C1798" s="221"/>
      <c r="D1798" s="223" t="s">
        <v>10063</v>
      </c>
      <c r="E1798" s="221"/>
      <c r="F1798" s="221"/>
      <c r="G1798" s="221"/>
    </row>
    <row r="1799" spans="2:7" ht="30" customHeight="1" thickBot="1" x14ac:dyDescent="0.3">
      <c r="B1799" s="221" t="s">
        <v>4721</v>
      </c>
      <c r="C1799" s="221" t="s">
        <v>4713</v>
      </c>
      <c r="D1799" s="223" t="s">
        <v>10064</v>
      </c>
      <c r="E1799" s="221" t="s">
        <v>8780</v>
      </c>
      <c r="F1799" s="221" t="s">
        <v>4722</v>
      </c>
      <c r="G1799" s="221" t="s">
        <v>322</v>
      </c>
    </row>
    <row r="1800" spans="2:7" ht="30" customHeight="1" thickBot="1" x14ac:dyDescent="0.3">
      <c r="B1800" s="221"/>
      <c r="C1800" s="221"/>
      <c r="D1800" s="223"/>
      <c r="E1800" s="221"/>
      <c r="F1800" s="221"/>
      <c r="G1800" s="221"/>
    </row>
    <row r="1801" spans="2:7" ht="30" customHeight="1" thickBot="1" x14ac:dyDescent="0.3">
      <c r="B1801" s="221"/>
      <c r="C1801" s="221"/>
      <c r="D1801" s="223" t="s">
        <v>4723</v>
      </c>
      <c r="E1801" s="221"/>
      <c r="F1801" s="221"/>
      <c r="G1801" s="221"/>
    </row>
    <row r="1802" spans="2:7" ht="30" customHeight="1" thickBot="1" x14ac:dyDescent="0.3">
      <c r="B1802" s="221" t="s">
        <v>4724</v>
      </c>
      <c r="C1802" s="221" t="s">
        <v>4713</v>
      </c>
      <c r="D1802" s="221" t="s">
        <v>4725</v>
      </c>
      <c r="E1802" s="221" t="s">
        <v>8781</v>
      </c>
      <c r="F1802" s="221" t="s">
        <v>4726</v>
      </c>
      <c r="G1802" s="221" t="s">
        <v>322</v>
      </c>
    </row>
    <row r="1803" spans="2:7" ht="30" customHeight="1" thickBot="1" x14ac:dyDescent="0.3">
      <c r="B1803" s="221"/>
      <c r="C1803" s="221"/>
      <c r="D1803" s="221"/>
      <c r="E1803" s="221"/>
      <c r="F1803" s="221"/>
      <c r="G1803" s="221"/>
    </row>
    <row r="1804" spans="2:7" ht="30" customHeight="1" thickBot="1" x14ac:dyDescent="0.3">
      <c r="B1804" s="221"/>
      <c r="C1804" s="221"/>
      <c r="D1804" s="221"/>
      <c r="E1804" s="221"/>
      <c r="F1804" s="221"/>
      <c r="G1804" s="221"/>
    </row>
    <row r="1805" spans="2:7" ht="30" customHeight="1" thickBot="1" x14ac:dyDescent="0.3">
      <c r="B1805" s="221" t="s">
        <v>4727</v>
      </c>
      <c r="C1805" s="221" t="s">
        <v>4713</v>
      </c>
      <c r="D1805" s="221" t="s">
        <v>4728</v>
      </c>
      <c r="E1805" s="221" t="s">
        <v>7235</v>
      </c>
      <c r="F1805" s="221" t="s">
        <v>4729</v>
      </c>
      <c r="G1805" s="221" t="s">
        <v>322</v>
      </c>
    </row>
    <row r="1806" spans="2:7" ht="30" customHeight="1" thickBot="1" x14ac:dyDescent="0.3">
      <c r="B1806" s="221"/>
      <c r="C1806" s="221"/>
      <c r="D1806" s="221"/>
      <c r="E1806" s="221"/>
      <c r="F1806" s="221"/>
      <c r="G1806" s="221"/>
    </row>
    <row r="1807" spans="2:7" ht="30" customHeight="1" thickBot="1" x14ac:dyDescent="0.3">
      <c r="B1807" s="223" t="s">
        <v>4730</v>
      </c>
      <c r="C1807" s="223" t="s">
        <v>4713</v>
      </c>
      <c r="D1807" s="223" t="s">
        <v>10065</v>
      </c>
      <c r="E1807" s="223" t="s">
        <v>8782</v>
      </c>
      <c r="F1807" s="223" t="s">
        <v>4731</v>
      </c>
      <c r="G1807" s="223" t="s">
        <v>322</v>
      </c>
    </row>
    <row r="1808" spans="2:7" ht="30" customHeight="1" thickBot="1" x14ac:dyDescent="0.3">
      <c r="B1808" s="221" t="s">
        <v>4732</v>
      </c>
      <c r="C1808" s="221" t="s">
        <v>4713</v>
      </c>
      <c r="D1808" s="221" t="s">
        <v>4733</v>
      </c>
      <c r="E1808" s="221" t="s">
        <v>2811</v>
      </c>
      <c r="F1808" s="223" t="s">
        <v>2802</v>
      </c>
      <c r="G1808" s="221" t="s">
        <v>322</v>
      </c>
    </row>
    <row r="1809" spans="2:7" ht="30" customHeight="1" thickBot="1" x14ac:dyDescent="0.3">
      <c r="B1809" s="221"/>
      <c r="C1809" s="221"/>
      <c r="D1809" s="221"/>
      <c r="E1809" s="221"/>
      <c r="F1809" s="223" t="s">
        <v>4734</v>
      </c>
      <c r="G1809" s="221"/>
    </row>
    <row r="1810" spans="2:7" ht="30" customHeight="1" thickBot="1" x14ac:dyDescent="0.3">
      <c r="B1810" s="221" t="s">
        <v>4735</v>
      </c>
      <c r="C1810" s="221" t="s">
        <v>4713</v>
      </c>
      <c r="D1810" s="221" t="s">
        <v>4736</v>
      </c>
      <c r="E1810" s="221" t="s">
        <v>8783</v>
      </c>
      <c r="F1810" s="223" t="s">
        <v>2802</v>
      </c>
      <c r="G1810" s="221" t="s">
        <v>322</v>
      </c>
    </row>
    <row r="1811" spans="2:7" ht="30" customHeight="1" thickBot="1" x14ac:dyDescent="0.3">
      <c r="B1811" s="221"/>
      <c r="C1811" s="221"/>
      <c r="D1811" s="221"/>
      <c r="E1811" s="221"/>
      <c r="F1811" s="223" t="s">
        <v>4737</v>
      </c>
      <c r="G1811" s="221"/>
    </row>
    <row r="1812" spans="2:7" ht="30" customHeight="1" thickBot="1" x14ac:dyDescent="0.3">
      <c r="B1812" s="221" t="s">
        <v>4738</v>
      </c>
      <c r="C1812" s="221" t="s">
        <v>4713</v>
      </c>
      <c r="D1812" s="223" t="s">
        <v>4739</v>
      </c>
      <c r="E1812" s="221" t="s">
        <v>8784</v>
      </c>
      <c r="F1812" s="223" t="s">
        <v>2802</v>
      </c>
      <c r="G1812" s="221" t="s">
        <v>322</v>
      </c>
    </row>
    <row r="1813" spans="2:7" ht="30" customHeight="1" thickBot="1" x14ac:dyDescent="0.3">
      <c r="B1813" s="221"/>
      <c r="C1813" s="221"/>
      <c r="D1813" s="223" t="s">
        <v>575</v>
      </c>
      <c r="E1813" s="221"/>
      <c r="F1813" s="223" t="s">
        <v>4740</v>
      </c>
      <c r="G1813" s="221"/>
    </row>
    <row r="1814" spans="2:7" ht="30" customHeight="1" thickBot="1" x14ac:dyDescent="0.3">
      <c r="B1814" s="221" t="s">
        <v>4741</v>
      </c>
      <c r="C1814" s="221" t="s">
        <v>4713</v>
      </c>
      <c r="D1814" s="221" t="s">
        <v>10066</v>
      </c>
      <c r="E1814" s="221" t="s">
        <v>7661</v>
      </c>
      <c r="F1814" s="223" t="s">
        <v>2802</v>
      </c>
      <c r="G1814" s="221" t="s">
        <v>322</v>
      </c>
    </row>
    <row r="1815" spans="2:7" ht="30" customHeight="1" thickBot="1" x14ac:dyDescent="0.3">
      <c r="B1815" s="221"/>
      <c r="C1815" s="221"/>
      <c r="D1815" s="221"/>
      <c r="E1815" s="221"/>
      <c r="F1815" s="223" t="s">
        <v>4742</v>
      </c>
      <c r="G1815" s="221"/>
    </row>
    <row r="1816" spans="2:7" ht="30" customHeight="1" thickBot="1" x14ac:dyDescent="0.3">
      <c r="B1816" s="221" t="s">
        <v>4743</v>
      </c>
      <c r="C1816" s="221" t="s">
        <v>4713</v>
      </c>
      <c r="D1816" s="221" t="s">
        <v>10067</v>
      </c>
      <c r="E1816" s="221" t="s">
        <v>8785</v>
      </c>
      <c r="F1816" s="223" t="s">
        <v>2802</v>
      </c>
      <c r="G1816" s="221" t="s">
        <v>322</v>
      </c>
    </row>
    <row r="1817" spans="2:7" ht="30" customHeight="1" thickBot="1" x14ac:dyDescent="0.3">
      <c r="B1817" s="221"/>
      <c r="C1817" s="221"/>
      <c r="D1817" s="221"/>
      <c r="E1817" s="221"/>
      <c r="F1817" s="223" t="s">
        <v>4742</v>
      </c>
      <c r="G1817" s="221"/>
    </row>
    <row r="1818" spans="2:7" ht="30" customHeight="1" thickBot="1" x14ac:dyDescent="0.3">
      <c r="B1818" s="221" t="s">
        <v>4744</v>
      </c>
      <c r="C1818" s="221" t="s">
        <v>4713</v>
      </c>
      <c r="D1818" s="223" t="s">
        <v>4745</v>
      </c>
      <c r="E1818" s="221" t="s">
        <v>8786</v>
      </c>
      <c r="F1818" s="223" t="s">
        <v>2802</v>
      </c>
      <c r="G1818" s="221" t="s">
        <v>322</v>
      </c>
    </row>
    <row r="1819" spans="2:7" ht="30" customHeight="1" thickBot="1" x14ac:dyDescent="0.3">
      <c r="B1819" s="221"/>
      <c r="C1819" s="221"/>
      <c r="D1819" s="223" t="s">
        <v>4746</v>
      </c>
      <c r="E1819" s="221"/>
      <c r="F1819" s="223" t="s">
        <v>4747</v>
      </c>
      <c r="G1819" s="221"/>
    </row>
    <row r="1820" spans="2:7" ht="30" customHeight="1" thickBot="1" x14ac:dyDescent="0.3">
      <c r="B1820" s="221" t="s">
        <v>4748</v>
      </c>
      <c r="C1820" s="221" t="s">
        <v>4713</v>
      </c>
      <c r="D1820" s="221" t="s">
        <v>4749</v>
      </c>
      <c r="E1820" s="221" t="s">
        <v>8787</v>
      </c>
      <c r="F1820" s="223" t="s">
        <v>2802</v>
      </c>
      <c r="G1820" s="221" t="s">
        <v>322</v>
      </c>
    </row>
    <row r="1821" spans="2:7" ht="30" customHeight="1" thickBot="1" x14ac:dyDescent="0.3">
      <c r="B1821" s="221"/>
      <c r="C1821" s="221"/>
      <c r="D1821" s="221"/>
      <c r="E1821" s="221"/>
      <c r="F1821" s="223" t="s">
        <v>4750</v>
      </c>
      <c r="G1821" s="221"/>
    </row>
    <row r="1822" spans="2:7" ht="30" customHeight="1" thickBot="1" x14ac:dyDescent="0.3">
      <c r="B1822" s="221" t="s">
        <v>4751</v>
      </c>
      <c r="C1822" s="221" t="s">
        <v>4713</v>
      </c>
      <c r="D1822" s="223" t="s">
        <v>4752</v>
      </c>
      <c r="E1822" s="221" t="s">
        <v>8788</v>
      </c>
      <c r="F1822" s="221" t="s">
        <v>4753</v>
      </c>
      <c r="G1822" s="221" t="s">
        <v>322</v>
      </c>
    </row>
    <row r="1823" spans="2:7" ht="30" customHeight="1" thickBot="1" x14ac:dyDescent="0.3">
      <c r="B1823" s="221"/>
      <c r="C1823" s="221"/>
      <c r="D1823" s="223" t="s">
        <v>4754</v>
      </c>
      <c r="E1823" s="221"/>
      <c r="F1823" s="221"/>
      <c r="G1823" s="221"/>
    </row>
    <row r="1824" spans="2:7" ht="30" customHeight="1" thickBot="1" x14ac:dyDescent="0.3">
      <c r="B1824" s="223" t="s">
        <v>4755</v>
      </c>
      <c r="C1824" s="223" t="s">
        <v>4713</v>
      </c>
      <c r="D1824" s="223" t="s">
        <v>10068</v>
      </c>
      <c r="E1824" s="223" t="s">
        <v>8789</v>
      </c>
      <c r="F1824" s="223" t="s">
        <v>4756</v>
      </c>
      <c r="G1824" s="223" t="s">
        <v>322</v>
      </c>
    </row>
    <row r="1825" spans="2:7" ht="30" customHeight="1" thickBot="1" x14ac:dyDescent="0.3">
      <c r="B1825" s="223" t="s">
        <v>4757</v>
      </c>
      <c r="C1825" s="223" t="s">
        <v>4713</v>
      </c>
      <c r="D1825" s="223" t="s">
        <v>4758</v>
      </c>
      <c r="E1825" s="223" t="s">
        <v>8788</v>
      </c>
      <c r="F1825" s="223" t="s">
        <v>4756</v>
      </c>
      <c r="G1825" s="223" t="s">
        <v>322</v>
      </c>
    </row>
    <row r="1826" spans="2:7" ht="30" customHeight="1" thickBot="1" x14ac:dyDescent="0.3">
      <c r="B1826" s="221" t="s">
        <v>4759</v>
      </c>
      <c r="C1826" s="221" t="s">
        <v>4713</v>
      </c>
      <c r="D1826" s="223" t="s">
        <v>10069</v>
      </c>
      <c r="E1826" s="221" t="s">
        <v>8790</v>
      </c>
      <c r="F1826" s="221" t="s">
        <v>4760</v>
      </c>
      <c r="G1826" s="221" t="s">
        <v>322</v>
      </c>
    </row>
    <row r="1827" spans="2:7" ht="30" customHeight="1" thickBot="1" x14ac:dyDescent="0.3">
      <c r="B1827" s="221"/>
      <c r="C1827" s="221"/>
      <c r="D1827" s="223" t="s">
        <v>4761</v>
      </c>
      <c r="E1827" s="221"/>
      <c r="F1827" s="221"/>
      <c r="G1827" s="221"/>
    </row>
    <row r="1828" spans="2:7" ht="30" customHeight="1" thickBot="1" x14ac:dyDescent="0.3">
      <c r="B1828" s="223" t="s">
        <v>4762</v>
      </c>
      <c r="C1828" s="223" t="s">
        <v>4713</v>
      </c>
      <c r="D1828" s="223" t="s">
        <v>10070</v>
      </c>
      <c r="E1828" s="223" t="s">
        <v>8789</v>
      </c>
      <c r="F1828" s="223" t="s">
        <v>4763</v>
      </c>
      <c r="G1828" s="223" t="s">
        <v>322</v>
      </c>
    </row>
    <row r="1829" spans="2:7" ht="30" customHeight="1" thickBot="1" x14ac:dyDescent="0.3">
      <c r="B1829" s="223" t="s">
        <v>4764</v>
      </c>
      <c r="C1829" s="223" t="s">
        <v>4713</v>
      </c>
      <c r="D1829" s="223" t="s">
        <v>10071</v>
      </c>
      <c r="E1829" s="223" t="s">
        <v>8791</v>
      </c>
      <c r="F1829" s="223" t="s">
        <v>4765</v>
      </c>
      <c r="G1829" s="223" t="s">
        <v>322</v>
      </c>
    </row>
    <row r="1830" spans="2:7" ht="30" customHeight="1" thickBot="1" x14ac:dyDescent="0.3">
      <c r="B1830" s="221" t="s">
        <v>4766</v>
      </c>
      <c r="C1830" s="221" t="s">
        <v>4713</v>
      </c>
      <c r="D1830" s="221" t="s">
        <v>10072</v>
      </c>
      <c r="E1830" s="221" t="s">
        <v>8792</v>
      </c>
      <c r="F1830" s="221" t="s">
        <v>4767</v>
      </c>
      <c r="G1830" s="221" t="s">
        <v>322</v>
      </c>
    </row>
    <row r="1831" spans="2:7" ht="30" customHeight="1" thickBot="1" x14ac:dyDescent="0.3">
      <c r="B1831" s="221"/>
      <c r="C1831" s="221"/>
      <c r="D1831" s="221"/>
      <c r="E1831" s="221"/>
      <c r="F1831" s="221"/>
      <c r="G1831" s="221"/>
    </row>
    <row r="1832" spans="2:7" ht="30" customHeight="1" thickBot="1" x14ac:dyDescent="0.3">
      <c r="B1832" s="223" t="s">
        <v>4768</v>
      </c>
      <c r="C1832" s="223" t="s">
        <v>4713</v>
      </c>
      <c r="D1832" s="223" t="s">
        <v>4769</v>
      </c>
      <c r="E1832" s="223" t="s">
        <v>8793</v>
      </c>
      <c r="F1832" s="223" t="s">
        <v>4770</v>
      </c>
      <c r="G1832" s="223" t="s">
        <v>322</v>
      </c>
    </row>
    <row r="1833" spans="2:7" ht="30" customHeight="1" thickBot="1" x14ac:dyDescent="0.3">
      <c r="B1833" s="223" t="s">
        <v>4771</v>
      </c>
      <c r="C1833" s="223" t="s">
        <v>4713</v>
      </c>
      <c r="D1833" s="223" t="s">
        <v>4772</v>
      </c>
      <c r="E1833" s="223" t="s">
        <v>8794</v>
      </c>
      <c r="F1833" s="223" t="s">
        <v>4773</v>
      </c>
      <c r="G1833" s="223" t="s">
        <v>322</v>
      </c>
    </row>
    <row r="1834" spans="2:7" ht="30" customHeight="1" thickBot="1" x14ac:dyDescent="0.3">
      <c r="B1834" s="223" t="s">
        <v>4774</v>
      </c>
      <c r="C1834" s="223" t="s">
        <v>4713</v>
      </c>
      <c r="D1834" s="223" t="s">
        <v>10073</v>
      </c>
      <c r="E1834" s="223" t="s">
        <v>7890</v>
      </c>
      <c r="F1834" s="223" t="s">
        <v>4775</v>
      </c>
      <c r="G1834" s="223" t="s">
        <v>322</v>
      </c>
    </row>
    <row r="1835" spans="2:7" ht="30" customHeight="1" thickBot="1" x14ac:dyDescent="0.3">
      <c r="B1835" s="223" t="s">
        <v>4776</v>
      </c>
      <c r="C1835" s="223" t="s">
        <v>4713</v>
      </c>
      <c r="D1835" s="223" t="s">
        <v>4777</v>
      </c>
      <c r="E1835" s="223" t="s">
        <v>8795</v>
      </c>
      <c r="F1835" s="223" t="s">
        <v>4778</v>
      </c>
      <c r="G1835" s="223" t="s">
        <v>322</v>
      </c>
    </row>
    <row r="1836" spans="2:7" ht="30" customHeight="1" thickBot="1" x14ac:dyDescent="0.3">
      <c r="B1836" s="221" t="s">
        <v>4779</v>
      </c>
      <c r="C1836" s="221" t="s">
        <v>4713</v>
      </c>
      <c r="D1836" s="223" t="s">
        <v>4780</v>
      </c>
      <c r="E1836" s="221" t="s">
        <v>8796</v>
      </c>
      <c r="F1836" s="221" t="s">
        <v>4781</v>
      </c>
      <c r="G1836" s="221" t="s">
        <v>322</v>
      </c>
    </row>
    <row r="1837" spans="2:7" ht="30" customHeight="1" thickBot="1" x14ac:dyDescent="0.3">
      <c r="B1837" s="221"/>
      <c r="C1837" s="221"/>
      <c r="D1837" s="223" t="s">
        <v>10074</v>
      </c>
      <c r="E1837" s="221"/>
      <c r="F1837" s="221"/>
      <c r="G1837" s="221"/>
    </row>
    <row r="1838" spans="2:7" ht="30" customHeight="1" thickBot="1" x14ac:dyDescent="0.3">
      <c r="B1838" s="221" t="s">
        <v>4782</v>
      </c>
      <c r="C1838" s="221" t="s">
        <v>4713</v>
      </c>
      <c r="D1838" s="223" t="s">
        <v>4783</v>
      </c>
      <c r="E1838" s="221" t="s">
        <v>8797</v>
      </c>
      <c r="F1838" s="221" t="s">
        <v>4784</v>
      </c>
      <c r="G1838" s="221" t="s">
        <v>322</v>
      </c>
    </row>
    <row r="1839" spans="2:7" ht="30" customHeight="1" thickBot="1" x14ac:dyDescent="0.3">
      <c r="B1839" s="221"/>
      <c r="C1839" s="221"/>
      <c r="D1839" s="223" t="s">
        <v>4785</v>
      </c>
      <c r="E1839" s="221"/>
      <c r="F1839" s="221"/>
      <c r="G1839" s="221"/>
    </row>
    <row r="1840" spans="2:7" ht="30" customHeight="1" thickBot="1" x14ac:dyDescent="0.3">
      <c r="B1840" s="223" t="s">
        <v>4786</v>
      </c>
      <c r="C1840" s="223" t="s">
        <v>4713</v>
      </c>
      <c r="D1840" s="223" t="s">
        <v>4787</v>
      </c>
      <c r="E1840" s="223" t="s">
        <v>8364</v>
      </c>
      <c r="F1840" s="223" t="s">
        <v>4788</v>
      </c>
      <c r="G1840" s="223" t="s">
        <v>120</v>
      </c>
    </row>
    <row r="1841" spans="2:7" ht="30" customHeight="1" thickBot="1" x14ac:dyDescent="0.3">
      <c r="B1841" s="221" t="s">
        <v>4789</v>
      </c>
      <c r="C1841" s="221" t="s">
        <v>4713</v>
      </c>
      <c r="D1841" s="223" t="s">
        <v>10075</v>
      </c>
      <c r="E1841" s="221" t="s">
        <v>7662</v>
      </c>
      <c r="F1841" s="221" t="s">
        <v>4790</v>
      </c>
      <c r="G1841" s="221" t="s">
        <v>322</v>
      </c>
    </row>
    <row r="1842" spans="2:7" ht="30" customHeight="1" thickBot="1" x14ac:dyDescent="0.3">
      <c r="B1842" s="221"/>
      <c r="C1842" s="221"/>
      <c r="D1842" s="223" t="s">
        <v>4791</v>
      </c>
      <c r="E1842" s="221"/>
      <c r="F1842" s="221"/>
      <c r="G1842" s="221"/>
    </row>
    <row r="1843" spans="2:7" ht="30" customHeight="1" thickBot="1" x14ac:dyDescent="0.3">
      <c r="B1843" s="221"/>
      <c r="C1843" s="221"/>
      <c r="D1843" s="223" t="s">
        <v>4792</v>
      </c>
      <c r="E1843" s="221"/>
      <c r="F1843" s="221"/>
      <c r="G1843" s="221"/>
    </row>
    <row r="1844" spans="2:7" ht="30" customHeight="1" thickBot="1" x14ac:dyDescent="0.3">
      <c r="B1844" s="223" t="s">
        <v>4793</v>
      </c>
      <c r="C1844" s="223" t="s">
        <v>4713</v>
      </c>
      <c r="D1844" s="223" t="s">
        <v>4794</v>
      </c>
      <c r="E1844" s="223" t="s">
        <v>8798</v>
      </c>
      <c r="F1844" s="223" t="s">
        <v>4795</v>
      </c>
      <c r="G1844" s="223" t="s">
        <v>322</v>
      </c>
    </row>
    <row r="1845" spans="2:7" ht="30" customHeight="1" thickBot="1" x14ac:dyDescent="0.3">
      <c r="B1845" s="223" t="s">
        <v>4796</v>
      </c>
      <c r="C1845" s="223" t="s">
        <v>4713</v>
      </c>
      <c r="D1845" s="223" t="s">
        <v>4797</v>
      </c>
      <c r="E1845" s="223" t="s">
        <v>7663</v>
      </c>
      <c r="F1845" s="223" t="s">
        <v>4798</v>
      </c>
      <c r="G1845" s="223" t="s">
        <v>84</v>
      </c>
    </row>
    <row r="1846" spans="2:7" ht="30" customHeight="1" thickBot="1" x14ac:dyDescent="0.3">
      <c r="B1846" s="221" t="s">
        <v>4799</v>
      </c>
      <c r="C1846" s="221" t="s">
        <v>4713</v>
      </c>
      <c r="D1846" s="223" t="s">
        <v>4800</v>
      </c>
      <c r="E1846" s="221" t="s">
        <v>8799</v>
      </c>
      <c r="F1846" s="221" t="s">
        <v>4801</v>
      </c>
      <c r="G1846" s="221" t="s">
        <v>322</v>
      </c>
    </row>
    <row r="1847" spans="2:7" ht="30" customHeight="1" thickBot="1" x14ac:dyDescent="0.3">
      <c r="B1847" s="221"/>
      <c r="C1847" s="221"/>
      <c r="D1847" s="225" t="s">
        <v>4802</v>
      </c>
      <c r="E1847" s="221"/>
      <c r="F1847" s="221"/>
      <c r="G1847" s="221"/>
    </row>
    <row r="1848" spans="2:7" ht="30" customHeight="1" thickBot="1" x14ac:dyDescent="0.3">
      <c r="B1848" s="221"/>
      <c r="C1848" s="221"/>
      <c r="D1848" s="225" t="s">
        <v>4803</v>
      </c>
      <c r="E1848" s="221"/>
      <c r="F1848" s="221"/>
      <c r="G1848" s="221"/>
    </row>
    <row r="1849" spans="2:7" ht="30" customHeight="1" thickBot="1" x14ac:dyDescent="0.3">
      <c r="B1849" s="221"/>
      <c r="C1849" s="221"/>
      <c r="D1849" s="223" t="s">
        <v>4804</v>
      </c>
      <c r="E1849" s="221"/>
      <c r="F1849" s="221"/>
      <c r="G1849" s="221"/>
    </row>
    <row r="1850" spans="2:7" ht="30" customHeight="1" thickBot="1" x14ac:dyDescent="0.3">
      <c r="B1850" s="221"/>
      <c r="C1850" s="221"/>
      <c r="D1850" s="223" t="s">
        <v>4805</v>
      </c>
      <c r="E1850" s="221"/>
      <c r="F1850" s="221"/>
      <c r="G1850" s="221"/>
    </row>
    <row r="1851" spans="2:7" ht="30" customHeight="1" thickBot="1" x14ac:dyDescent="0.3">
      <c r="B1851" s="221"/>
      <c r="C1851" s="221"/>
      <c r="D1851" s="223"/>
      <c r="E1851" s="221"/>
      <c r="F1851" s="221"/>
      <c r="G1851" s="221"/>
    </row>
    <row r="1852" spans="2:7" ht="30" customHeight="1" thickBot="1" x14ac:dyDescent="0.3">
      <c r="B1852" s="221" t="s">
        <v>4806</v>
      </c>
      <c r="C1852" s="221" t="s">
        <v>4713</v>
      </c>
      <c r="D1852" s="221" t="s">
        <v>4807</v>
      </c>
      <c r="E1852" s="221" t="s">
        <v>8660</v>
      </c>
      <c r="F1852" s="221" t="s">
        <v>4808</v>
      </c>
      <c r="G1852" s="221" t="s">
        <v>3379</v>
      </c>
    </row>
    <row r="1853" spans="2:7" ht="30" customHeight="1" thickBot="1" x14ac:dyDescent="0.3">
      <c r="B1853" s="221"/>
      <c r="C1853" s="221"/>
      <c r="D1853" s="221"/>
      <c r="E1853" s="221"/>
      <c r="F1853" s="221"/>
      <c r="G1853" s="221"/>
    </row>
    <row r="1854" spans="2:7" ht="30" customHeight="1" thickBot="1" x14ac:dyDescent="0.3">
      <c r="B1854" s="221" t="s">
        <v>4809</v>
      </c>
      <c r="C1854" s="221" t="s">
        <v>4713</v>
      </c>
      <c r="D1854" s="223" t="s">
        <v>10076</v>
      </c>
      <c r="E1854" s="221" t="s">
        <v>8800</v>
      </c>
      <c r="F1854" s="221" t="s">
        <v>4810</v>
      </c>
      <c r="G1854" s="221" t="s">
        <v>322</v>
      </c>
    </row>
    <row r="1855" spans="2:7" ht="30" customHeight="1" thickBot="1" x14ac:dyDescent="0.3">
      <c r="B1855" s="221"/>
      <c r="C1855" s="221"/>
      <c r="D1855" s="223" t="s">
        <v>10077</v>
      </c>
      <c r="E1855" s="221"/>
      <c r="F1855" s="221"/>
      <c r="G1855" s="221"/>
    </row>
    <row r="1856" spans="2:7" ht="30" customHeight="1" thickBot="1" x14ac:dyDescent="0.3">
      <c r="B1856" s="221" t="s">
        <v>4811</v>
      </c>
      <c r="C1856" s="221" t="s">
        <v>4713</v>
      </c>
      <c r="D1856" s="223" t="s">
        <v>4812</v>
      </c>
      <c r="E1856" s="221" t="s">
        <v>7664</v>
      </c>
      <c r="F1856" s="221" t="s">
        <v>4813</v>
      </c>
      <c r="G1856" s="221" t="s">
        <v>322</v>
      </c>
    </row>
    <row r="1857" spans="2:7" ht="30" customHeight="1" thickBot="1" x14ac:dyDescent="0.3">
      <c r="B1857" s="221"/>
      <c r="C1857" s="221"/>
      <c r="D1857" s="225" t="s">
        <v>9148</v>
      </c>
      <c r="E1857" s="221"/>
      <c r="F1857" s="221"/>
      <c r="G1857" s="221"/>
    </row>
    <row r="1858" spans="2:7" ht="30" customHeight="1" thickBot="1" x14ac:dyDescent="0.3">
      <c r="B1858" s="221"/>
      <c r="C1858" s="221"/>
      <c r="D1858" s="223"/>
      <c r="E1858" s="221"/>
      <c r="F1858" s="221"/>
      <c r="G1858" s="221"/>
    </row>
    <row r="1859" spans="2:7" ht="30" customHeight="1" thickBot="1" x14ac:dyDescent="0.3">
      <c r="B1859" s="221" t="s">
        <v>4814</v>
      </c>
      <c r="C1859" s="221" t="s">
        <v>4713</v>
      </c>
      <c r="D1859" s="223" t="s">
        <v>2870</v>
      </c>
      <c r="E1859" s="221" t="s">
        <v>7665</v>
      </c>
      <c r="F1859" s="221" t="s">
        <v>4815</v>
      </c>
      <c r="G1859" s="221" t="s">
        <v>322</v>
      </c>
    </row>
    <row r="1860" spans="2:7" ht="30" customHeight="1" thickBot="1" x14ac:dyDescent="0.3">
      <c r="B1860" s="221"/>
      <c r="C1860" s="221"/>
      <c r="D1860" s="225" t="s">
        <v>10078</v>
      </c>
      <c r="E1860" s="221"/>
      <c r="F1860" s="221"/>
      <c r="G1860" s="221"/>
    </row>
    <row r="1861" spans="2:7" ht="30" customHeight="1" thickBot="1" x14ac:dyDescent="0.3">
      <c r="B1861" s="221"/>
      <c r="C1861" s="221"/>
      <c r="D1861" s="223" t="s">
        <v>10079</v>
      </c>
      <c r="E1861" s="221"/>
      <c r="F1861" s="221"/>
      <c r="G1861" s="221"/>
    </row>
    <row r="1862" spans="2:7" ht="30" customHeight="1" thickBot="1" x14ac:dyDescent="0.3">
      <c r="B1862" s="221"/>
      <c r="C1862" s="221"/>
      <c r="D1862" s="225"/>
      <c r="E1862" s="221"/>
      <c r="F1862" s="221"/>
      <c r="G1862" s="221"/>
    </row>
    <row r="1863" spans="2:7" ht="30" customHeight="1" thickBot="1" x14ac:dyDescent="0.3">
      <c r="B1863" s="221" t="s">
        <v>4816</v>
      </c>
      <c r="C1863" s="221" t="s">
        <v>4713</v>
      </c>
      <c r="D1863" s="223" t="s">
        <v>4817</v>
      </c>
      <c r="E1863" s="221" t="s">
        <v>8945</v>
      </c>
      <c r="F1863" s="221" t="s">
        <v>4818</v>
      </c>
      <c r="G1863" s="221" t="s">
        <v>108</v>
      </c>
    </row>
    <row r="1864" spans="2:7" ht="30" customHeight="1" thickBot="1" x14ac:dyDescent="0.3">
      <c r="B1864" s="221"/>
      <c r="C1864" s="221"/>
      <c r="D1864" s="223" t="s">
        <v>575</v>
      </c>
      <c r="E1864" s="221"/>
      <c r="F1864" s="221"/>
      <c r="G1864" s="221"/>
    </row>
    <row r="1865" spans="2:7" ht="30" customHeight="1" thickBot="1" x14ac:dyDescent="0.3">
      <c r="B1865" s="221" t="s">
        <v>4819</v>
      </c>
      <c r="C1865" s="221" t="s">
        <v>4713</v>
      </c>
      <c r="D1865" s="223" t="s">
        <v>4820</v>
      </c>
      <c r="E1865" s="221" t="s">
        <v>7666</v>
      </c>
      <c r="F1865" s="221" t="s">
        <v>4821</v>
      </c>
      <c r="G1865" s="223" t="s">
        <v>84</v>
      </c>
    </row>
    <row r="1866" spans="2:7" ht="30" customHeight="1" thickBot="1" x14ac:dyDescent="0.3">
      <c r="B1866" s="221"/>
      <c r="C1866" s="221"/>
      <c r="D1866" s="223" t="s">
        <v>4822</v>
      </c>
      <c r="E1866" s="221"/>
      <c r="F1866" s="221"/>
      <c r="G1866" s="223" t="s">
        <v>322</v>
      </c>
    </row>
    <row r="1867" spans="2:7" ht="30" customHeight="1" thickBot="1" x14ac:dyDescent="0.3">
      <c r="B1867" s="221"/>
      <c r="C1867" s="221"/>
      <c r="D1867" s="223" t="s">
        <v>10080</v>
      </c>
      <c r="E1867" s="221"/>
      <c r="F1867" s="221"/>
      <c r="G1867" s="223"/>
    </row>
    <row r="1868" spans="2:7" ht="30" customHeight="1" thickBot="1" x14ac:dyDescent="0.3">
      <c r="B1868" s="223" t="s">
        <v>4823</v>
      </c>
      <c r="C1868" s="223" t="s">
        <v>4713</v>
      </c>
      <c r="D1868" s="223" t="s">
        <v>4824</v>
      </c>
      <c r="E1868" s="223" t="s">
        <v>7667</v>
      </c>
      <c r="F1868" s="223" t="s">
        <v>4825</v>
      </c>
      <c r="G1868" s="223" t="s">
        <v>322</v>
      </c>
    </row>
    <row r="1869" spans="2:7" ht="30" customHeight="1" thickBot="1" x14ac:dyDescent="0.3">
      <c r="B1869" s="221" t="s">
        <v>4826</v>
      </c>
      <c r="C1869" s="221" t="s">
        <v>4713</v>
      </c>
      <c r="D1869" s="221" t="s">
        <v>4827</v>
      </c>
      <c r="E1869" s="221" t="s">
        <v>7668</v>
      </c>
      <c r="F1869" s="221" t="s">
        <v>4828</v>
      </c>
      <c r="G1869" s="223" t="s">
        <v>294</v>
      </c>
    </row>
    <row r="1870" spans="2:7" ht="30" customHeight="1" thickBot="1" x14ac:dyDescent="0.3">
      <c r="B1870" s="221"/>
      <c r="C1870" s="221"/>
      <c r="D1870" s="221"/>
      <c r="E1870" s="221"/>
      <c r="F1870" s="221"/>
      <c r="G1870" s="223" t="s">
        <v>322</v>
      </c>
    </row>
    <row r="1871" spans="2:7" ht="30" customHeight="1" thickBot="1" x14ac:dyDescent="0.3">
      <c r="B1871" s="223" t="s">
        <v>4829</v>
      </c>
      <c r="C1871" s="223" t="s">
        <v>4713</v>
      </c>
      <c r="D1871" s="223" t="s">
        <v>4830</v>
      </c>
      <c r="E1871" s="223" t="s">
        <v>7993</v>
      </c>
      <c r="F1871" s="223" t="s">
        <v>4831</v>
      </c>
      <c r="G1871" s="223" t="s">
        <v>322</v>
      </c>
    </row>
    <row r="1872" spans="2:7" ht="30" customHeight="1" thickBot="1" x14ac:dyDescent="0.3">
      <c r="B1872" s="223" t="s">
        <v>4832</v>
      </c>
      <c r="C1872" s="223" t="s">
        <v>4713</v>
      </c>
      <c r="D1872" s="223" t="s">
        <v>4833</v>
      </c>
      <c r="E1872" s="223" t="s">
        <v>8801</v>
      </c>
      <c r="F1872" s="223" t="s">
        <v>4834</v>
      </c>
      <c r="G1872" s="223" t="s">
        <v>322</v>
      </c>
    </row>
    <row r="1873" spans="2:7" ht="30" customHeight="1" thickBot="1" x14ac:dyDescent="0.3">
      <c r="B1873" s="223" t="s">
        <v>4835</v>
      </c>
      <c r="C1873" s="223" t="s">
        <v>4713</v>
      </c>
      <c r="D1873" s="223" t="s">
        <v>4836</v>
      </c>
      <c r="E1873" s="223" t="s">
        <v>8802</v>
      </c>
      <c r="F1873" s="223" t="s">
        <v>4837</v>
      </c>
      <c r="G1873" s="223" t="s">
        <v>322</v>
      </c>
    </row>
    <row r="1874" spans="2:7" ht="30" customHeight="1" thickBot="1" x14ac:dyDescent="0.3">
      <c r="B1874" s="221" t="s">
        <v>4838</v>
      </c>
      <c r="C1874" s="221" t="s">
        <v>4713</v>
      </c>
      <c r="D1874" s="221" t="s">
        <v>10081</v>
      </c>
      <c r="E1874" s="221" t="s">
        <v>7891</v>
      </c>
      <c r="F1874" s="221" t="s">
        <v>4839</v>
      </c>
      <c r="G1874" s="221" t="s">
        <v>322</v>
      </c>
    </row>
    <row r="1875" spans="2:7" ht="30" customHeight="1" thickBot="1" x14ac:dyDescent="0.3">
      <c r="B1875" s="221"/>
      <c r="C1875" s="221"/>
      <c r="D1875" s="221"/>
      <c r="E1875" s="221"/>
      <c r="F1875" s="221"/>
      <c r="G1875" s="221"/>
    </row>
    <row r="1876" spans="2:7" ht="30" customHeight="1" thickBot="1" x14ac:dyDescent="0.3">
      <c r="B1876" s="221" t="s">
        <v>4840</v>
      </c>
      <c r="C1876" s="221" t="s">
        <v>4713</v>
      </c>
      <c r="D1876" s="223" t="s">
        <v>10082</v>
      </c>
      <c r="E1876" s="221" t="s">
        <v>8803</v>
      </c>
      <c r="F1876" s="221" t="s">
        <v>4841</v>
      </c>
      <c r="G1876" s="221" t="s">
        <v>322</v>
      </c>
    </row>
    <row r="1877" spans="2:7" ht="30" customHeight="1" thickBot="1" x14ac:dyDescent="0.3">
      <c r="B1877" s="221"/>
      <c r="C1877" s="221"/>
      <c r="D1877" s="223"/>
      <c r="E1877" s="221"/>
      <c r="F1877" s="221"/>
      <c r="G1877" s="221"/>
    </row>
    <row r="1878" spans="2:7" ht="30" customHeight="1" thickBot="1" x14ac:dyDescent="0.3">
      <c r="B1878" s="221"/>
      <c r="C1878" s="221"/>
      <c r="D1878" s="223" t="s">
        <v>4842</v>
      </c>
      <c r="E1878" s="221"/>
      <c r="F1878" s="221"/>
      <c r="G1878" s="221"/>
    </row>
    <row r="1879" spans="2:7" ht="30" customHeight="1" thickBot="1" x14ac:dyDescent="0.3">
      <c r="B1879" s="223" t="s">
        <v>4843</v>
      </c>
      <c r="C1879" s="223" t="s">
        <v>4713</v>
      </c>
      <c r="D1879" s="223" t="s">
        <v>10083</v>
      </c>
      <c r="E1879" s="223" t="s">
        <v>8804</v>
      </c>
      <c r="F1879" s="223" t="s">
        <v>4844</v>
      </c>
      <c r="G1879" s="223" t="s">
        <v>322</v>
      </c>
    </row>
    <row r="1880" spans="2:7" ht="30" customHeight="1" thickBot="1" x14ac:dyDescent="0.3">
      <c r="B1880" s="223" t="s">
        <v>4845</v>
      </c>
      <c r="C1880" s="223" t="s">
        <v>4713</v>
      </c>
      <c r="D1880" s="223" t="s">
        <v>4846</v>
      </c>
      <c r="E1880" s="223" t="s">
        <v>8946</v>
      </c>
      <c r="F1880" s="223" t="s">
        <v>4847</v>
      </c>
      <c r="G1880" s="223" t="s">
        <v>8096</v>
      </c>
    </row>
    <row r="1881" spans="2:7" ht="30" customHeight="1" thickBot="1" x14ac:dyDescent="0.3">
      <c r="B1881" s="221" t="s">
        <v>4848</v>
      </c>
      <c r="C1881" s="221" t="s">
        <v>4713</v>
      </c>
      <c r="D1881" s="221" t="s">
        <v>10084</v>
      </c>
      <c r="E1881" s="221" t="s">
        <v>8805</v>
      </c>
      <c r="F1881" s="221" t="s">
        <v>4849</v>
      </c>
      <c r="G1881" s="221" t="s">
        <v>322</v>
      </c>
    </row>
    <row r="1882" spans="2:7" ht="30" customHeight="1" thickBot="1" x14ac:dyDescent="0.3">
      <c r="B1882" s="221"/>
      <c r="C1882" s="221"/>
      <c r="D1882" s="221"/>
      <c r="E1882" s="221"/>
      <c r="F1882" s="221"/>
      <c r="G1882" s="221"/>
    </row>
    <row r="1883" spans="2:7" ht="30" customHeight="1" thickBot="1" x14ac:dyDescent="0.3">
      <c r="B1883" s="221" t="s">
        <v>4850</v>
      </c>
      <c r="C1883" s="221" t="s">
        <v>4713</v>
      </c>
      <c r="D1883" s="221" t="s">
        <v>4851</v>
      </c>
      <c r="E1883" s="221" t="s">
        <v>7669</v>
      </c>
      <c r="F1883" s="221" t="s">
        <v>4852</v>
      </c>
      <c r="G1883" s="223" t="s">
        <v>84</v>
      </c>
    </row>
    <row r="1884" spans="2:7" ht="30" customHeight="1" thickBot="1" x14ac:dyDescent="0.3">
      <c r="B1884" s="221"/>
      <c r="C1884" s="221"/>
      <c r="D1884" s="221"/>
      <c r="E1884" s="221"/>
      <c r="F1884" s="221"/>
      <c r="G1884" s="223" t="s">
        <v>322</v>
      </c>
    </row>
    <row r="1885" spans="2:7" ht="30" customHeight="1" thickBot="1" x14ac:dyDescent="0.3">
      <c r="B1885" s="223" t="s">
        <v>4853</v>
      </c>
      <c r="C1885" s="223" t="s">
        <v>4713</v>
      </c>
      <c r="D1885" s="223" t="s">
        <v>4854</v>
      </c>
      <c r="E1885" s="223" t="s">
        <v>8805</v>
      </c>
      <c r="F1885" s="223" t="s">
        <v>4855</v>
      </c>
      <c r="G1885" s="223" t="s">
        <v>322</v>
      </c>
    </row>
    <row r="1886" spans="2:7" ht="30" customHeight="1" thickBot="1" x14ac:dyDescent="0.3">
      <c r="B1886" s="223" t="s">
        <v>4856</v>
      </c>
      <c r="C1886" s="223" t="s">
        <v>4713</v>
      </c>
      <c r="D1886" s="223" t="s">
        <v>4857</v>
      </c>
      <c r="E1886" s="223" t="s">
        <v>2336</v>
      </c>
      <c r="F1886" s="223" t="s">
        <v>4858</v>
      </c>
      <c r="G1886" s="223" t="s">
        <v>2890</v>
      </c>
    </row>
    <row r="1887" spans="2:7" ht="30" customHeight="1" thickBot="1" x14ac:dyDescent="0.3">
      <c r="B1887" s="221" t="s">
        <v>4859</v>
      </c>
      <c r="C1887" s="221" t="s">
        <v>4713</v>
      </c>
      <c r="D1887" s="223" t="s">
        <v>4860</v>
      </c>
      <c r="E1887" s="221" t="s">
        <v>8806</v>
      </c>
      <c r="F1887" s="221" t="s">
        <v>4861</v>
      </c>
      <c r="G1887" s="221" t="s">
        <v>322</v>
      </c>
    </row>
    <row r="1888" spans="2:7" ht="30" customHeight="1" thickBot="1" x14ac:dyDescent="0.3">
      <c r="B1888" s="221"/>
      <c r="C1888" s="221"/>
      <c r="D1888" s="223" t="s">
        <v>10085</v>
      </c>
      <c r="E1888" s="221"/>
      <c r="F1888" s="221"/>
      <c r="G1888" s="221"/>
    </row>
    <row r="1889" spans="2:7" ht="30" customHeight="1" thickBot="1" x14ac:dyDescent="0.3">
      <c r="B1889" s="221" t="s">
        <v>4862</v>
      </c>
      <c r="C1889" s="221" t="s">
        <v>4713</v>
      </c>
      <c r="D1889" s="223" t="s">
        <v>4863</v>
      </c>
      <c r="E1889" s="221" t="s">
        <v>8807</v>
      </c>
      <c r="F1889" s="221" t="s">
        <v>4864</v>
      </c>
      <c r="G1889" s="221" t="s">
        <v>322</v>
      </c>
    </row>
    <row r="1890" spans="2:7" ht="30" customHeight="1" thickBot="1" x14ac:dyDescent="0.3">
      <c r="B1890" s="221"/>
      <c r="C1890" s="221"/>
      <c r="D1890" s="225" t="s">
        <v>9149</v>
      </c>
      <c r="E1890" s="221"/>
      <c r="F1890" s="221"/>
      <c r="G1890" s="221"/>
    </row>
    <row r="1891" spans="2:7" ht="30" customHeight="1" thickBot="1" x14ac:dyDescent="0.3">
      <c r="B1891" s="221" t="s">
        <v>4865</v>
      </c>
      <c r="C1891" s="221" t="s">
        <v>4713</v>
      </c>
      <c r="D1891" s="221" t="s">
        <v>4866</v>
      </c>
      <c r="E1891" s="221" t="s">
        <v>8808</v>
      </c>
      <c r="F1891" s="221" t="s">
        <v>4867</v>
      </c>
      <c r="G1891" s="221" t="s">
        <v>322</v>
      </c>
    </row>
    <row r="1892" spans="2:7" ht="30" customHeight="1" thickBot="1" x14ac:dyDescent="0.3">
      <c r="B1892" s="221"/>
      <c r="C1892" s="221"/>
      <c r="D1892" s="221"/>
      <c r="E1892" s="221"/>
      <c r="F1892" s="221"/>
      <c r="G1892" s="221"/>
    </row>
    <row r="1893" spans="2:7" ht="30" customHeight="1" thickBot="1" x14ac:dyDescent="0.3">
      <c r="B1893" s="223" t="s">
        <v>4868</v>
      </c>
      <c r="C1893" s="223" t="s">
        <v>4713</v>
      </c>
      <c r="D1893" s="223" t="s">
        <v>4869</v>
      </c>
      <c r="E1893" s="223" t="s">
        <v>8347</v>
      </c>
      <c r="F1893" s="223" t="s">
        <v>4870</v>
      </c>
      <c r="G1893" s="223" t="s">
        <v>322</v>
      </c>
    </row>
    <row r="1894" spans="2:7" ht="30" customHeight="1" thickBot="1" x14ac:dyDescent="0.3">
      <c r="B1894" s="221" t="s">
        <v>4871</v>
      </c>
      <c r="C1894" s="221" t="s">
        <v>4713</v>
      </c>
      <c r="D1894" s="223" t="s">
        <v>2870</v>
      </c>
      <c r="E1894" s="221" t="s">
        <v>8809</v>
      </c>
      <c r="F1894" s="221" t="s">
        <v>4872</v>
      </c>
      <c r="G1894" s="221" t="s">
        <v>322</v>
      </c>
    </row>
    <row r="1895" spans="2:7" ht="30" customHeight="1" thickBot="1" x14ac:dyDescent="0.3">
      <c r="B1895" s="221"/>
      <c r="C1895" s="221"/>
      <c r="D1895" s="225" t="s">
        <v>10086</v>
      </c>
      <c r="E1895" s="221"/>
      <c r="F1895" s="221"/>
      <c r="G1895" s="221"/>
    </row>
    <row r="1896" spans="2:7" ht="30" customHeight="1" thickBot="1" x14ac:dyDescent="0.3">
      <c r="B1896" s="221"/>
      <c r="C1896" s="221"/>
      <c r="D1896" s="223" t="s">
        <v>4873</v>
      </c>
      <c r="E1896" s="221"/>
      <c r="F1896" s="221"/>
      <c r="G1896" s="221"/>
    </row>
    <row r="1897" spans="2:7" ht="30" customHeight="1" thickBot="1" x14ac:dyDescent="0.3">
      <c r="B1897" s="223" t="s">
        <v>4874</v>
      </c>
      <c r="C1897" s="223" t="s">
        <v>4713</v>
      </c>
      <c r="D1897" s="223" t="s">
        <v>4875</v>
      </c>
      <c r="E1897" s="223" t="s">
        <v>8810</v>
      </c>
      <c r="F1897" s="223" t="s">
        <v>4876</v>
      </c>
      <c r="G1897" s="223" t="s">
        <v>322</v>
      </c>
    </row>
    <row r="1898" spans="2:7" ht="30" customHeight="1" thickBot="1" x14ac:dyDescent="0.3">
      <c r="B1898" s="221" t="s">
        <v>4877</v>
      </c>
      <c r="C1898" s="221" t="s">
        <v>4713</v>
      </c>
      <c r="D1898" s="221" t="s">
        <v>10087</v>
      </c>
      <c r="E1898" s="221" t="s">
        <v>8811</v>
      </c>
      <c r="F1898" s="221" t="s">
        <v>4878</v>
      </c>
      <c r="G1898" s="221" t="s">
        <v>322</v>
      </c>
    </row>
    <row r="1899" spans="2:7" ht="30" customHeight="1" thickBot="1" x14ac:dyDescent="0.3">
      <c r="B1899" s="221"/>
      <c r="C1899" s="221"/>
      <c r="D1899" s="221"/>
      <c r="E1899" s="221"/>
      <c r="F1899" s="221"/>
      <c r="G1899" s="221"/>
    </row>
    <row r="1900" spans="2:7" ht="30" customHeight="1" thickBot="1" x14ac:dyDescent="0.3">
      <c r="B1900" s="221" t="s">
        <v>4879</v>
      </c>
      <c r="C1900" s="221" t="s">
        <v>4713</v>
      </c>
      <c r="D1900" s="223" t="s">
        <v>10088</v>
      </c>
      <c r="E1900" s="221" t="s">
        <v>8521</v>
      </c>
      <c r="F1900" s="221" t="s">
        <v>4880</v>
      </c>
      <c r="G1900" s="221" t="s">
        <v>322</v>
      </c>
    </row>
    <row r="1901" spans="2:7" ht="30" customHeight="1" thickBot="1" x14ac:dyDescent="0.3">
      <c r="B1901" s="221"/>
      <c r="C1901" s="221"/>
      <c r="D1901" s="223"/>
      <c r="E1901" s="221"/>
      <c r="F1901" s="221"/>
      <c r="G1901" s="221"/>
    </row>
    <row r="1902" spans="2:7" ht="30" customHeight="1" thickBot="1" x14ac:dyDescent="0.3">
      <c r="B1902" s="221"/>
      <c r="C1902" s="221"/>
      <c r="D1902" s="223" t="s">
        <v>10089</v>
      </c>
      <c r="E1902" s="221"/>
      <c r="F1902" s="221"/>
      <c r="G1902" s="221"/>
    </row>
    <row r="1903" spans="2:7" ht="30" customHeight="1" thickBot="1" x14ac:dyDescent="0.3">
      <c r="B1903" s="221"/>
      <c r="C1903" s="221"/>
      <c r="D1903" s="223" t="s">
        <v>4881</v>
      </c>
      <c r="E1903" s="221"/>
      <c r="F1903" s="221"/>
      <c r="G1903" s="221"/>
    </row>
    <row r="1904" spans="2:7" ht="30" customHeight="1" thickBot="1" x14ac:dyDescent="0.3">
      <c r="B1904" s="223" t="s">
        <v>4882</v>
      </c>
      <c r="C1904" s="223" t="s">
        <v>4713</v>
      </c>
      <c r="D1904" s="223" t="s">
        <v>9150</v>
      </c>
      <c r="E1904" s="223" t="s">
        <v>8812</v>
      </c>
      <c r="F1904" s="223" t="s">
        <v>4883</v>
      </c>
      <c r="G1904" s="223" t="s">
        <v>322</v>
      </c>
    </row>
    <row r="1905" spans="2:7" ht="30" customHeight="1" thickBot="1" x14ac:dyDescent="0.3">
      <c r="B1905" s="221" t="s">
        <v>4884</v>
      </c>
      <c r="C1905" s="221" t="s">
        <v>4713</v>
      </c>
      <c r="D1905" s="223" t="s">
        <v>4885</v>
      </c>
      <c r="E1905" s="221" t="s">
        <v>8813</v>
      </c>
      <c r="F1905" s="221" t="s">
        <v>4886</v>
      </c>
      <c r="G1905" s="221" t="s">
        <v>322</v>
      </c>
    </row>
    <row r="1906" spans="2:7" ht="30" customHeight="1" thickBot="1" x14ac:dyDescent="0.3">
      <c r="B1906" s="221"/>
      <c r="C1906" s="221"/>
      <c r="D1906" s="223" t="s">
        <v>4887</v>
      </c>
      <c r="E1906" s="221"/>
      <c r="F1906" s="221"/>
      <c r="G1906" s="221"/>
    </row>
    <row r="1907" spans="2:7" ht="30" customHeight="1" thickBot="1" x14ac:dyDescent="0.3">
      <c r="B1907" s="221" t="s">
        <v>4888</v>
      </c>
      <c r="C1907" s="221" t="s">
        <v>4713</v>
      </c>
      <c r="D1907" s="221" t="s">
        <v>4889</v>
      </c>
      <c r="E1907" s="221" t="s">
        <v>8814</v>
      </c>
      <c r="F1907" s="221" t="s">
        <v>4890</v>
      </c>
      <c r="G1907" s="221" t="s">
        <v>322</v>
      </c>
    </row>
    <row r="1908" spans="2:7" ht="30" customHeight="1" thickBot="1" x14ac:dyDescent="0.3">
      <c r="B1908" s="221"/>
      <c r="C1908" s="221"/>
      <c r="D1908" s="221"/>
      <c r="E1908" s="221"/>
      <c r="F1908" s="221"/>
      <c r="G1908" s="221"/>
    </row>
    <row r="1909" spans="2:7" ht="30" customHeight="1" thickBot="1" x14ac:dyDescent="0.3">
      <c r="B1909" s="221" t="s">
        <v>4891</v>
      </c>
      <c r="C1909" s="221" t="s">
        <v>4713</v>
      </c>
      <c r="D1909" s="223" t="s">
        <v>4892</v>
      </c>
      <c r="E1909" s="221" t="s">
        <v>8815</v>
      </c>
      <c r="F1909" s="221" t="s">
        <v>4893</v>
      </c>
      <c r="G1909" s="221" t="s">
        <v>322</v>
      </c>
    </row>
    <row r="1910" spans="2:7" ht="30" customHeight="1" thickBot="1" x14ac:dyDescent="0.3">
      <c r="B1910" s="221"/>
      <c r="C1910" s="221"/>
      <c r="D1910" s="223" t="s">
        <v>10090</v>
      </c>
      <c r="E1910" s="221"/>
      <c r="F1910" s="221"/>
      <c r="G1910" s="221"/>
    </row>
    <row r="1911" spans="2:7" ht="30" customHeight="1" thickBot="1" x14ac:dyDescent="0.3">
      <c r="B1911" s="223" t="s">
        <v>4894</v>
      </c>
      <c r="C1911" s="223" t="s">
        <v>4713</v>
      </c>
      <c r="D1911" s="223" t="s">
        <v>4895</v>
      </c>
      <c r="E1911" s="223" t="s">
        <v>8815</v>
      </c>
      <c r="F1911" s="223" t="s">
        <v>4896</v>
      </c>
      <c r="G1911" s="223" t="s">
        <v>322</v>
      </c>
    </row>
    <row r="1912" spans="2:7" ht="30" customHeight="1" thickBot="1" x14ac:dyDescent="0.3">
      <c r="B1912" s="221" t="s">
        <v>4897</v>
      </c>
      <c r="C1912" s="221" t="s">
        <v>4713</v>
      </c>
      <c r="D1912" s="221" t="s">
        <v>4898</v>
      </c>
      <c r="E1912" s="221" t="s">
        <v>7994</v>
      </c>
      <c r="F1912" s="221" t="s">
        <v>4899</v>
      </c>
      <c r="G1912" s="221" t="s">
        <v>322</v>
      </c>
    </row>
    <row r="1913" spans="2:7" ht="30" customHeight="1" thickBot="1" x14ac:dyDescent="0.3">
      <c r="B1913" s="221"/>
      <c r="C1913" s="221"/>
      <c r="D1913" s="221"/>
      <c r="E1913" s="221"/>
      <c r="F1913" s="221"/>
      <c r="G1913" s="221"/>
    </row>
    <row r="1914" spans="2:7" ht="30" customHeight="1" thickBot="1" x14ac:dyDescent="0.3">
      <c r="B1914" s="221"/>
      <c r="C1914" s="221"/>
      <c r="D1914" s="221"/>
      <c r="E1914" s="221"/>
      <c r="F1914" s="221"/>
      <c r="G1914" s="221"/>
    </row>
    <row r="1915" spans="2:7" ht="30" customHeight="1" thickBot="1" x14ac:dyDescent="0.3">
      <c r="B1915" s="221"/>
      <c r="C1915" s="221"/>
      <c r="D1915" s="221"/>
      <c r="E1915" s="221"/>
      <c r="F1915" s="221"/>
      <c r="G1915" s="221"/>
    </row>
    <row r="1916" spans="2:7" ht="30" customHeight="1" thickBot="1" x14ac:dyDescent="0.3">
      <c r="B1916" s="223" t="s">
        <v>4900</v>
      </c>
      <c r="C1916" s="223" t="s">
        <v>4713</v>
      </c>
      <c r="D1916" s="223" t="s">
        <v>10091</v>
      </c>
      <c r="E1916" s="223" t="s">
        <v>8688</v>
      </c>
      <c r="F1916" s="223" t="s">
        <v>4901</v>
      </c>
      <c r="G1916" s="223" t="s">
        <v>322</v>
      </c>
    </row>
    <row r="1917" spans="2:7" ht="30" customHeight="1" thickBot="1" x14ac:dyDescent="0.3">
      <c r="B1917" s="223" t="s">
        <v>4902</v>
      </c>
      <c r="C1917" s="223" t="s">
        <v>4713</v>
      </c>
      <c r="D1917" s="223" t="s">
        <v>4903</v>
      </c>
      <c r="E1917" s="223" t="s">
        <v>648</v>
      </c>
      <c r="F1917" s="223" t="s">
        <v>4904</v>
      </c>
      <c r="G1917" s="223" t="s">
        <v>74</v>
      </c>
    </row>
    <row r="1918" spans="2:7" ht="30" customHeight="1" thickBot="1" x14ac:dyDescent="0.3">
      <c r="B1918" s="221" t="s">
        <v>4905</v>
      </c>
      <c r="C1918" s="221" t="s">
        <v>4713</v>
      </c>
      <c r="D1918" s="223" t="s">
        <v>4906</v>
      </c>
      <c r="E1918" s="221" t="s">
        <v>7075</v>
      </c>
      <c r="F1918" s="221" t="s">
        <v>4907</v>
      </c>
      <c r="G1918" s="223" t="s">
        <v>84</v>
      </c>
    </row>
    <row r="1919" spans="2:7" ht="30" customHeight="1" thickBot="1" x14ac:dyDescent="0.3">
      <c r="B1919" s="221"/>
      <c r="C1919" s="221"/>
      <c r="D1919" s="225" t="s">
        <v>4908</v>
      </c>
      <c r="E1919" s="221"/>
      <c r="F1919" s="221"/>
      <c r="G1919" s="223" t="s">
        <v>322</v>
      </c>
    </row>
    <row r="1920" spans="2:7" ht="30" customHeight="1" thickBot="1" x14ac:dyDescent="0.3">
      <c r="B1920" s="221"/>
      <c r="C1920" s="221"/>
      <c r="D1920" s="223" t="s">
        <v>4909</v>
      </c>
      <c r="E1920" s="221"/>
      <c r="F1920" s="221"/>
      <c r="G1920" s="223"/>
    </row>
    <row r="1921" spans="2:7" ht="30" customHeight="1" thickBot="1" x14ac:dyDescent="0.3">
      <c r="B1921" s="221"/>
      <c r="C1921" s="221"/>
      <c r="D1921" s="223" t="s">
        <v>4910</v>
      </c>
      <c r="E1921" s="221"/>
      <c r="F1921" s="221"/>
      <c r="G1921" s="223"/>
    </row>
    <row r="1922" spans="2:7" ht="30" customHeight="1" thickBot="1" x14ac:dyDescent="0.3">
      <c r="B1922" s="221"/>
      <c r="C1922" s="221"/>
      <c r="D1922" s="223"/>
      <c r="E1922" s="221"/>
      <c r="F1922" s="221"/>
      <c r="G1922" s="223"/>
    </row>
    <row r="1923" spans="2:7" ht="30" customHeight="1" thickBot="1" x14ac:dyDescent="0.3">
      <c r="B1923" s="221" t="s">
        <v>4911</v>
      </c>
      <c r="C1923" s="221" t="s">
        <v>4713</v>
      </c>
      <c r="D1923" s="221" t="s">
        <v>4912</v>
      </c>
      <c r="E1923" s="221" t="s">
        <v>7076</v>
      </c>
      <c r="F1923" s="221" t="s">
        <v>4913</v>
      </c>
      <c r="G1923" s="223" t="s">
        <v>84</v>
      </c>
    </row>
    <row r="1924" spans="2:7" ht="30" customHeight="1" thickBot="1" x14ac:dyDescent="0.3">
      <c r="B1924" s="221"/>
      <c r="C1924" s="221"/>
      <c r="D1924" s="221"/>
      <c r="E1924" s="221"/>
      <c r="F1924" s="221"/>
      <c r="G1924" s="223" t="s">
        <v>322</v>
      </c>
    </row>
    <row r="1925" spans="2:7" ht="82.5" customHeight="1" thickBot="1" x14ac:dyDescent="0.3">
      <c r="B1925" s="221" t="s">
        <v>4914</v>
      </c>
      <c r="C1925" s="221" t="s">
        <v>4713</v>
      </c>
      <c r="D1925" s="223" t="s">
        <v>4915</v>
      </c>
      <c r="E1925" s="221" t="s">
        <v>9221</v>
      </c>
      <c r="F1925" s="221" t="s">
        <v>4916</v>
      </c>
      <c r="G1925" s="221" t="s">
        <v>322</v>
      </c>
    </row>
    <row r="1926" spans="2:7" ht="82.5" customHeight="1" thickBot="1" x14ac:dyDescent="0.3">
      <c r="B1926" s="221"/>
      <c r="C1926" s="221"/>
      <c r="D1926" s="223" t="s">
        <v>4917</v>
      </c>
      <c r="E1926" s="221"/>
      <c r="F1926" s="221"/>
      <c r="G1926" s="221"/>
    </row>
    <row r="1927" spans="2:7" ht="30" customHeight="1" thickBot="1" x14ac:dyDescent="0.3">
      <c r="B1927" s="221" t="s">
        <v>4918</v>
      </c>
      <c r="C1927" s="221" t="s">
        <v>4713</v>
      </c>
      <c r="D1927" s="221" t="s">
        <v>4919</v>
      </c>
      <c r="E1927" s="221" t="s">
        <v>8551</v>
      </c>
      <c r="F1927" s="221" t="s">
        <v>4920</v>
      </c>
      <c r="G1927" s="221" t="s">
        <v>84</v>
      </c>
    </row>
    <row r="1928" spans="2:7" ht="30" customHeight="1" thickBot="1" x14ac:dyDescent="0.3">
      <c r="B1928" s="221"/>
      <c r="C1928" s="221"/>
      <c r="D1928" s="221"/>
      <c r="E1928" s="221"/>
      <c r="F1928" s="221"/>
      <c r="G1928" s="221"/>
    </row>
    <row r="1929" spans="2:7" ht="30" customHeight="1" thickBot="1" x14ac:dyDescent="0.3">
      <c r="B1929" s="223" t="s">
        <v>4921</v>
      </c>
      <c r="C1929" s="223" t="s">
        <v>4713</v>
      </c>
      <c r="D1929" s="223" t="s">
        <v>4922</v>
      </c>
      <c r="E1929" s="223" t="s">
        <v>8252</v>
      </c>
      <c r="F1929" s="223" t="s">
        <v>4923</v>
      </c>
      <c r="G1929" s="223" t="s">
        <v>565</v>
      </c>
    </row>
    <row r="1930" spans="2:7" ht="30" customHeight="1" thickBot="1" x14ac:dyDescent="0.3">
      <c r="B1930" s="221" t="s">
        <v>4924</v>
      </c>
      <c r="C1930" s="221" t="s">
        <v>4713</v>
      </c>
      <c r="D1930" s="223" t="s">
        <v>9878</v>
      </c>
      <c r="E1930" s="221" t="s">
        <v>8960</v>
      </c>
      <c r="F1930" s="221" t="s">
        <v>4925</v>
      </c>
      <c r="G1930" s="223"/>
    </row>
    <row r="1931" spans="2:7" ht="30" customHeight="1" thickBot="1" x14ac:dyDescent="0.3">
      <c r="B1931" s="221"/>
      <c r="C1931" s="221"/>
      <c r="D1931" s="223"/>
      <c r="E1931" s="221"/>
      <c r="F1931" s="221"/>
      <c r="G1931" s="223" t="s">
        <v>322</v>
      </c>
    </row>
    <row r="1932" spans="2:7" ht="30" customHeight="1" thickBot="1" x14ac:dyDescent="0.3">
      <c r="B1932" s="221"/>
      <c r="C1932" s="221"/>
      <c r="D1932" s="223" t="s">
        <v>4926</v>
      </c>
      <c r="E1932" s="221"/>
      <c r="F1932" s="221"/>
      <c r="G1932" s="223"/>
    </row>
    <row r="1933" spans="2:7" ht="30" customHeight="1" thickBot="1" x14ac:dyDescent="0.3">
      <c r="B1933" s="221" t="s">
        <v>4927</v>
      </c>
      <c r="C1933" s="221" t="s">
        <v>4713</v>
      </c>
      <c r="D1933" s="221" t="s">
        <v>4928</v>
      </c>
      <c r="E1933" s="221" t="s">
        <v>4929</v>
      </c>
      <c r="F1933" s="221" t="s">
        <v>4930</v>
      </c>
      <c r="G1933" s="221" t="s">
        <v>322</v>
      </c>
    </row>
    <row r="1934" spans="2:7" ht="30" customHeight="1" thickBot="1" x14ac:dyDescent="0.3">
      <c r="B1934" s="221"/>
      <c r="C1934" s="221"/>
      <c r="D1934" s="221"/>
      <c r="E1934" s="221"/>
      <c r="F1934" s="221"/>
      <c r="G1934" s="221"/>
    </row>
    <row r="1935" spans="2:7" ht="30" customHeight="1" thickBot="1" x14ac:dyDescent="0.3">
      <c r="B1935" s="221" t="s">
        <v>4931</v>
      </c>
      <c r="C1935" s="221" t="s">
        <v>4713</v>
      </c>
      <c r="D1935" s="223" t="s">
        <v>4932</v>
      </c>
      <c r="E1935" s="221" t="s">
        <v>8816</v>
      </c>
      <c r="F1935" s="221" t="s">
        <v>4933</v>
      </c>
      <c r="G1935" s="221" t="s">
        <v>322</v>
      </c>
    </row>
    <row r="1936" spans="2:7" ht="30" customHeight="1" thickBot="1" x14ac:dyDescent="0.3">
      <c r="B1936" s="221"/>
      <c r="C1936" s="221"/>
      <c r="D1936" s="223"/>
      <c r="E1936" s="221"/>
      <c r="F1936" s="221"/>
      <c r="G1936" s="221"/>
    </row>
    <row r="1937" spans="2:7" ht="30" customHeight="1" thickBot="1" x14ac:dyDescent="0.3">
      <c r="B1937" s="221"/>
      <c r="C1937" s="221"/>
      <c r="D1937" s="223" t="s">
        <v>9151</v>
      </c>
      <c r="E1937" s="221"/>
      <c r="F1937" s="221"/>
      <c r="G1937" s="221"/>
    </row>
    <row r="1938" spans="2:7" ht="30" customHeight="1" thickBot="1" x14ac:dyDescent="0.3">
      <c r="B1938" s="221" t="s">
        <v>4934</v>
      </c>
      <c r="C1938" s="221" t="s">
        <v>4713</v>
      </c>
      <c r="D1938" s="223" t="s">
        <v>4935</v>
      </c>
      <c r="E1938" s="221" t="s">
        <v>4936</v>
      </c>
      <c r="F1938" s="221" t="s">
        <v>3104</v>
      </c>
      <c r="G1938" s="223" t="s">
        <v>565</v>
      </c>
    </row>
    <row r="1939" spans="2:7" ht="30" customHeight="1" thickBot="1" x14ac:dyDescent="0.3">
      <c r="B1939" s="221"/>
      <c r="C1939" s="221"/>
      <c r="D1939" s="223" t="s">
        <v>4937</v>
      </c>
      <c r="E1939" s="221"/>
      <c r="F1939" s="221"/>
      <c r="G1939" s="223" t="s">
        <v>4938</v>
      </c>
    </row>
    <row r="1940" spans="2:7" ht="30" customHeight="1" thickBot="1" x14ac:dyDescent="0.3">
      <c r="B1940" s="221" t="s">
        <v>4939</v>
      </c>
      <c r="C1940" s="221" t="s">
        <v>4713</v>
      </c>
      <c r="D1940" s="221" t="s">
        <v>4940</v>
      </c>
      <c r="E1940" s="221" t="s">
        <v>8236</v>
      </c>
      <c r="F1940" s="221" t="s">
        <v>4941</v>
      </c>
      <c r="G1940" s="223" t="s">
        <v>565</v>
      </c>
    </row>
    <row r="1941" spans="2:7" ht="30" customHeight="1" thickBot="1" x14ac:dyDescent="0.3">
      <c r="B1941" s="221"/>
      <c r="C1941" s="221"/>
      <c r="D1941" s="221"/>
      <c r="E1941" s="221"/>
      <c r="F1941" s="221"/>
      <c r="G1941" s="223" t="s">
        <v>322</v>
      </c>
    </row>
    <row r="1942" spans="2:7" ht="30" customHeight="1" thickBot="1" x14ac:dyDescent="0.3">
      <c r="B1942" s="221" t="s">
        <v>4942</v>
      </c>
      <c r="C1942" s="221" t="s">
        <v>4713</v>
      </c>
      <c r="D1942" s="221" t="s">
        <v>4943</v>
      </c>
      <c r="E1942" s="221" t="s">
        <v>7097</v>
      </c>
      <c r="F1942" s="221" t="s">
        <v>4944</v>
      </c>
      <c r="G1942" s="223" t="s">
        <v>565</v>
      </c>
    </row>
    <row r="1943" spans="2:7" ht="30" customHeight="1" thickBot="1" x14ac:dyDescent="0.3">
      <c r="B1943" s="221"/>
      <c r="C1943" s="221"/>
      <c r="D1943" s="221"/>
      <c r="E1943" s="221"/>
      <c r="F1943" s="221"/>
      <c r="G1943" s="223" t="s">
        <v>322</v>
      </c>
    </row>
    <row r="1944" spans="2:7" ht="30" customHeight="1" thickBot="1" x14ac:dyDescent="0.3">
      <c r="B1944" s="221" t="s">
        <v>4945</v>
      </c>
      <c r="C1944" s="221" t="s">
        <v>4713</v>
      </c>
      <c r="D1944" s="223" t="s">
        <v>4946</v>
      </c>
      <c r="E1944" s="221" t="s">
        <v>4947</v>
      </c>
      <c r="F1944" s="223" t="s">
        <v>742</v>
      </c>
      <c r="G1944" s="221" t="s">
        <v>565</v>
      </c>
    </row>
    <row r="1945" spans="2:7" ht="30" customHeight="1" thickBot="1" x14ac:dyDescent="0.3">
      <c r="B1945" s="221"/>
      <c r="C1945" s="221"/>
      <c r="D1945" s="223" t="s">
        <v>4948</v>
      </c>
      <c r="E1945" s="221"/>
      <c r="F1945" s="223" t="s">
        <v>4949</v>
      </c>
      <c r="G1945" s="221"/>
    </row>
    <row r="1946" spans="2:7" ht="30" customHeight="1" thickBot="1" x14ac:dyDescent="0.3">
      <c r="B1946" s="221"/>
      <c r="C1946" s="221"/>
      <c r="D1946" s="223" t="s">
        <v>4950</v>
      </c>
      <c r="E1946" s="221"/>
      <c r="F1946" s="223"/>
      <c r="G1946" s="221"/>
    </row>
    <row r="1947" spans="2:7" ht="30" customHeight="1" thickBot="1" x14ac:dyDescent="0.3">
      <c r="B1947" s="221"/>
      <c r="C1947" s="221"/>
      <c r="D1947" s="223" t="s">
        <v>4948</v>
      </c>
      <c r="E1947" s="221"/>
      <c r="F1947" s="223"/>
      <c r="G1947" s="221"/>
    </row>
    <row r="1948" spans="2:7" ht="30" customHeight="1" thickBot="1" x14ac:dyDescent="0.3">
      <c r="B1948" s="221"/>
      <c r="C1948" s="221"/>
      <c r="D1948" s="223"/>
      <c r="E1948" s="221"/>
      <c r="F1948" s="223"/>
      <c r="G1948" s="221"/>
    </row>
    <row r="1949" spans="2:7" ht="30" customHeight="1" thickBot="1" x14ac:dyDescent="0.3">
      <c r="B1949" s="221"/>
      <c r="C1949" s="221"/>
      <c r="D1949" s="223" t="s">
        <v>4951</v>
      </c>
      <c r="E1949" s="221"/>
      <c r="F1949" s="223"/>
      <c r="G1949" s="221"/>
    </row>
    <row r="1950" spans="2:7" ht="30" customHeight="1" thickBot="1" x14ac:dyDescent="0.3">
      <c r="B1950" s="221" t="s">
        <v>4952</v>
      </c>
      <c r="C1950" s="221" t="s">
        <v>4713</v>
      </c>
      <c r="D1950" s="223" t="s">
        <v>4953</v>
      </c>
      <c r="E1950" s="221" t="s">
        <v>4954</v>
      </c>
      <c r="F1950" s="223" t="s">
        <v>4955</v>
      </c>
      <c r="G1950" s="221" t="s">
        <v>565</v>
      </c>
    </row>
    <row r="1951" spans="2:7" ht="30" customHeight="1" thickBot="1" x14ac:dyDescent="0.3">
      <c r="B1951" s="221"/>
      <c r="C1951" s="221"/>
      <c r="D1951" s="223" t="s">
        <v>4956</v>
      </c>
      <c r="E1951" s="221"/>
      <c r="F1951" s="223" t="s">
        <v>4957</v>
      </c>
      <c r="G1951" s="221"/>
    </row>
    <row r="1952" spans="2:7" ht="30" customHeight="1" thickBot="1" x14ac:dyDescent="0.3">
      <c r="B1952" s="221"/>
      <c r="C1952" s="221"/>
      <c r="D1952" s="223" t="s">
        <v>4958</v>
      </c>
      <c r="E1952" s="221"/>
      <c r="F1952" s="223"/>
      <c r="G1952" s="221"/>
    </row>
    <row r="1953" spans="2:7" ht="30" customHeight="1" thickBot="1" x14ac:dyDescent="0.3">
      <c r="B1953" s="221"/>
      <c r="C1953" s="221"/>
      <c r="D1953" s="223" t="s">
        <v>4959</v>
      </c>
      <c r="E1953" s="221"/>
      <c r="F1953" s="223"/>
      <c r="G1953" s="221"/>
    </row>
    <row r="1954" spans="2:7" ht="30" customHeight="1" thickBot="1" x14ac:dyDescent="0.3">
      <c r="B1954" s="221" t="s">
        <v>4960</v>
      </c>
      <c r="C1954" s="221" t="s">
        <v>4713</v>
      </c>
      <c r="D1954" s="223" t="s">
        <v>4961</v>
      </c>
      <c r="E1954" s="221" t="s">
        <v>6028</v>
      </c>
      <c r="F1954" s="223" t="s">
        <v>4955</v>
      </c>
      <c r="G1954" s="221" t="s">
        <v>565</v>
      </c>
    </row>
    <row r="1955" spans="2:7" ht="30" customHeight="1" thickBot="1" x14ac:dyDescent="0.3">
      <c r="B1955" s="221"/>
      <c r="C1955" s="221"/>
      <c r="D1955" s="223" t="s">
        <v>4962</v>
      </c>
      <c r="E1955" s="221"/>
      <c r="F1955" s="223" t="s">
        <v>4963</v>
      </c>
      <c r="G1955" s="221"/>
    </row>
    <row r="1956" spans="2:7" ht="30" customHeight="1" thickBot="1" x14ac:dyDescent="0.3">
      <c r="B1956" s="221" t="s">
        <v>4964</v>
      </c>
      <c r="C1956" s="221" t="s">
        <v>4713</v>
      </c>
      <c r="D1956" s="223" t="s">
        <v>4965</v>
      </c>
      <c r="E1956" s="221" t="s">
        <v>4966</v>
      </c>
      <c r="F1956" s="223" t="s">
        <v>4955</v>
      </c>
      <c r="G1956" s="221" t="s">
        <v>565</v>
      </c>
    </row>
    <row r="1957" spans="2:7" ht="30" customHeight="1" thickBot="1" x14ac:dyDescent="0.3">
      <c r="B1957" s="221"/>
      <c r="C1957" s="221"/>
      <c r="D1957" s="223" t="s">
        <v>4962</v>
      </c>
      <c r="E1957" s="221"/>
      <c r="F1957" s="223" t="s">
        <v>4963</v>
      </c>
      <c r="G1957" s="221"/>
    </row>
    <row r="1958" spans="2:7" ht="30" customHeight="1" thickBot="1" x14ac:dyDescent="0.3">
      <c r="B1958" s="221" t="s">
        <v>4967</v>
      </c>
      <c r="C1958" s="221" t="s">
        <v>4713</v>
      </c>
      <c r="D1958" s="223" t="s">
        <v>10092</v>
      </c>
      <c r="E1958" s="221" t="s">
        <v>4968</v>
      </c>
      <c r="F1958" s="223" t="s">
        <v>4969</v>
      </c>
      <c r="G1958" s="221" t="s">
        <v>565</v>
      </c>
    </row>
    <row r="1959" spans="2:7" ht="30" customHeight="1" thickBot="1" x14ac:dyDescent="0.3">
      <c r="B1959" s="221"/>
      <c r="C1959" s="221"/>
      <c r="D1959" s="223" t="s">
        <v>4970</v>
      </c>
      <c r="E1959" s="221"/>
      <c r="F1959" s="223" t="s">
        <v>4971</v>
      </c>
      <c r="G1959" s="221"/>
    </row>
    <row r="1960" spans="2:7" ht="30" customHeight="1" thickBot="1" x14ac:dyDescent="0.3">
      <c r="B1960" s="221"/>
      <c r="C1960" s="221"/>
      <c r="D1960" s="223"/>
      <c r="E1960" s="221"/>
      <c r="F1960" s="223"/>
      <c r="G1960" s="221"/>
    </row>
    <row r="1961" spans="2:7" ht="30" customHeight="1" thickBot="1" x14ac:dyDescent="0.3">
      <c r="B1961" s="221" t="s">
        <v>4972</v>
      </c>
      <c r="C1961" s="221" t="s">
        <v>4713</v>
      </c>
      <c r="D1961" s="223" t="s">
        <v>4973</v>
      </c>
      <c r="E1961" s="221" t="s">
        <v>4974</v>
      </c>
      <c r="F1961" s="223" t="s">
        <v>4955</v>
      </c>
      <c r="G1961" s="221" t="s">
        <v>565</v>
      </c>
    </row>
    <row r="1962" spans="2:7" ht="30" customHeight="1" thickBot="1" x14ac:dyDescent="0.3">
      <c r="B1962" s="221"/>
      <c r="C1962" s="221"/>
      <c r="D1962" s="223" t="s">
        <v>4975</v>
      </c>
      <c r="E1962" s="221"/>
      <c r="F1962" s="223" t="s">
        <v>4976</v>
      </c>
      <c r="G1962" s="221"/>
    </row>
    <row r="1963" spans="2:7" ht="30" customHeight="1" thickBot="1" x14ac:dyDescent="0.3">
      <c r="B1963" s="221"/>
      <c r="C1963" s="221"/>
      <c r="D1963" s="223"/>
      <c r="E1963" s="221"/>
      <c r="F1963" s="223" t="s">
        <v>4977</v>
      </c>
      <c r="G1963" s="221"/>
    </row>
    <row r="1964" spans="2:7" ht="30" customHeight="1" thickBot="1" x14ac:dyDescent="0.3">
      <c r="B1964" s="221" t="s">
        <v>4978</v>
      </c>
      <c r="C1964" s="221" t="s">
        <v>4713</v>
      </c>
      <c r="D1964" s="221" t="s">
        <v>4979</v>
      </c>
      <c r="E1964" s="221" t="s">
        <v>8244</v>
      </c>
      <c r="F1964" s="223" t="s">
        <v>4955</v>
      </c>
      <c r="G1964" s="221" t="s">
        <v>565</v>
      </c>
    </row>
    <row r="1965" spans="2:7" ht="30" customHeight="1" thickBot="1" x14ac:dyDescent="0.3">
      <c r="B1965" s="221"/>
      <c r="C1965" s="221"/>
      <c r="D1965" s="221"/>
      <c r="E1965" s="221"/>
      <c r="F1965" s="223" t="s">
        <v>4980</v>
      </c>
      <c r="G1965" s="221"/>
    </row>
    <row r="1966" spans="2:7" ht="102" customHeight="1" thickBot="1" x14ac:dyDescent="0.3">
      <c r="B1966" s="221" t="s">
        <v>4981</v>
      </c>
      <c r="C1966" s="221" t="s">
        <v>4713</v>
      </c>
      <c r="D1966" s="221" t="s">
        <v>10093</v>
      </c>
      <c r="E1966" s="221" t="s">
        <v>9195</v>
      </c>
      <c r="F1966" s="223" t="s">
        <v>4955</v>
      </c>
      <c r="G1966" s="221" t="s">
        <v>565</v>
      </c>
    </row>
    <row r="1967" spans="2:7" ht="30" customHeight="1" thickBot="1" x14ac:dyDescent="0.3">
      <c r="B1967" s="221"/>
      <c r="C1967" s="221"/>
      <c r="D1967" s="221"/>
      <c r="E1967" s="221"/>
      <c r="F1967" s="223" t="s">
        <v>4982</v>
      </c>
      <c r="G1967" s="221"/>
    </row>
    <row r="1968" spans="2:7" ht="30" customHeight="1" thickBot="1" x14ac:dyDescent="0.3">
      <c r="B1968" s="221" t="s">
        <v>4983</v>
      </c>
      <c r="C1968" s="221" t="s">
        <v>4713</v>
      </c>
      <c r="D1968" s="221" t="s">
        <v>10094</v>
      </c>
      <c r="E1968" s="221" t="s">
        <v>4984</v>
      </c>
      <c r="F1968" s="223" t="s">
        <v>4985</v>
      </c>
      <c r="G1968" s="221" t="s">
        <v>565</v>
      </c>
    </row>
    <row r="1969" spans="2:7" ht="30" customHeight="1" thickBot="1" x14ac:dyDescent="0.3">
      <c r="B1969" s="221"/>
      <c r="C1969" s="221"/>
      <c r="D1969" s="221"/>
      <c r="E1969" s="221"/>
      <c r="F1969" s="223" t="s">
        <v>4982</v>
      </c>
      <c r="G1969" s="221"/>
    </row>
    <row r="1970" spans="2:7" ht="30" customHeight="1" thickBot="1" x14ac:dyDescent="0.3">
      <c r="B1970" s="221" t="s">
        <v>4986</v>
      </c>
      <c r="C1970" s="221" t="s">
        <v>4713</v>
      </c>
      <c r="D1970" s="221" t="s">
        <v>4987</v>
      </c>
      <c r="E1970" s="221" t="s">
        <v>4988</v>
      </c>
      <c r="F1970" s="223" t="s">
        <v>4955</v>
      </c>
      <c r="G1970" s="221" t="s">
        <v>565</v>
      </c>
    </row>
    <row r="1971" spans="2:7" ht="30" customHeight="1" thickBot="1" x14ac:dyDescent="0.3">
      <c r="B1971" s="221"/>
      <c r="C1971" s="221"/>
      <c r="D1971" s="221"/>
      <c r="E1971" s="221"/>
      <c r="F1971" s="223" t="s">
        <v>4989</v>
      </c>
      <c r="G1971" s="221"/>
    </row>
    <row r="1972" spans="2:7" ht="30" customHeight="1" thickBot="1" x14ac:dyDescent="0.3">
      <c r="B1972" s="221"/>
      <c r="C1972" s="221"/>
      <c r="D1972" s="221"/>
      <c r="E1972" s="221"/>
      <c r="F1972" s="223" t="s">
        <v>220</v>
      </c>
      <c r="G1972" s="221"/>
    </row>
    <row r="1973" spans="2:7" ht="30" customHeight="1" thickBot="1" x14ac:dyDescent="0.3">
      <c r="B1973" s="221"/>
      <c r="C1973" s="221"/>
      <c r="D1973" s="221"/>
      <c r="E1973" s="221"/>
      <c r="F1973" s="223" t="s">
        <v>4990</v>
      </c>
      <c r="G1973" s="221"/>
    </row>
    <row r="1974" spans="2:7" ht="30" customHeight="1" thickBot="1" x14ac:dyDescent="0.3">
      <c r="B1974" s="221" t="s">
        <v>4991</v>
      </c>
      <c r="C1974" s="221" t="s">
        <v>4713</v>
      </c>
      <c r="D1974" s="223" t="s">
        <v>4992</v>
      </c>
      <c r="E1974" s="221" t="s">
        <v>7338</v>
      </c>
      <c r="F1974" s="223" t="s">
        <v>4955</v>
      </c>
      <c r="G1974" s="221" t="s">
        <v>565</v>
      </c>
    </row>
    <row r="1975" spans="2:7" ht="30" customHeight="1" thickBot="1" x14ac:dyDescent="0.3">
      <c r="B1975" s="221"/>
      <c r="C1975" s="221"/>
      <c r="D1975" s="223" t="s">
        <v>4993</v>
      </c>
      <c r="E1975" s="221"/>
      <c r="F1975" s="223" t="s">
        <v>4949</v>
      </c>
      <c r="G1975" s="221"/>
    </row>
    <row r="1976" spans="2:7" ht="30" customHeight="1" thickBot="1" x14ac:dyDescent="0.3">
      <c r="B1976" s="221" t="s">
        <v>4994</v>
      </c>
      <c r="C1976" s="221" t="s">
        <v>4713</v>
      </c>
      <c r="D1976" s="223" t="s">
        <v>4995</v>
      </c>
      <c r="E1976" s="221" t="s">
        <v>7098</v>
      </c>
      <c r="F1976" s="223" t="s">
        <v>4955</v>
      </c>
      <c r="G1976" s="221" t="s">
        <v>565</v>
      </c>
    </row>
    <row r="1977" spans="2:7" ht="30" customHeight="1" thickBot="1" x14ac:dyDescent="0.3">
      <c r="B1977" s="221"/>
      <c r="C1977" s="221"/>
      <c r="D1977" s="223" t="s">
        <v>4996</v>
      </c>
      <c r="E1977" s="221"/>
      <c r="F1977" s="223" t="s">
        <v>4963</v>
      </c>
      <c r="G1977" s="221"/>
    </row>
    <row r="1978" spans="2:7" ht="30" customHeight="1" thickBot="1" x14ac:dyDescent="0.3">
      <c r="B1978" s="221" t="s">
        <v>4997</v>
      </c>
      <c r="C1978" s="221" t="s">
        <v>4713</v>
      </c>
      <c r="D1978" s="223" t="s">
        <v>4998</v>
      </c>
      <c r="E1978" s="221" t="s">
        <v>8075</v>
      </c>
      <c r="F1978" s="223" t="s">
        <v>4955</v>
      </c>
      <c r="G1978" s="221" t="s">
        <v>565</v>
      </c>
    </row>
    <row r="1979" spans="2:7" ht="30" customHeight="1" thickBot="1" x14ac:dyDescent="0.3">
      <c r="B1979" s="221"/>
      <c r="C1979" s="221"/>
      <c r="D1979" s="223" t="s">
        <v>4999</v>
      </c>
      <c r="E1979" s="221"/>
      <c r="F1979" s="223" t="s">
        <v>5000</v>
      </c>
      <c r="G1979" s="221"/>
    </row>
    <row r="1980" spans="2:7" ht="30" customHeight="1" thickBot="1" x14ac:dyDescent="0.3">
      <c r="B1980" s="221" t="s">
        <v>5001</v>
      </c>
      <c r="C1980" s="221" t="s">
        <v>4713</v>
      </c>
      <c r="D1980" s="223" t="s">
        <v>5002</v>
      </c>
      <c r="E1980" s="221" t="s">
        <v>7099</v>
      </c>
      <c r="F1980" s="223" t="s">
        <v>4955</v>
      </c>
      <c r="G1980" s="221" t="s">
        <v>565</v>
      </c>
    </row>
    <row r="1981" spans="2:7" ht="30" customHeight="1" thickBot="1" x14ac:dyDescent="0.3">
      <c r="B1981" s="221"/>
      <c r="C1981" s="221"/>
      <c r="D1981" s="223" t="s">
        <v>5003</v>
      </c>
      <c r="E1981" s="221"/>
      <c r="F1981" s="223" t="s">
        <v>4957</v>
      </c>
      <c r="G1981" s="221"/>
    </row>
    <row r="1982" spans="2:7" ht="30" customHeight="1" thickBot="1" x14ac:dyDescent="0.3">
      <c r="B1982" s="221" t="s">
        <v>5004</v>
      </c>
      <c r="C1982" s="221" t="s">
        <v>4713</v>
      </c>
      <c r="D1982" s="223" t="s">
        <v>5005</v>
      </c>
      <c r="E1982" s="221" t="s">
        <v>7100</v>
      </c>
      <c r="F1982" s="223" t="s">
        <v>4955</v>
      </c>
      <c r="G1982" s="221" t="s">
        <v>565</v>
      </c>
    </row>
    <row r="1983" spans="2:7" ht="30" customHeight="1" thickBot="1" x14ac:dyDescent="0.3">
      <c r="B1983" s="221"/>
      <c r="C1983" s="221"/>
      <c r="D1983" s="223" t="s">
        <v>5006</v>
      </c>
      <c r="E1983" s="221"/>
      <c r="F1983" s="223" t="s">
        <v>5007</v>
      </c>
      <c r="G1983" s="221"/>
    </row>
    <row r="1984" spans="2:7" ht="30" customHeight="1" thickBot="1" x14ac:dyDescent="0.3">
      <c r="B1984" s="221" t="s">
        <v>5008</v>
      </c>
      <c r="C1984" s="221" t="s">
        <v>4713</v>
      </c>
      <c r="D1984" s="223" t="s">
        <v>5009</v>
      </c>
      <c r="E1984" s="221" t="s">
        <v>5010</v>
      </c>
      <c r="F1984" s="223" t="s">
        <v>4955</v>
      </c>
      <c r="G1984" s="221" t="s">
        <v>565</v>
      </c>
    </row>
    <row r="1985" spans="2:7" ht="30" customHeight="1" thickBot="1" x14ac:dyDescent="0.3">
      <c r="B1985" s="221"/>
      <c r="C1985" s="221"/>
      <c r="D1985" s="223" t="s">
        <v>5011</v>
      </c>
      <c r="E1985" s="221"/>
      <c r="F1985" s="223" t="s">
        <v>5012</v>
      </c>
      <c r="G1985" s="221"/>
    </row>
    <row r="1986" spans="2:7" ht="30" customHeight="1" thickBot="1" x14ac:dyDescent="0.3">
      <c r="B1986" s="221"/>
      <c r="C1986" s="221"/>
      <c r="D1986" s="223" t="s">
        <v>5013</v>
      </c>
      <c r="E1986" s="221"/>
      <c r="F1986" s="223"/>
      <c r="G1986" s="221"/>
    </row>
    <row r="1987" spans="2:7" ht="30" customHeight="1" thickBot="1" x14ac:dyDescent="0.3">
      <c r="B1987" s="221"/>
      <c r="C1987" s="221"/>
      <c r="D1987" s="223" t="s">
        <v>5014</v>
      </c>
      <c r="E1987" s="221"/>
      <c r="F1987" s="223"/>
      <c r="G1987" s="221"/>
    </row>
    <row r="1988" spans="2:7" ht="30" customHeight="1" thickBot="1" x14ac:dyDescent="0.3">
      <c r="B1988" s="223" t="s">
        <v>5015</v>
      </c>
      <c r="C1988" s="223" t="s">
        <v>4713</v>
      </c>
      <c r="D1988" s="223" t="s">
        <v>5016</v>
      </c>
      <c r="E1988" s="223" t="s">
        <v>5017</v>
      </c>
      <c r="F1988" s="223" t="s">
        <v>5018</v>
      </c>
      <c r="G1988" s="223" t="s">
        <v>565</v>
      </c>
    </row>
    <row r="1989" spans="2:7" ht="147" customHeight="1" thickBot="1" x14ac:dyDescent="0.3">
      <c r="B1989" s="223" t="s">
        <v>5019</v>
      </c>
      <c r="C1989" s="223" t="s">
        <v>4713</v>
      </c>
      <c r="D1989" s="223" t="s">
        <v>5020</v>
      </c>
      <c r="E1989" s="223" t="s">
        <v>5017</v>
      </c>
      <c r="F1989" s="223" t="s">
        <v>5021</v>
      </c>
      <c r="G1989" s="223" t="s">
        <v>565</v>
      </c>
    </row>
    <row r="1990" spans="2:7" ht="30" customHeight="1" thickBot="1" x14ac:dyDescent="0.3">
      <c r="B1990" s="223" t="s">
        <v>5022</v>
      </c>
      <c r="C1990" s="223" t="s">
        <v>4713</v>
      </c>
      <c r="D1990" s="223" t="s">
        <v>5023</v>
      </c>
      <c r="E1990" s="223" t="s">
        <v>5024</v>
      </c>
      <c r="F1990" s="223" t="s">
        <v>5025</v>
      </c>
      <c r="G1990" s="223" t="s">
        <v>565</v>
      </c>
    </row>
    <row r="1991" spans="2:7" ht="30" customHeight="1" thickBot="1" x14ac:dyDescent="0.3">
      <c r="B1991" s="223" t="s">
        <v>5026</v>
      </c>
      <c r="C1991" s="223" t="s">
        <v>4713</v>
      </c>
      <c r="D1991" s="223" t="s">
        <v>5027</v>
      </c>
      <c r="E1991" s="223" t="s">
        <v>5024</v>
      </c>
      <c r="F1991" s="223" t="s">
        <v>5028</v>
      </c>
      <c r="G1991" s="223" t="s">
        <v>565</v>
      </c>
    </row>
    <row r="1992" spans="2:7" ht="30" customHeight="1" thickBot="1" x14ac:dyDescent="0.3">
      <c r="B1992" s="223" t="s">
        <v>5029</v>
      </c>
      <c r="C1992" s="223" t="s">
        <v>4713</v>
      </c>
      <c r="D1992" s="223" t="s">
        <v>5030</v>
      </c>
      <c r="E1992" s="223" t="s">
        <v>5031</v>
      </c>
      <c r="F1992" s="223" t="s">
        <v>5032</v>
      </c>
      <c r="G1992" s="223" t="s">
        <v>565</v>
      </c>
    </row>
    <row r="1993" spans="2:7" ht="30" customHeight="1" thickBot="1" x14ac:dyDescent="0.3">
      <c r="B1993" s="223" t="s">
        <v>5033</v>
      </c>
      <c r="C1993" s="223" t="s">
        <v>4713</v>
      </c>
      <c r="D1993" s="223" t="s">
        <v>5034</v>
      </c>
      <c r="E1993" s="223" t="s">
        <v>5024</v>
      </c>
      <c r="F1993" s="223" t="s">
        <v>5035</v>
      </c>
      <c r="G1993" s="223" t="s">
        <v>565</v>
      </c>
    </row>
    <row r="1994" spans="2:7" ht="30" customHeight="1" thickBot="1" x14ac:dyDescent="0.3">
      <c r="B1994" s="223" t="s">
        <v>5036</v>
      </c>
      <c r="C1994" s="223" t="s">
        <v>4713</v>
      </c>
      <c r="D1994" s="223" t="s">
        <v>5037</v>
      </c>
      <c r="E1994" s="223" t="s">
        <v>8267</v>
      </c>
      <c r="F1994" s="223" t="s">
        <v>5038</v>
      </c>
      <c r="G1994" s="223" t="s">
        <v>565</v>
      </c>
    </row>
    <row r="1995" spans="2:7" ht="30" customHeight="1" thickBot="1" x14ac:dyDescent="0.3">
      <c r="B1995" s="223" t="s">
        <v>5039</v>
      </c>
      <c r="C1995" s="223" t="s">
        <v>4713</v>
      </c>
      <c r="D1995" s="223" t="s">
        <v>5040</v>
      </c>
      <c r="E1995" s="223" t="s">
        <v>5031</v>
      </c>
      <c r="F1995" s="223" t="s">
        <v>5041</v>
      </c>
      <c r="G1995" s="223" t="s">
        <v>565</v>
      </c>
    </row>
    <row r="1996" spans="2:7" ht="30" customHeight="1" thickBot="1" x14ac:dyDescent="0.3">
      <c r="B1996" s="223" t="s">
        <v>5042</v>
      </c>
      <c r="C1996" s="223" t="s">
        <v>4713</v>
      </c>
      <c r="D1996" s="223" t="s">
        <v>5043</v>
      </c>
      <c r="E1996" s="223" t="s">
        <v>5024</v>
      </c>
      <c r="F1996" s="223" t="s">
        <v>5044</v>
      </c>
      <c r="G1996" s="223" t="s">
        <v>565</v>
      </c>
    </row>
    <row r="1997" spans="2:7" ht="30" customHeight="1" thickBot="1" x14ac:dyDescent="0.3">
      <c r="B1997" s="221" t="s">
        <v>5045</v>
      </c>
      <c r="C1997" s="221" t="s">
        <v>4713</v>
      </c>
      <c r="D1997" s="223" t="s">
        <v>5046</v>
      </c>
      <c r="E1997" s="221" t="s">
        <v>5024</v>
      </c>
      <c r="F1997" s="221" t="s">
        <v>5047</v>
      </c>
      <c r="G1997" s="221" t="s">
        <v>565</v>
      </c>
    </row>
    <row r="1998" spans="2:7" ht="30" customHeight="1" thickBot="1" x14ac:dyDescent="0.3">
      <c r="B1998" s="221"/>
      <c r="C1998" s="221"/>
      <c r="D1998" s="223" t="s">
        <v>5048</v>
      </c>
      <c r="E1998" s="221"/>
      <c r="F1998" s="221"/>
      <c r="G1998" s="221"/>
    </row>
    <row r="1999" spans="2:7" ht="30" customHeight="1" thickBot="1" x14ac:dyDescent="0.3">
      <c r="B1999" s="223" t="s">
        <v>5049</v>
      </c>
      <c r="C1999" s="223" t="s">
        <v>4713</v>
      </c>
      <c r="D1999" s="223" t="s">
        <v>5050</v>
      </c>
      <c r="E1999" s="223" t="s">
        <v>5024</v>
      </c>
      <c r="F1999" s="223" t="s">
        <v>5051</v>
      </c>
      <c r="G1999" s="223" t="s">
        <v>565</v>
      </c>
    </row>
    <row r="2000" spans="2:7" ht="30" customHeight="1" thickBot="1" x14ac:dyDescent="0.3">
      <c r="B2000" s="223" t="s">
        <v>5052</v>
      </c>
      <c r="C2000" s="223" t="s">
        <v>4713</v>
      </c>
      <c r="D2000" s="223" t="s">
        <v>5053</v>
      </c>
      <c r="E2000" s="223" t="s">
        <v>5054</v>
      </c>
      <c r="F2000" s="223" t="s">
        <v>5051</v>
      </c>
      <c r="G2000" s="223" t="s">
        <v>565</v>
      </c>
    </row>
    <row r="2001" spans="2:7" ht="30" customHeight="1" thickBot="1" x14ac:dyDescent="0.3">
      <c r="B2001" s="221" t="s">
        <v>5055</v>
      </c>
      <c r="C2001" s="221" t="s">
        <v>4713</v>
      </c>
      <c r="D2001" s="223" t="s">
        <v>5056</v>
      </c>
      <c r="E2001" s="221" t="s">
        <v>5057</v>
      </c>
      <c r="F2001" s="221" t="s">
        <v>5058</v>
      </c>
      <c r="G2001" s="221" t="s">
        <v>565</v>
      </c>
    </row>
    <row r="2002" spans="2:7" ht="30" customHeight="1" thickBot="1" x14ac:dyDescent="0.3">
      <c r="B2002" s="221"/>
      <c r="C2002" s="221"/>
      <c r="D2002" s="223" t="s">
        <v>5059</v>
      </c>
      <c r="E2002" s="221"/>
      <c r="F2002" s="221"/>
      <c r="G2002" s="221"/>
    </row>
    <row r="2003" spans="2:7" ht="30" customHeight="1" thickBot="1" x14ac:dyDescent="0.3">
      <c r="B2003" s="221"/>
      <c r="C2003" s="221"/>
      <c r="D2003" s="223" t="s">
        <v>5060</v>
      </c>
      <c r="E2003" s="221"/>
      <c r="F2003" s="221"/>
      <c r="G2003" s="221"/>
    </row>
    <row r="2004" spans="2:7" ht="30" customHeight="1" thickBot="1" x14ac:dyDescent="0.3">
      <c r="B2004" s="221"/>
      <c r="C2004" s="221"/>
      <c r="D2004" s="223" t="s">
        <v>5061</v>
      </c>
      <c r="E2004" s="221"/>
      <c r="F2004" s="221"/>
      <c r="G2004" s="221"/>
    </row>
    <row r="2005" spans="2:7" ht="30" customHeight="1" thickBot="1" x14ac:dyDescent="0.3">
      <c r="B2005" s="221" t="s">
        <v>5062</v>
      </c>
      <c r="C2005" s="221" t="s">
        <v>4713</v>
      </c>
      <c r="D2005" s="221" t="s">
        <v>5063</v>
      </c>
      <c r="E2005" s="221" t="s">
        <v>7077</v>
      </c>
      <c r="F2005" s="223" t="s">
        <v>5064</v>
      </c>
      <c r="G2005" s="223" t="s">
        <v>84</v>
      </c>
    </row>
    <row r="2006" spans="2:7" ht="30" customHeight="1" thickBot="1" x14ac:dyDescent="0.3">
      <c r="B2006" s="221"/>
      <c r="C2006" s="221"/>
      <c r="D2006" s="221"/>
      <c r="E2006" s="221"/>
      <c r="F2006" s="223" t="s">
        <v>5065</v>
      </c>
      <c r="G2006" s="223" t="s">
        <v>322</v>
      </c>
    </row>
    <row r="2007" spans="2:7" ht="30" customHeight="1" thickBot="1" x14ac:dyDescent="0.3">
      <c r="B2007" s="221"/>
      <c r="C2007" s="221"/>
      <c r="D2007" s="221"/>
      <c r="E2007" s="221"/>
      <c r="F2007" s="223" t="s">
        <v>5066</v>
      </c>
      <c r="G2007" s="223"/>
    </row>
    <row r="2008" spans="2:7" ht="30" customHeight="1" thickBot="1" x14ac:dyDescent="0.3">
      <c r="B2008" s="221" t="s">
        <v>5067</v>
      </c>
      <c r="C2008" s="221" t="s">
        <v>4713</v>
      </c>
      <c r="D2008" s="223" t="s">
        <v>5068</v>
      </c>
      <c r="E2008" s="221" t="s">
        <v>8365</v>
      </c>
      <c r="F2008" s="223" t="s">
        <v>5064</v>
      </c>
      <c r="G2008" s="221" t="s">
        <v>120</v>
      </c>
    </row>
    <row r="2009" spans="2:7" ht="30" customHeight="1" thickBot="1" x14ac:dyDescent="0.3">
      <c r="B2009" s="221"/>
      <c r="C2009" s="221"/>
      <c r="D2009" s="223" t="s">
        <v>5069</v>
      </c>
      <c r="E2009" s="221"/>
      <c r="F2009" s="223" t="s">
        <v>5070</v>
      </c>
      <c r="G2009" s="221"/>
    </row>
    <row r="2010" spans="2:7" ht="30" customHeight="1" thickBot="1" x14ac:dyDescent="0.3">
      <c r="B2010" s="221"/>
      <c r="C2010" s="221"/>
      <c r="D2010" s="223" t="s">
        <v>5071</v>
      </c>
      <c r="E2010" s="221"/>
      <c r="F2010" s="223" t="s">
        <v>5072</v>
      </c>
      <c r="G2010" s="221"/>
    </row>
    <row r="2011" spans="2:7" ht="30" customHeight="1" thickBot="1" x14ac:dyDescent="0.3">
      <c r="B2011" s="221" t="s">
        <v>5073</v>
      </c>
      <c r="C2011" s="221" t="s">
        <v>4713</v>
      </c>
      <c r="D2011" s="221" t="s">
        <v>10095</v>
      </c>
      <c r="E2011" s="221" t="s">
        <v>8366</v>
      </c>
      <c r="F2011" s="223" t="s">
        <v>5064</v>
      </c>
      <c r="G2011" s="221" t="s">
        <v>120</v>
      </c>
    </row>
    <row r="2012" spans="2:7" ht="30" customHeight="1" thickBot="1" x14ac:dyDescent="0.3">
      <c r="B2012" s="221"/>
      <c r="C2012" s="221"/>
      <c r="D2012" s="221"/>
      <c r="E2012" s="221"/>
      <c r="F2012" s="223" t="s">
        <v>5070</v>
      </c>
      <c r="G2012" s="221"/>
    </row>
    <row r="2013" spans="2:7" ht="30" customHeight="1" thickBot="1" x14ac:dyDescent="0.3">
      <c r="B2013" s="221"/>
      <c r="C2013" s="221"/>
      <c r="D2013" s="221"/>
      <c r="E2013" s="221"/>
      <c r="F2013" s="223" t="s">
        <v>5074</v>
      </c>
      <c r="G2013" s="221"/>
    </row>
    <row r="2014" spans="2:7" ht="30" customHeight="1" thickBot="1" x14ac:dyDescent="0.3">
      <c r="B2014" s="221"/>
      <c r="C2014" s="221"/>
      <c r="D2014" s="221"/>
      <c r="E2014" s="221"/>
      <c r="F2014" s="223" t="s">
        <v>5075</v>
      </c>
      <c r="G2014" s="221"/>
    </row>
    <row r="2015" spans="2:7" ht="30" customHeight="1" thickBot="1" x14ac:dyDescent="0.3">
      <c r="B2015" s="221"/>
      <c r="C2015" s="221"/>
      <c r="D2015" s="221"/>
      <c r="E2015" s="221"/>
      <c r="F2015" s="223" t="s">
        <v>5076</v>
      </c>
      <c r="G2015" s="221"/>
    </row>
    <row r="2016" spans="2:7" ht="30" customHeight="1" thickBot="1" x14ac:dyDescent="0.3">
      <c r="B2016" s="221"/>
      <c r="C2016" s="221"/>
      <c r="D2016" s="221"/>
      <c r="E2016" s="221"/>
      <c r="F2016" s="223" t="s">
        <v>5075</v>
      </c>
      <c r="G2016" s="221"/>
    </row>
    <row r="2017" spans="2:7" ht="30" customHeight="1" thickBot="1" x14ac:dyDescent="0.3">
      <c r="B2017" s="221" t="s">
        <v>5077</v>
      </c>
      <c r="C2017" s="221" t="s">
        <v>4713</v>
      </c>
      <c r="D2017" s="223" t="s">
        <v>5078</v>
      </c>
      <c r="E2017" s="221" t="s">
        <v>8077</v>
      </c>
      <c r="F2017" s="223" t="s">
        <v>5064</v>
      </c>
      <c r="G2017" s="223" t="s">
        <v>2538</v>
      </c>
    </row>
    <row r="2018" spans="2:7" ht="30" customHeight="1" thickBot="1" x14ac:dyDescent="0.3">
      <c r="B2018" s="221"/>
      <c r="C2018" s="221"/>
      <c r="D2018" s="223" t="s">
        <v>5079</v>
      </c>
      <c r="E2018" s="221"/>
      <c r="F2018" s="223" t="s">
        <v>5070</v>
      </c>
      <c r="G2018" s="223" t="s">
        <v>322</v>
      </c>
    </row>
    <row r="2019" spans="2:7" ht="30" customHeight="1" thickBot="1" x14ac:dyDescent="0.3">
      <c r="B2019" s="221"/>
      <c r="C2019" s="221"/>
      <c r="D2019" s="223" t="s">
        <v>5080</v>
      </c>
      <c r="E2019" s="221"/>
      <c r="F2019" s="223" t="s">
        <v>5074</v>
      </c>
      <c r="G2019" s="223"/>
    </row>
    <row r="2020" spans="2:7" ht="30" customHeight="1" thickBot="1" x14ac:dyDescent="0.3">
      <c r="B2020" s="221"/>
      <c r="C2020" s="221"/>
      <c r="D2020" s="223" t="s">
        <v>5081</v>
      </c>
      <c r="E2020" s="221"/>
      <c r="F2020" s="223" t="s">
        <v>5075</v>
      </c>
      <c r="G2020" s="223"/>
    </row>
    <row r="2021" spans="2:7" ht="30" customHeight="1" thickBot="1" x14ac:dyDescent="0.3">
      <c r="B2021" s="221"/>
      <c r="C2021" s="221"/>
      <c r="D2021" s="223" t="s">
        <v>5082</v>
      </c>
      <c r="E2021" s="221"/>
      <c r="F2021" s="223" t="s">
        <v>5076</v>
      </c>
      <c r="G2021" s="223"/>
    </row>
    <row r="2022" spans="2:7" ht="30" customHeight="1" thickBot="1" x14ac:dyDescent="0.3">
      <c r="B2022" s="221"/>
      <c r="C2022" s="221"/>
      <c r="D2022" s="223"/>
      <c r="E2022" s="221"/>
      <c r="F2022" s="223" t="s">
        <v>5075</v>
      </c>
      <c r="G2022" s="223"/>
    </row>
    <row r="2023" spans="2:7" ht="30" customHeight="1" thickBot="1" x14ac:dyDescent="0.3">
      <c r="B2023" s="221" t="s">
        <v>5083</v>
      </c>
      <c r="C2023" s="221" t="s">
        <v>4713</v>
      </c>
      <c r="D2023" s="223" t="s">
        <v>5084</v>
      </c>
      <c r="E2023" s="221" t="s">
        <v>9311</v>
      </c>
      <c r="F2023" s="223" t="s">
        <v>5064</v>
      </c>
      <c r="G2023" s="221" t="s">
        <v>120</v>
      </c>
    </row>
    <row r="2024" spans="2:7" ht="30" customHeight="1" thickBot="1" x14ac:dyDescent="0.3">
      <c r="B2024" s="221"/>
      <c r="C2024" s="221"/>
      <c r="D2024" s="223" t="s">
        <v>575</v>
      </c>
      <c r="E2024" s="221"/>
      <c r="F2024" s="223" t="s">
        <v>5070</v>
      </c>
      <c r="G2024" s="221"/>
    </row>
    <row r="2025" spans="2:7" ht="30" customHeight="1" thickBot="1" x14ac:dyDescent="0.3">
      <c r="B2025" s="221"/>
      <c r="C2025" s="221"/>
      <c r="D2025" s="223" t="s">
        <v>5085</v>
      </c>
      <c r="E2025" s="221"/>
      <c r="F2025" s="223" t="s">
        <v>5074</v>
      </c>
      <c r="G2025" s="221"/>
    </row>
    <row r="2026" spans="2:7" ht="30" customHeight="1" thickBot="1" x14ac:dyDescent="0.3">
      <c r="B2026" s="221"/>
      <c r="C2026" s="221"/>
      <c r="D2026" s="223"/>
      <c r="E2026" s="221"/>
      <c r="F2026" s="223" t="s">
        <v>5086</v>
      </c>
      <c r="G2026" s="221"/>
    </row>
    <row r="2027" spans="2:7" ht="30" customHeight="1" thickBot="1" x14ac:dyDescent="0.3">
      <c r="B2027" s="221" t="s">
        <v>5087</v>
      </c>
      <c r="C2027" s="221" t="s">
        <v>4713</v>
      </c>
      <c r="D2027" s="221" t="s">
        <v>5088</v>
      </c>
      <c r="E2027" s="221" t="s">
        <v>5089</v>
      </c>
      <c r="F2027" s="223" t="s">
        <v>5064</v>
      </c>
      <c r="G2027" s="221" t="s">
        <v>5090</v>
      </c>
    </row>
    <row r="2028" spans="2:7" ht="30" customHeight="1" thickBot="1" x14ac:dyDescent="0.3">
      <c r="B2028" s="221"/>
      <c r="C2028" s="221"/>
      <c r="D2028" s="221"/>
      <c r="E2028" s="221"/>
      <c r="F2028" s="223" t="s">
        <v>5076</v>
      </c>
      <c r="G2028" s="221"/>
    </row>
    <row r="2029" spans="2:7" ht="30" customHeight="1" thickBot="1" x14ac:dyDescent="0.3">
      <c r="B2029" s="221"/>
      <c r="C2029" s="221"/>
      <c r="D2029" s="221"/>
      <c r="E2029" s="221"/>
      <c r="F2029" s="223" t="s">
        <v>5091</v>
      </c>
      <c r="G2029" s="221"/>
    </row>
    <row r="2030" spans="2:7" ht="30" customHeight="1" thickBot="1" x14ac:dyDescent="0.3">
      <c r="B2030" s="221" t="s">
        <v>5092</v>
      </c>
      <c r="C2030" s="221" t="s">
        <v>4713</v>
      </c>
      <c r="D2030" s="221" t="s">
        <v>5093</v>
      </c>
      <c r="E2030" s="221" t="s">
        <v>5094</v>
      </c>
      <c r="F2030" s="223" t="s">
        <v>5064</v>
      </c>
      <c r="G2030" s="221" t="s">
        <v>5090</v>
      </c>
    </row>
    <row r="2031" spans="2:7" ht="30" customHeight="1" thickBot="1" x14ac:dyDescent="0.3">
      <c r="B2031" s="221"/>
      <c r="C2031" s="221"/>
      <c r="D2031" s="221"/>
      <c r="E2031" s="221"/>
      <c r="F2031" s="223" t="s">
        <v>5095</v>
      </c>
      <c r="G2031" s="221"/>
    </row>
    <row r="2032" spans="2:7" ht="30" customHeight="1" thickBot="1" x14ac:dyDescent="0.3">
      <c r="B2032" s="221"/>
      <c r="C2032" s="221"/>
      <c r="D2032" s="221"/>
      <c r="E2032" s="221"/>
      <c r="F2032" s="223" t="s">
        <v>5096</v>
      </c>
      <c r="G2032" s="221"/>
    </row>
    <row r="2033" spans="2:7" ht="30" customHeight="1" thickBot="1" x14ac:dyDescent="0.3">
      <c r="B2033" s="221"/>
      <c r="C2033" s="221"/>
      <c r="D2033" s="221"/>
      <c r="E2033" s="221"/>
      <c r="F2033" s="223" t="s">
        <v>5097</v>
      </c>
      <c r="G2033" s="221"/>
    </row>
    <row r="2034" spans="2:7" ht="30" customHeight="1" thickBot="1" x14ac:dyDescent="0.3">
      <c r="B2034" s="221"/>
      <c r="C2034" s="221"/>
      <c r="D2034" s="221"/>
      <c r="E2034" s="221"/>
      <c r="F2034" s="223" t="s">
        <v>5098</v>
      </c>
      <c r="G2034" s="221"/>
    </row>
    <row r="2035" spans="2:7" ht="30" customHeight="1" thickBot="1" x14ac:dyDescent="0.3">
      <c r="B2035" s="221" t="s">
        <v>5099</v>
      </c>
      <c r="C2035" s="221" t="s">
        <v>4713</v>
      </c>
      <c r="D2035" s="223" t="s">
        <v>5100</v>
      </c>
      <c r="E2035" s="221" t="s">
        <v>7101</v>
      </c>
      <c r="F2035" s="223" t="s">
        <v>5064</v>
      </c>
      <c r="G2035" s="221" t="s">
        <v>5101</v>
      </c>
    </row>
    <row r="2036" spans="2:7" ht="30" customHeight="1" thickBot="1" x14ac:dyDescent="0.3">
      <c r="B2036" s="221"/>
      <c r="C2036" s="221"/>
      <c r="D2036" s="223" t="s">
        <v>5102</v>
      </c>
      <c r="E2036" s="221"/>
      <c r="F2036" s="223" t="s">
        <v>5095</v>
      </c>
      <c r="G2036" s="221"/>
    </row>
    <row r="2037" spans="2:7" ht="30" customHeight="1" thickBot="1" x14ac:dyDescent="0.3">
      <c r="B2037" s="221"/>
      <c r="C2037" s="221"/>
      <c r="D2037" s="223" t="s">
        <v>5103</v>
      </c>
      <c r="E2037" s="221"/>
      <c r="F2037" s="223" t="s">
        <v>5104</v>
      </c>
      <c r="G2037" s="221"/>
    </row>
    <row r="2038" spans="2:7" ht="30" customHeight="1" thickBot="1" x14ac:dyDescent="0.3">
      <c r="B2038" s="221"/>
      <c r="C2038" s="221"/>
      <c r="D2038" s="223"/>
      <c r="E2038" s="221"/>
      <c r="F2038" s="223" t="s">
        <v>5105</v>
      </c>
      <c r="G2038" s="221"/>
    </row>
    <row r="2039" spans="2:7" ht="30" customHeight="1" thickBot="1" x14ac:dyDescent="0.3">
      <c r="B2039" s="221"/>
      <c r="C2039" s="221"/>
      <c r="D2039" s="223"/>
      <c r="E2039" s="221"/>
      <c r="F2039" s="223" t="s">
        <v>5106</v>
      </c>
      <c r="G2039" s="221"/>
    </row>
    <row r="2040" spans="2:7" ht="30" customHeight="1" thickBot="1" x14ac:dyDescent="0.3">
      <c r="B2040" s="221" t="s">
        <v>5107</v>
      </c>
      <c r="C2040" s="221" t="s">
        <v>4713</v>
      </c>
      <c r="D2040" s="223" t="s">
        <v>5108</v>
      </c>
      <c r="E2040" s="221" t="s">
        <v>8367</v>
      </c>
      <c r="F2040" s="223" t="s">
        <v>5109</v>
      </c>
      <c r="G2040" s="221" t="s">
        <v>120</v>
      </c>
    </row>
    <row r="2041" spans="2:7" ht="30" customHeight="1" thickBot="1" x14ac:dyDescent="0.3">
      <c r="B2041" s="221"/>
      <c r="C2041" s="221"/>
      <c r="D2041" s="223" t="s">
        <v>575</v>
      </c>
      <c r="E2041" s="221"/>
      <c r="F2041" s="223" t="s">
        <v>5110</v>
      </c>
      <c r="G2041" s="221"/>
    </row>
    <row r="2042" spans="2:7" ht="30" customHeight="1" thickBot="1" x14ac:dyDescent="0.3">
      <c r="B2042" s="221"/>
      <c r="C2042" s="221"/>
      <c r="D2042" s="223" t="s">
        <v>5111</v>
      </c>
      <c r="E2042" s="221"/>
      <c r="F2042" s="223" t="s">
        <v>5112</v>
      </c>
      <c r="G2042" s="221"/>
    </row>
    <row r="2043" spans="2:7" ht="30" customHeight="1" thickBot="1" x14ac:dyDescent="0.3">
      <c r="B2043" s="221"/>
      <c r="C2043" s="221"/>
      <c r="D2043" s="223"/>
      <c r="E2043" s="221"/>
      <c r="F2043" s="223" t="s">
        <v>5113</v>
      </c>
      <c r="G2043" s="221"/>
    </row>
    <row r="2044" spans="2:7" ht="30" customHeight="1" thickBot="1" x14ac:dyDescent="0.3">
      <c r="B2044" s="221" t="s">
        <v>5114</v>
      </c>
      <c r="C2044" s="221" t="s">
        <v>4713</v>
      </c>
      <c r="D2044" s="223" t="s">
        <v>5115</v>
      </c>
      <c r="E2044" s="221" t="s">
        <v>9312</v>
      </c>
      <c r="F2044" s="223" t="s">
        <v>5109</v>
      </c>
      <c r="G2044" s="221" t="s">
        <v>8537</v>
      </c>
    </row>
    <row r="2045" spans="2:7" ht="30" customHeight="1" thickBot="1" x14ac:dyDescent="0.3">
      <c r="B2045" s="221"/>
      <c r="C2045" s="221"/>
      <c r="D2045" s="223" t="s">
        <v>575</v>
      </c>
      <c r="E2045" s="221"/>
      <c r="F2045" s="223" t="s">
        <v>5110</v>
      </c>
      <c r="G2045" s="221"/>
    </row>
    <row r="2046" spans="2:7" ht="30" customHeight="1" thickBot="1" x14ac:dyDescent="0.3">
      <c r="B2046" s="221"/>
      <c r="C2046" s="221"/>
      <c r="D2046" s="223" t="s">
        <v>5116</v>
      </c>
      <c r="E2046" s="221"/>
      <c r="F2046" s="223" t="s">
        <v>5112</v>
      </c>
      <c r="G2046" s="221"/>
    </row>
    <row r="2047" spans="2:7" ht="30" customHeight="1" thickBot="1" x14ac:dyDescent="0.3">
      <c r="B2047" s="221"/>
      <c r="C2047" s="221"/>
      <c r="D2047" s="223"/>
      <c r="E2047" s="221"/>
      <c r="F2047" s="223" t="s">
        <v>5117</v>
      </c>
      <c r="G2047" s="221"/>
    </row>
    <row r="2048" spans="2:7" ht="30" customHeight="1" thickBot="1" x14ac:dyDescent="0.3">
      <c r="B2048" s="221" t="s">
        <v>5118</v>
      </c>
      <c r="C2048" s="221" t="s">
        <v>4713</v>
      </c>
      <c r="D2048" s="223" t="s">
        <v>5119</v>
      </c>
      <c r="E2048" s="221" t="s">
        <v>5120</v>
      </c>
      <c r="F2048" s="221" t="s">
        <v>5121</v>
      </c>
      <c r="G2048" s="221" t="s">
        <v>565</v>
      </c>
    </row>
    <row r="2049" spans="2:7" ht="30" customHeight="1" thickBot="1" x14ac:dyDescent="0.3">
      <c r="B2049" s="221"/>
      <c r="C2049" s="221"/>
      <c r="D2049" s="223" t="s">
        <v>5122</v>
      </c>
      <c r="E2049" s="221"/>
      <c r="F2049" s="221"/>
      <c r="G2049" s="221"/>
    </row>
    <row r="2050" spans="2:7" ht="30" customHeight="1" thickBot="1" x14ac:dyDescent="0.3">
      <c r="B2050" s="221"/>
      <c r="C2050" s="221"/>
      <c r="D2050" s="223" t="s">
        <v>5123</v>
      </c>
      <c r="E2050" s="221"/>
      <c r="F2050" s="221"/>
      <c r="G2050" s="221"/>
    </row>
    <row r="2051" spans="2:7" ht="30" customHeight="1" thickBot="1" x14ac:dyDescent="0.3">
      <c r="B2051" s="221"/>
      <c r="C2051" s="221"/>
      <c r="D2051" s="223" t="s">
        <v>5124</v>
      </c>
      <c r="E2051" s="221"/>
      <c r="F2051" s="221"/>
      <c r="G2051" s="221"/>
    </row>
    <row r="2052" spans="2:7" ht="30" customHeight="1" thickBot="1" x14ac:dyDescent="0.3">
      <c r="B2052" s="221"/>
      <c r="C2052" s="221"/>
      <c r="D2052" s="223" t="s">
        <v>5125</v>
      </c>
      <c r="E2052" s="221"/>
      <c r="F2052" s="221"/>
      <c r="G2052" s="221"/>
    </row>
    <row r="2053" spans="2:7" ht="30" customHeight="1" thickBot="1" x14ac:dyDescent="0.3">
      <c r="B2053" s="221" t="s">
        <v>5126</v>
      </c>
      <c r="C2053" s="221" t="s">
        <v>4713</v>
      </c>
      <c r="D2053" s="221" t="s">
        <v>5127</v>
      </c>
      <c r="E2053" s="221" t="s">
        <v>8078</v>
      </c>
      <c r="F2053" s="223" t="s">
        <v>5128</v>
      </c>
      <c r="G2053" s="221" t="s">
        <v>565</v>
      </c>
    </row>
    <row r="2054" spans="2:7" ht="30" customHeight="1" thickBot="1" x14ac:dyDescent="0.3">
      <c r="B2054" s="221"/>
      <c r="C2054" s="221"/>
      <c r="D2054" s="221"/>
      <c r="E2054" s="221"/>
      <c r="F2054" s="223" t="s">
        <v>575</v>
      </c>
      <c r="G2054" s="221"/>
    </row>
    <row r="2055" spans="2:7" ht="30" customHeight="1" thickBot="1" x14ac:dyDescent="0.3">
      <c r="B2055" s="221"/>
      <c r="C2055" s="221"/>
      <c r="D2055" s="221"/>
      <c r="E2055" s="221"/>
      <c r="F2055" s="223" t="s">
        <v>5051</v>
      </c>
      <c r="G2055" s="221"/>
    </row>
    <row r="2056" spans="2:7" ht="30" customHeight="1" thickBot="1" x14ac:dyDescent="0.3">
      <c r="B2056" s="223" t="s">
        <v>5129</v>
      </c>
      <c r="C2056" s="223" t="s">
        <v>4713</v>
      </c>
      <c r="D2056" s="223" t="s">
        <v>5130</v>
      </c>
      <c r="E2056" s="223" t="s">
        <v>5131</v>
      </c>
      <c r="F2056" s="223" t="s">
        <v>5132</v>
      </c>
      <c r="G2056" s="223" t="s">
        <v>565</v>
      </c>
    </row>
    <row r="2057" spans="2:7" ht="30" customHeight="1" thickBot="1" x14ac:dyDescent="0.3">
      <c r="B2057" s="223" t="s">
        <v>5133</v>
      </c>
      <c r="C2057" s="223" t="s">
        <v>4713</v>
      </c>
      <c r="D2057" s="223" t="s">
        <v>5134</v>
      </c>
      <c r="E2057" s="223" t="s">
        <v>5135</v>
      </c>
      <c r="F2057" s="223" t="s">
        <v>5136</v>
      </c>
      <c r="G2057" s="223" t="s">
        <v>565</v>
      </c>
    </row>
    <row r="2058" spans="2:7" ht="30" customHeight="1" thickBot="1" x14ac:dyDescent="0.3">
      <c r="B2058" s="223" t="s">
        <v>5137</v>
      </c>
      <c r="C2058" s="223" t="s">
        <v>4713</v>
      </c>
      <c r="D2058" s="223" t="s">
        <v>5138</v>
      </c>
      <c r="E2058" s="223" t="s">
        <v>5135</v>
      </c>
      <c r="F2058" s="223" t="s">
        <v>5139</v>
      </c>
      <c r="G2058" s="223" t="s">
        <v>565</v>
      </c>
    </row>
    <row r="2059" spans="2:7" ht="30" customHeight="1" thickBot="1" x14ac:dyDescent="0.3">
      <c r="B2059" s="223" t="s">
        <v>5140</v>
      </c>
      <c r="C2059" s="223" t="s">
        <v>4713</v>
      </c>
      <c r="D2059" s="223" t="s">
        <v>5141</v>
      </c>
      <c r="E2059" s="223" t="s">
        <v>5142</v>
      </c>
      <c r="F2059" s="223" t="s">
        <v>5143</v>
      </c>
      <c r="G2059" s="223" t="s">
        <v>565</v>
      </c>
    </row>
    <row r="2060" spans="2:7" ht="30" customHeight="1" thickBot="1" x14ac:dyDescent="0.3">
      <c r="B2060" s="223" t="s">
        <v>5144</v>
      </c>
      <c r="C2060" s="223" t="s">
        <v>4713</v>
      </c>
      <c r="D2060" s="223" t="s">
        <v>5145</v>
      </c>
      <c r="E2060" s="223" t="s">
        <v>5146</v>
      </c>
      <c r="F2060" s="223" t="s">
        <v>5147</v>
      </c>
      <c r="G2060" s="223" t="s">
        <v>565</v>
      </c>
    </row>
    <row r="2061" spans="2:7" ht="30" customHeight="1" thickBot="1" x14ac:dyDescent="0.3">
      <c r="B2061" s="223" t="s">
        <v>5148</v>
      </c>
      <c r="C2061" s="223" t="s">
        <v>4713</v>
      </c>
      <c r="D2061" s="223" t="s">
        <v>5149</v>
      </c>
      <c r="E2061" s="223" t="s">
        <v>5146</v>
      </c>
      <c r="F2061" s="223" t="s">
        <v>5150</v>
      </c>
      <c r="G2061" s="223" t="s">
        <v>565</v>
      </c>
    </row>
    <row r="2062" spans="2:7" ht="30" customHeight="1" thickBot="1" x14ac:dyDescent="0.3">
      <c r="B2062" s="223" t="s">
        <v>5151</v>
      </c>
      <c r="C2062" s="223" t="s">
        <v>4713</v>
      </c>
      <c r="D2062" s="223" t="s">
        <v>5152</v>
      </c>
      <c r="E2062" s="223" t="s">
        <v>5146</v>
      </c>
      <c r="F2062" s="223" t="s">
        <v>5153</v>
      </c>
      <c r="G2062" s="223" t="s">
        <v>565</v>
      </c>
    </row>
    <row r="2063" spans="2:7" ht="30" customHeight="1" thickBot="1" x14ac:dyDescent="0.3">
      <c r="B2063" s="223" t="s">
        <v>5154</v>
      </c>
      <c r="C2063" s="223" t="s">
        <v>4713</v>
      </c>
      <c r="D2063" s="223" t="s">
        <v>5155</v>
      </c>
      <c r="E2063" s="223" t="s">
        <v>5156</v>
      </c>
      <c r="F2063" s="223" t="s">
        <v>5157</v>
      </c>
      <c r="G2063" s="223" t="s">
        <v>565</v>
      </c>
    </row>
    <row r="2064" spans="2:7" ht="30" customHeight="1" thickBot="1" x14ac:dyDescent="0.3">
      <c r="B2064" s="223" t="s">
        <v>5158</v>
      </c>
      <c r="C2064" s="223" t="s">
        <v>4713</v>
      </c>
      <c r="D2064" s="223" t="s">
        <v>5159</v>
      </c>
      <c r="E2064" s="223" t="s">
        <v>5160</v>
      </c>
      <c r="F2064" s="223" t="s">
        <v>5161</v>
      </c>
      <c r="G2064" s="223" t="s">
        <v>565</v>
      </c>
    </row>
    <row r="2065" spans="2:7" ht="30" customHeight="1" thickBot="1" x14ac:dyDescent="0.3">
      <c r="B2065" s="223" t="s">
        <v>5162</v>
      </c>
      <c r="C2065" s="223" t="s">
        <v>4713</v>
      </c>
      <c r="D2065" s="223" t="s">
        <v>10096</v>
      </c>
      <c r="E2065" s="223" t="s">
        <v>5163</v>
      </c>
      <c r="F2065" s="223" t="s">
        <v>5164</v>
      </c>
      <c r="G2065" s="223" t="s">
        <v>565</v>
      </c>
    </row>
    <row r="2066" spans="2:7" ht="30" customHeight="1" thickBot="1" x14ac:dyDescent="0.3">
      <c r="B2066" s="223" t="s">
        <v>5165</v>
      </c>
      <c r="C2066" s="223" t="s">
        <v>4713</v>
      </c>
      <c r="D2066" s="223" t="s">
        <v>5166</v>
      </c>
      <c r="E2066" s="223" t="s">
        <v>334</v>
      </c>
      <c r="F2066" s="223" t="s">
        <v>5167</v>
      </c>
      <c r="G2066" s="223" t="s">
        <v>565</v>
      </c>
    </row>
    <row r="2067" spans="2:7" ht="30" customHeight="1" thickBot="1" x14ac:dyDescent="0.3">
      <c r="B2067" s="223" t="s">
        <v>5168</v>
      </c>
      <c r="C2067" s="223" t="s">
        <v>4713</v>
      </c>
      <c r="D2067" s="223" t="s">
        <v>5169</v>
      </c>
      <c r="E2067" s="223" t="s">
        <v>5146</v>
      </c>
      <c r="F2067" s="223" t="s">
        <v>5167</v>
      </c>
      <c r="G2067" s="223" t="s">
        <v>565</v>
      </c>
    </row>
    <row r="2068" spans="2:7" ht="30" customHeight="1" thickBot="1" x14ac:dyDescent="0.3">
      <c r="B2068" s="223" t="s">
        <v>5170</v>
      </c>
      <c r="C2068" s="223" t="s">
        <v>4713</v>
      </c>
      <c r="D2068" s="223" t="s">
        <v>5171</v>
      </c>
      <c r="E2068" s="223" t="s">
        <v>7102</v>
      </c>
      <c r="F2068" s="223" t="s">
        <v>5172</v>
      </c>
      <c r="G2068" s="223" t="s">
        <v>565</v>
      </c>
    </row>
    <row r="2069" spans="2:7" ht="30" customHeight="1" thickBot="1" x14ac:dyDescent="0.3">
      <c r="B2069" s="223" t="s">
        <v>5173</v>
      </c>
      <c r="C2069" s="223" t="s">
        <v>4713</v>
      </c>
      <c r="D2069" s="223" t="s">
        <v>5174</v>
      </c>
      <c r="E2069" s="223" t="s">
        <v>7339</v>
      </c>
      <c r="F2069" s="223" t="s">
        <v>5175</v>
      </c>
      <c r="G2069" s="223" t="s">
        <v>565</v>
      </c>
    </row>
    <row r="2070" spans="2:7" ht="30" customHeight="1" thickBot="1" x14ac:dyDescent="0.3">
      <c r="B2070" s="223" t="s">
        <v>5176</v>
      </c>
      <c r="C2070" s="223" t="s">
        <v>4713</v>
      </c>
      <c r="D2070" s="223" t="s">
        <v>5177</v>
      </c>
      <c r="E2070" s="223" t="s">
        <v>7103</v>
      </c>
      <c r="F2070" s="223" t="s">
        <v>5172</v>
      </c>
      <c r="G2070" s="223" t="s">
        <v>565</v>
      </c>
    </row>
    <row r="2071" spans="2:7" ht="30" customHeight="1" thickBot="1" x14ac:dyDescent="0.3">
      <c r="B2071" s="223" t="s">
        <v>5178</v>
      </c>
      <c r="C2071" s="223" t="s">
        <v>4713</v>
      </c>
      <c r="D2071" s="223" t="s">
        <v>5179</v>
      </c>
      <c r="E2071" s="223" t="s">
        <v>5180</v>
      </c>
      <c r="F2071" s="223" t="s">
        <v>5172</v>
      </c>
      <c r="G2071" s="223" t="s">
        <v>565</v>
      </c>
    </row>
    <row r="2072" spans="2:7" ht="30" customHeight="1" thickBot="1" x14ac:dyDescent="0.3">
      <c r="B2072" s="223" t="s">
        <v>5181</v>
      </c>
      <c r="C2072" s="223" t="s">
        <v>4713</v>
      </c>
      <c r="D2072" s="223" t="s">
        <v>5182</v>
      </c>
      <c r="E2072" s="223" t="s">
        <v>5146</v>
      </c>
      <c r="F2072" s="223" t="s">
        <v>5167</v>
      </c>
      <c r="G2072" s="223" t="s">
        <v>565</v>
      </c>
    </row>
    <row r="2073" spans="2:7" ht="30" customHeight="1" thickBot="1" x14ac:dyDescent="0.3">
      <c r="B2073" s="223" t="s">
        <v>5183</v>
      </c>
      <c r="C2073" s="223" t="s">
        <v>4713</v>
      </c>
      <c r="D2073" s="223" t="s">
        <v>5184</v>
      </c>
      <c r="E2073" s="223" t="s">
        <v>5185</v>
      </c>
      <c r="F2073" s="223" t="s">
        <v>5186</v>
      </c>
      <c r="G2073" s="223" t="s">
        <v>565</v>
      </c>
    </row>
    <row r="2074" spans="2:7" ht="30" customHeight="1" thickBot="1" x14ac:dyDescent="0.3">
      <c r="B2074" s="223" t="s">
        <v>5187</v>
      </c>
      <c r="C2074" s="223" t="s">
        <v>4713</v>
      </c>
      <c r="D2074" s="223" t="s">
        <v>5188</v>
      </c>
      <c r="E2074" s="223" t="s">
        <v>5189</v>
      </c>
      <c r="F2074" s="223" t="s">
        <v>5186</v>
      </c>
      <c r="G2074" s="223" t="s">
        <v>565</v>
      </c>
    </row>
    <row r="2075" spans="2:7" ht="30" customHeight="1" thickBot="1" x14ac:dyDescent="0.3">
      <c r="B2075" s="223" t="s">
        <v>5190</v>
      </c>
      <c r="C2075" s="223" t="s">
        <v>4713</v>
      </c>
      <c r="D2075" s="223" t="s">
        <v>5191</v>
      </c>
      <c r="E2075" s="223" t="s">
        <v>5192</v>
      </c>
      <c r="F2075" s="223" t="s">
        <v>5186</v>
      </c>
      <c r="G2075" s="223" t="s">
        <v>565</v>
      </c>
    </row>
    <row r="2076" spans="2:7" ht="30" customHeight="1" thickBot="1" x14ac:dyDescent="0.3">
      <c r="B2076" s="223" t="s">
        <v>5193</v>
      </c>
      <c r="C2076" s="223" t="s">
        <v>4713</v>
      </c>
      <c r="D2076" s="223" t="s">
        <v>5194</v>
      </c>
      <c r="E2076" s="223" t="s">
        <v>5192</v>
      </c>
      <c r="F2076" s="223" t="s">
        <v>5167</v>
      </c>
      <c r="G2076" s="223" t="s">
        <v>565</v>
      </c>
    </row>
    <row r="2077" spans="2:7" ht="30" customHeight="1" thickBot="1" x14ac:dyDescent="0.3">
      <c r="B2077" s="223" t="s">
        <v>5195</v>
      </c>
      <c r="C2077" s="223" t="s">
        <v>4713</v>
      </c>
      <c r="D2077" s="223" t="s">
        <v>5196</v>
      </c>
      <c r="E2077" s="223" t="s">
        <v>7102</v>
      </c>
      <c r="F2077" s="223" t="s">
        <v>5172</v>
      </c>
      <c r="G2077" s="223" t="s">
        <v>565</v>
      </c>
    </row>
    <row r="2078" spans="2:7" ht="30" customHeight="1" thickBot="1" x14ac:dyDescent="0.3">
      <c r="B2078" s="223" t="s">
        <v>5197</v>
      </c>
      <c r="C2078" s="223" t="s">
        <v>4713</v>
      </c>
      <c r="D2078" s="223" t="s">
        <v>5198</v>
      </c>
      <c r="E2078" s="223" t="s">
        <v>7104</v>
      </c>
      <c r="F2078" s="223" t="s">
        <v>5172</v>
      </c>
      <c r="G2078" s="223" t="s">
        <v>565</v>
      </c>
    </row>
    <row r="2079" spans="2:7" ht="30" customHeight="1" thickBot="1" x14ac:dyDescent="0.3">
      <c r="B2079" s="223" t="s">
        <v>5199</v>
      </c>
      <c r="C2079" s="223" t="s">
        <v>4713</v>
      </c>
      <c r="D2079" s="223" t="s">
        <v>5200</v>
      </c>
      <c r="E2079" s="223" t="s">
        <v>5201</v>
      </c>
      <c r="F2079" s="223" t="s">
        <v>5172</v>
      </c>
      <c r="G2079" s="223" t="s">
        <v>565</v>
      </c>
    </row>
    <row r="2080" spans="2:7" ht="30" customHeight="1" thickBot="1" x14ac:dyDescent="0.3">
      <c r="B2080" s="223" t="s">
        <v>5202</v>
      </c>
      <c r="C2080" s="223" t="s">
        <v>4713</v>
      </c>
      <c r="D2080" s="223" t="s">
        <v>5203</v>
      </c>
      <c r="E2080" s="223" t="s">
        <v>7105</v>
      </c>
      <c r="F2080" s="223" t="s">
        <v>5186</v>
      </c>
      <c r="G2080" s="223" t="s">
        <v>565</v>
      </c>
    </row>
    <row r="2081" spans="2:7" ht="30" customHeight="1" thickBot="1" x14ac:dyDescent="0.3">
      <c r="B2081" s="221" t="s">
        <v>5204</v>
      </c>
      <c r="C2081" s="221" t="s">
        <v>4713</v>
      </c>
      <c r="D2081" s="223" t="s">
        <v>5205</v>
      </c>
      <c r="E2081" s="221" t="s">
        <v>7106</v>
      </c>
      <c r="F2081" s="221" t="s">
        <v>5186</v>
      </c>
      <c r="G2081" s="221" t="s">
        <v>565</v>
      </c>
    </row>
    <row r="2082" spans="2:7" ht="30" customHeight="1" thickBot="1" x14ac:dyDescent="0.3">
      <c r="B2082" s="221"/>
      <c r="C2082" s="221"/>
      <c r="D2082" s="223" t="s">
        <v>5206</v>
      </c>
      <c r="E2082" s="221"/>
      <c r="F2082" s="221"/>
      <c r="G2082" s="221"/>
    </row>
    <row r="2083" spans="2:7" ht="30" customHeight="1" thickBot="1" x14ac:dyDescent="0.3">
      <c r="B2083" s="221"/>
      <c r="C2083" s="221"/>
      <c r="D2083" s="223" t="s">
        <v>5207</v>
      </c>
      <c r="E2083" s="221"/>
      <c r="F2083" s="221"/>
      <c r="G2083" s="221"/>
    </row>
    <row r="2084" spans="2:7" ht="30" customHeight="1" thickBot="1" x14ac:dyDescent="0.3">
      <c r="B2084" s="221"/>
      <c r="C2084" s="221"/>
      <c r="D2084" s="223" t="s">
        <v>5208</v>
      </c>
      <c r="E2084" s="221"/>
      <c r="F2084" s="221"/>
      <c r="G2084" s="221"/>
    </row>
    <row r="2085" spans="2:7" ht="30" customHeight="1" thickBot="1" x14ac:dyDescent="0.3">
      <c r="B2085" s="221"/>
      <c r="C2085" s="221"/>
      <c r="D2085" s="223" t="s">
        <v>5209</v>
      </c>
      <c r="E2085" s="221"/>
      <c r="F2085" s="221"/>
      <c r="G2085" s="221"/>
    </row>
    <row r="2086" spans="2:7" ht="30" customHeight="1" thickBot="1" x14ac:dyDescent="0.3">
      <c r="B2086" s="221"/>
      <c r="C2086" s="221"/>
      <c r="D2086" s="223" t="s">
        <v>5210</v>
      </c>
      <c r="E2086" s="221"/>
      <c r="F2086" s="221"/>
      <c r="G2086" s="221"/>
    </row>
    <row r="2087" spans="2:7" ht="30" customHeight="1" thickBot="1" x14ac:dyDescent="0.3">
      <c r="B2087" s="221"/>
      <c r="C2087" s="221"/>
      <c r="D2087" s="223" t="s">
        <v>5211</v>
      </c>
      <c r="E2087" s="221"/>
      <c r="F2087" s="221"/>
      <c r="G2087" s="221"/>
    </row>
    <row r="2088" spans="2:7" ht="30" customHeight="1" thickBot="1" x14ac:dyDescent="0.3">
      <c r="B2088" s="221"/>
      <c r="C2088" s="221"/>
      <c r="D2088" s="223" t="s">
        <v>5212</v>
      </c>
      <c r="E2088" s="221"/>
      <c r="F2088" s="221"/>
      <c r="G2088" s="221"/>
    </row>
    <row r="2089" spans="2:7" ht="30" customHeight="1" thickBot="1" x14ac:dyDescent="0.3">
      <c r="B2089" s="221"/>
      <c r="C2089" s="221"/>
      <c r="D2089" s="223" t="s">
        <v>5213</v>
      </c>
      <c r="E2089" s="221"/>
      <c r="F2089" s="221"/>
      <c r="G2089" s="221"/>
    </row>
    <row r="2090" spans="2:7" ht="30" customHeight="1" thickBot="1" x14ac:dyDescent="0.3">
      <c r="B2090" s="221" t="s">
        <v>5214</v>
      </c>
      <c r="C2090" s="221" t="s">
        <v>4713</v>
      </c>
      <c r="D2090" s="223" t="s">
        <v>5215</v>
      </c>
      <c r="E2090" s="221" t="s">
        <v>7107</v>
      </c>
      <c r="F2090" s="221" t="s">
        <v>5186</v>
      </c>
      <c r="G2090" s="221" t="s">
        <v>565</v>
      </c>
    </row>
    <row r="2091" spans="2:7" ht="30" customHeight="1" thickBot="1" x14ac:dyDescent="0.3">
      <c r="B2091" s="221"/>
      <c r="C2091" s="221"/>
      <c r="D2091" s="223" t="s">
        <v>5216</v>
      </c>
      <c r="E2091" s="221"/>
      <c r="F2091" s="221"/>
      <c r="G2091" s="221"/>
    </row>
    <row r="2092" spans="2:7" ht="30" customHeight="1" thickBot="1" x14ac:dyDescent="0.3">
      <c r="B2092" s="221"/>
      <c r="C2092" s="221"/>
      <c r="D2092" s="223" t="s">
        <v>5217</v>
      </c>
      <c r="E2092" s="221"/>
      <c r="F2092" s="221"/>
      <c r="G2092" s="221"/>
    </row>
    <row r="2093" spans="2:7" ht="30" customHeight="1" thickBot="1" x14ac:dyDescent="0.3">
      <c r="B2093" s="221"/>
      <c r="C2093" s="221"/>
      <c r="D2093" s="223" t="s">
        <v>5218</v>
      </c>
      <c r="E2093" s="221"/>
      <c r="F2093" s="221"/>
      <c r="G2093" s="221"/>
    </row>
    <row r="2094" spans="2:7" ht="30" customHeight="1" thickBot="1" x14ac:dyDescent="0.3">
      <c r="B2094" s="221"/>
      <c r="C2094" s="221"/>
      <c r="D2094" s="223" t="s">
        <v>5219</v>
      </c>
      <c r="E2094" s="221"/>
      <c r="F2094" s="221"/>
      <c r="G2094" s="221"/>
    </row>
    <row r="2095" spans="2:7" ht="30" customHeight="1" thickBot="1" x14ac:dyDescent="0.3">
      <c r="B2095" s="221"/>
      <c r="C2095" s="221"/>
      <c r="D2095" s="223" t="s">
        <v>5220</v>
      </c>
      <c r="E2095" s="221"/>
      <c r="F2095" s="221"/>
      <c r="G2095" s="221"/>
    </row>
    <row r="2096" spans="2:7" ht="30" customHeight="1" thickBot="1" x14ac:dyDescent="0.3">
      <c r="B2096" s="221"/>
      <c r="C2096" s="221"/>
      <c r="D2096" s="223" t="s">
        <v>5221</v>
      </c>
      <c r="E2096" s="221"/>
      <c r="F2096" s="221"/>
      <c r="G2096" s="221"/>
    </row>
    <row r="2097" spans="2:7" ht="30" customHeight="1" thickBot="1" x14ac:dyDescent="0.3">
      <c r="B2097" s="221"/>
      <c r="C2097" s="221"/>
      <c r="D2097" s="223" t="s">
        <v>5222</v>
      </c>
      <c r="E2097" s="221"/>
      <c r="F2097" s="221"/>
      <c r="G2097" s="221"/>
    </row>
    <row r="2098" spans="2:7" ht="30" customHeight="1" thickBot="1" x14ac:dyDescent="0.3">
      <c r="B2098" s="221" t="s">
        <v>5223</v>
      </c>
      <c r="C2098" s="221" t="s">
        <v>4713</v>
      </c>
      <c r="D2098" s="223" t="s">
        <v>5224</v>
      </c>
      <c r="E2098" s="221" t="s">
        <v>5225</v>
      </c>
      <c r="F2098" s="221" t="s">
        <v>5186</v>
      </c>
      <c r="G2098" s="221" t="s">
        <v>565</v>
      </c>
    </row>
    <row r="2099" spans="2:7" ht="30" customHeight="1" thickBot="1" x14ac:dyDescent="0.3">
      <c r="B2099" s="221"/>
      <c r="C2099" s="221"/>
      <c r="D2099" s="223" t="s">
        <v>5226</v>
      </c>
      <c r="E2099" s="221"/>
      <c r="F2099" s="221"/>
      <c r="G2099" s="221"/>
    </row>
    <row r="2100" spans="2:7" ht="30" customHeight="1" thickBot="1" x14ac:dyDescent="0.3">
      <c r="B2100" s="221" t="s">
        <v>5227</v>
      </c>
      <c r="C2100" s="221" t="s">
        <v>4713</v>
      </c>
      <c r="D2100" s="223" t="s">
        <v>5228</v>
      </c>
      <c r="E2100" s="221" t="s">
        <v>5229</v>
      </c>
      <c r="F2100" s="221" t="s">
        <v>5186</v>
      </c>
      <c r="G2100" s="221" t="s">
        <v>565</v>
      </c>
    </row>
    <row r="2101" spans="2:7" ht="30" customHeight="1" thickBot="1" x14ac:dyDescent="0.3">
      <c r="B2101" s="221"/>
      <c r="C2101" s="221"/>
      <c r="D2101" s="223" t="s">
        <v>5230</v>
      </c>
      <c r="E2101" s="221"/>
      <c r="F2101" s="221"/>
      <c r="G2101" s="221"/>
    </row>
    <row r="2102" spans="2:7" ht="30" customHeight="1" thickBot="1" x14ac:dyDescent="0.3">
      <c r="B2102" s="221" t="s">
        <v>5231</v>
      </c>
      <c r="C2102" s="221" t="s">
        <v>4713</v>
      </c>
      <c r="D2102" s="221" t="s">
        <v>5232</v>
      </c>
      <c r="E2102" s="221" t="s">
        <v>5233</v>
      </c>
      <c r="F2102" s="223" t="s">
        <v>5234</v>
      </c>
      <c r="G2102" s="221" t="s">
        <v>565</v>
      </c>
    </row>
    <row r="2103" spans="2:7" ht="30" customHeight="1" thickBot="1" x14ac:dyDescent="0.3">
      <c r="B2103" s="221"/>
      <c r="C2103" s="221"/>
      <c r="D2103" s="221"/>
      <c r="E2103" s="221"/>
      <c r="F2103" s="223" t="s">
        <v>4977</v>
      </c>
      <c r="G2103" s="221"/>
    </row>
    <row r="2104" spans="2:7" ht="30" customHeight="1" thickBot="1" x14ac:dyDescent="0.3">
      <c r="B2104" s="221" t="s">
        <v>5235</v>
      </c>
      <c r="C2104" s="221" t="s">
        <v>4713</v>
      </c>
      <c r="D2104" s="221" t="s">
        <v>5236</v>
      </c>
      <c r="E2104" s="221" t="s">
        <v>5237</v>
      </c>
      <c r="F2104" s="223" t="s">
        <v>5234</v>
      </c>
      <c r="G2104" s="221" t="s">
        <v>565</v>
      </c>
    </row>
    <row r="2105" spans="2:7" ht="30" customHeight="1" thickBot="1" x14ac:dyDescent="0.3">
      <c r="B2105" s="221"/>
      <c r="C2105" s="221"/>
      <c r="D2105" s="221"/>
      <c r="E2105" s="221"/>
      <c r="F2105" s="223" t="s">
        <v>4977</v>
      </c>
      <c r="G2105" s="221"/>
    </row>
    <row r="2106" spans="2:7" ht="30" customHeight="1" thickBot="1" x14ac:dyDescent="0.3">
      <c r="B2106" s="223" t="s">
        <v>5238</v>
      </c>
      <c r="C2106" s="223" t="s">
        <v>4713</v>
      </c>
      <c r="D2106" s="223" t="s">
        <v>10097</v>
      </c>
      <c r="E2106" s="223" t="s">
        <v>5239</v>
      </c>
      <c r="F2106" s="223" t="s">
        <v>5240</v>
      </c>
      <c r="G2106" s="223" t="s">
        <v>565</v>
      </c>
    </row>
    <row r="2107" spans="2:7" ht="30" customHeight="1" thickBot="1" x14ac:dyDescent="0.3">
      <c r="B2107" s="221" t="s">
        <v>5241</v>
      </c>
      <c r="C2107" s="221" t="s">
        <v>4713</v>
      </c>
      <c r="D2107" s="221" t="s">
        <v>5242</v>
      </c>
      <c r="E2107" s="221" t="s">
        <v>5243</v>
      </c>
      <c r="F2107" s="223" t="s">
        <v>5244</v>
      </c>
      <c r="G2107" s="221" t="s">
        <v>565</v>
      </c>
    </row>
    <row r="2108" spans="2:7" ht="30" customHeight="1" thickBot="1" x14ac:dyDescent="0.3">
      <c r="B2108" s="221"/>
      <c r="C2108" s="221"/>
      <c r="D2108" s="221"/>
      <c r="E2108" s="221"/>
      <c r="F2108" s="223" t="s">
        <v>5245</v>
      </c>
      <c r="G2108" s="221"/>
    </row>
    <row r="2109" spans="2:7" ht="30" customHeight="1" thickBot="1" x14ac:dyDescent="0.3">
      <c r="B2109" s="221"/>
      <c r="C2109" s="221"/>
      <c r="D2109" s="221"/>
      <c r="E2109" s="221"/>
      <c r="F2109" s="223" t="s">
        <v>5246</v>
      </c>
      <c r="G2109" s="221"/>
    </row>
    <row r="2110" spans="2:7" ht="30" customHeight="1" thickBot="1" x14ac:dyDescent="0.3">
      <c r="B2110" s="221" t="s">
        <v>5247</v>
      </c>
      <c r="C2110" s="221" t="s">
        <v>4713</v>
      </c>
      <c r="D2110" s="221" t="s">
        <v>10098</v>
      </c>
      <c r="E2110" s="221" t="s">
        <v>5248</v>
      </c>
      <c r="F2110" s="223" t="s">
        <v>5234</v>
      </c>
      <c r="G2110" s="221" t="s">
        <v>565</v>
      </c>
    </row>
    <row r="2111" spans="2:7" ht="30" customHeight="1" thickBot="1" x14ac:dyDescent="0.3">
      <c r="B2111" s="221"/>
      <c r="C2111" s="221"/>
      <c r="D2111" s="221"/>
      <c r="E2111" s="221"/>
      <c r="F2111" s="223" t="s">
        <v>5249</v>
      </c>
      <c r="G2111" s="221"/>
    </row>
    <row r="2112" spans="2:7" ht="30" customHeight="1" thickBot="1" x14ac:dyDescent="0.3">
      <c r="B2112" s="221" t="s">
        <v>5250</v>
      </c>
      <c r="C2112" s="221" t="s">
        <v>4713</v>
      </c>
      <c r="D2112" s="221" t="s">
        <v>5251</v>
      </c>
      <c r="E2112" s="221" t="s">
        <v>9313</v>
      </c>
      <c r="F2112" s="223" t="s">
        <v>5234</v>
      </c>
      <c r="G2112" s="221" t="s">
        <v>565</v>
      </c>
    </row>
    <row r="2113" spans="2:7" ht="30" customHeight="1" thickBot="1" x14ac:dyDescent="0.3">
      <c r="B2113" s="221"/>
      <c r="C2113" s="221"/>
      <c r="D2113" s="221"/>
      <c r="E2113" s="221"/>
      <c r="F2113" s="223" t="s">
        <v>5252</v>
      </c>
      <c r="G2113" s="221"/>
    </row>
    <row r="2114" spans="2:7" ht="30" customHeight="1" thickBot="1" x14ac:dyDescent="0.3">
      <c r="B2114" s="221" t="s">
        <v>5253</v>
      </c>
      <c r="C2114" s="221" t="s">
        <v>4713</v>
      </c>
      <c r="D2114" s="221" t="s">
        <v>5254</v>
      </c>
      <c r="E2114" s="221" t="s">
        <v>9314</v>
      </c>
      <c r="F2114" s="223" t="s">
        <v>5234</v>
      </c>
      <c r="G2114" s="221" t="s">
        <v>565</v>
      </c>
    </row>
    <row r="2115" spans="2:7" ht="30" customHeight="1" thickBot="1" x14ac:dyDescent="0.3">
      <c r="B2115" s="221"/>
      <c r="C2115" s="221"/>
      <c r="D2115" s="221"/>
      <c r="E2115" s="221"/>
      <c r="F2115" s="223" t="s">
        <v>5255</v>
      </c>
      <c r="G2115" s="221"/>
    </row>
    <row r="2116" spans="2:7" ht="30" customHeight="1" thickBot="1" x14ac:dyDescent="0.3">
      <c r="B2116" s="223" t="s">
        <v>5256</v>
      </c>
      <c r="C2116" s="223" t="s">
        <v>4713</v>
      </c>
      <c r="D2116" s="223" t="s">
        <v>5257</v>
      </c>
      <c r="E2116" s="223" t="s">
        <v>8005</v>
      </c>
      <c r="F2116" s="223" t="s">
        <v>5258</v>
      </c>
      <c r="G2116" s="223" t="s">
        <v>565</v>
      </c>
    </row>
    <row r="2117" spans="2:7" ht="30" customHeight="1" thickBot="1" x14ac:dyDescent="0.3">
      <c r="B2117" s="221" t="s">
        <v>5259</v>
      </c>
      <c r="C2117" s="221" t="s">
        <v>4713</v>
      </c>
      <c r="D2117" s="221" t="s">
        <v>5260</v>
      </c>
      <c r="E2117" s="221" t="s">
        <v>5261</v>
      </c>
      <c r="F2117" s="223" t="s">
        <v>5186</v>
      </c>
      <c r="G2117" s="221" t="s">
        <v>565</v>
      </c>
    </row>
    <row r="2118" spans="2:7" ht="30" customHeight="1" thickBot="1" x14ac:dyDescent="0.3">
      <c r="B2118" s="221"/>
      <c r="C2118" s="221"/>
      <c r="D2118" s="221"/>
      <c r="E2118" s="221"/>
      <c r="F2118" s="223"/>
      <c r="G2118" s="221"/>
    </row>
    <row r="2119" spans="2:7" ht="30" customHeight="1" thickBot="1" x14ac:dyDescent="0.3">
      <c r="B2119" s="221"/>
      <c r="C2119" s="221"/>
      <c r="D2119" s="221"/>
      <c r="E2119" s="221"/>
      <c r="F2119" s="223" t="s">
        <v>5262</v>
      </c>
      <c r="G2119" s="221"/>
    </row>
    <row r="2120" spans="2:7" ht="30" customHeight="1" thickBot="1" x14ac:dyDescent="0.3">
      <c r="B2120" s="221"/>
      <c r="C2120" s="221"/>
      <c r="D2120" s="221"/>
      <c r="E2120" s="221"/>
      <c r="F2120" s="223"/>
      <c r="G2120" s="221"/>
    </row>
    <row r="2121" spans="2:7" ht="30" customHeight="1" thickBot="1" x14ac:dyDescent="0.3">
      <c r="B2121" s="221"/>
      <c r="C2121" s="221"/>
      <c r="D2121" s="221"/>
      <c r="E2121" s="221"/>
      <c r="F2121" s="223" t="s">
        <v>5263</v>
      </c>
      <c r="G2121" s="221"/>
    </row>
    <row r="2122" spans="2:7" ht="30" customHeight="1" thickBot="1" x14ac:dyDescent="0.3">
      <c r="B2122" s="221" t="s">
        <v>5264</v>
      </c>
      <c r="C2122" s="221" t="s">
        <v>4713</v>
      </c>
      <c r="D2122" s="221" t="s">
        <v>5265</v>
      </c>
      <c r="E2122" s="221" t="s">
        <v>8277</v>
      </c>
      <c r="F2122" s="223" t="s">
        <v>5266</v>
      </c>
      <c r="G2122" s="221" t="s">
        <v>565</v>
      </c>
    </row>
    <row r="2123" spans="2:7" ht="30" customHeight="1" thickBot="1" x14ac:dyDescent="0.3">
      <c r="B2123" s="221"/>
      <c r="C2123" s="221"/>
      <c r="D2123" s="221"/>
      <c r="E2123" s="221"/>
      <c r="F2123" s="223" t="s">
        <v>5267</v>
      </c>
      <c r="G2123" s="221"/>
    </row>
    <row r="2124" spans="2:7" ht="30" customHeight="1" thickBot="1" x14ac:dyDescent="0.3">
      <c r="B2124" s="223" t="s">
        <v>5268</v>
      </c>
      <c r="C2124" s="223" t="s">
        <v>4713</v>
      </c>
      <c r="D2124" s="223" t="s">
        <v>5269</v>
      </c>
      <c r="E2124" s="223" t="s">
        <v>5270</v>
      </c>
      <c r="F2124" s="223" t="s">
        <v>5186</v>
      </c>
      <c r="G2124" s="223" t="s">
        <v>565</v>
      </c>
    </row>
    <row r="2125" spans="2:7" ht="30" customHeight="1" thickBot="1" x14ac:dyDescent="0.3">
      <c r="B2125" s="221" t="s">
        <v>5271</v>
      </c>
      <c r="C2125" s="221" t="s">
        <v>4713</v>
      </c>
      <c r="D2125" s="223" t="s">
        <v>5272</v>
      </c>
      <c r="E2125" s="221" t="s">
        <v>5273</v>
      </c>
      <c r="F2125" s="223" t="s">
        <v>5234</v>
      </c>
      <c r="G2125" s="221" t="s">
        <v>565</v>
      </c>
    </row>
    <row r="2126" spans="2:7" ht="30" customHeight="1" thickBot="1" x14ac:dyDescent="0.3">
      <c r="B2126" s="221"/>
      <c r="C2126" s="221"/>
      <c r="D2126" s="223" t="s">
        <v>5274</v>
      </c>
      <c r="E2126" s="221"/>
      <c r="F2126" s="223" t="s">
        <v>5275</v>
      </c>
      <c r="G2126" s="221"/>
    </row>
    <row r="2127" spans="2:7" ht="30" customHeight="1" thickBot="1" x14ac:dyDescent="0.3">
      <c r="B2127" s="221"/>
      <c r="C2127" s="221"/>
      <c r="D2127" s="223" t="s">
        <v>5276</v>
      </c>
      <c r="E2127" s="221"/>
      <c r="F2127" s="223" t="s">
        <v>5277</v>
      </c>
      <c r="G2127" s="221"/>
    </row>
    <row r="2128" spans="2:7" ht="30" customHeight="1" thickBot="1" x14ac:dyDescent="0.3">
      <c r="B2128" s="221"/>
      <c r="C2128" s="221"/>
      <c r="D2128" s="223" t="s">
        <v>5278</v>
      </c>
      <c r="E2128" s="221"/>
      <c r="F2128" s="223"/>
      <c r="G2128" s="221"/>
    </row>
    <row r="2129" spans="2:7" ht="30" customHeight="1" thickBot="1" x14ac:dyDescent="0.3">
      <c r="B2129" s="221"/>
      <c r="C2129" s="221"/>
      <c r="D2129" s="223" t="s">
        <v>5279</v>
      </c>
      <c r="E2129" s="221"/>
      <c r="F2129" s="223"/>
      <c r="G2129" s="221"/>
    </row>
    <row r="2130" spans="2:7" ht="30" customHeight="1" thickBot="1" x14ac:dyDescent="0.3">
      <c r="B2130" s="221"/>
      <c r="C2130" s="221"/>
      <c r="D2130" s="223" t="s">
        <v>5280</v>
      </c>
      <c r="E2130" s="221"/>
      <c r="F2130" s="223"/>
      <c r="G2130" s="221"/>
    </row>
    <row r="2131" spans="2:7" ht="30" customHeight="1" thickBot="1" x14ac:dyDescent="0.3">
      <c r="B2131" s="223" t="s">
        <v>5281</v>
      </c>
      <c r="C2131" s="223" t="s">
        <v>4713</v>
      </c>
      <c r="D2131" s="223" t="s">
        <v>5282</v>
      </c>
      <c r="E2131" s="223" t="s">
        <v>5283</v>
      </c>
      <c r="F2131" s="223" t="s">
        <v>5234</v>
      </c>
      <c r="G2131" s="223" t="s">
        <v>565</v>
      </c>
    </row>
    <row r="2132" spans="2:7" ht="30" customHeight="1" thickBot="1" x14ac:dyDescent="0.3">
      <c r="B2132" s="221" t="s">
        <v>5284</v>
      </c>
      <c r="C2132" s="221" t="s">
        <v>4713</v>
      </c>
      <c r="D2132" s="221" t="s">
        <v>5285</v>
      </c>
      <c r="E2132" s="221" t="s">
        <v>8244</v>
      </c>
      <c r="F2132" s="223" t="s">
        <v>4955</v>
      </c>
      <c r="G2132" s="221" t="s">
        <v>565</v>
      </c>
    </row>
    <row r="2133" spans="2:7" ht="30" customHeight="1" thickBot="1" x14ac:dyDescent="0.3">
      <c r="B2133" s="221"/>
      <c r="C2133" s="221"/>
      <c r="D2133" s="221"/>
      <c r="E2133" s="221"/>
      <c r="F2133" s="223" t="s">
        <v>5286</v>
      </c>
      <c r="G2133" s="221"/>
    </row>
    <row r="2134" spans="2:7" ht="30" customHeight="1" thickBot="1" x14ac:dyDescent="0.3">
      <c r="B2134" s="221" t="s">
        <v>5287</v>
      </c>
      <c r="C2134" s="221" t="s">
        <v>4713</v>
      </c>
      <c r="D2134" s="221" t="s">
        <v>5288</v>
      </c>
      <c r="E2134" s="221" t="s">
        <v>5289</v>
      </c>
      <c r="F2134" s="223" t="s">
        <v>4955</v>
      </c>
      <c r="G2134" s="221" t="s">
        <v>565</v>
      </c>
    </row>
    <row r="2135" spans="2:7" ht="30" customHeight="1" thickBot="1" x14ac:dyDescent="0.3">
      <c r="B2135" s="221"/>
      <c r="C2135" s="221"/>
      <c r="D2135" s="221"/>
      <c r="E2135" s="221"/>
      <c r="F2135" s="223" t="s">
        <v>5290</v>
      </c>
      <c r="G2135" s="221"/>
    </row>
    <row r="2136" spans="2:7" ht="30" customHeight="1" thickBot="1" x14ac:dyDescent="0.3">
      <c r="B2136" s="223" t="s">
        <v>5291</v>
      </c>
      <c r="C2136" s="223" t="s">
        <v>4713</v>
      </c>
      <c r="D2136" s="223" t="s">
        <v>5292</v>
      </c>
      <c r="E2136" s="223" t="s">
        <v>7108</v>
      </c>
      <c r="F2136" s="223" t="s">
        <v>5293</v>
      </c>
      <c r="G2136" s="223" t="s">
        <v>565</v>
      </c>
    </row>
    <row r="2137" spans="2:7" ht="30" customHeight="1" thickBot="1" x14ac:dyDescent="0.3">
      <c r="B2137" s="223" t="s">
        <v>5294</v>
      </c>
      <c r="C2137" s="223" t="s">
        <v>4713</v>
      </c>
      <c r="D2137" s="223" t="s">
        <v>5295</v>
      </c>
      <c r="E2137" s="223" t="s">
        <v>5296</v>
      </c>
      <c r="F2137" s="223" t="s">
        <v>5240</v>
      </c>
      <c r="G2137" s="223" t="s">
        <v>565</v>
      </c>
    </row>
    <row r="2138" spans="2:7" ht="30" customHeight="1" thickBot="1" x14ac:dyDescent="0.3">
      <c r="B2138" s="223" t="s">
        <v>5297</v>
      </c>
      <c r="C2138" s="223" t="s">
        <v>4713</v>
      </c>
      <c r="D2138" s="223" t="s">
        <v>5298</v>
      </c>
      <c r="E2138" s="223" t="s">
        <v>7109</v>
      </c>
      <c r="F2138" s="223" t="s">
        <v>4955</v>
      </c>
      <c r="G2138" s="223" t="s">
        <v>565</v>
      </c>
    </row>
    <row r="2139" spans="2:7" ht="30" customHeight="1" thickBot="1" x14ac:dyDescent="0.3">
      <c r="B2139" s="223">
        <v>1786</v>
      </c>
      <c r="C2139" s="223" t="s">
        <v>5299</v>
      </c>
      <c r="D2139" s="223" t="s">
        <v>3123</v>
      </c>
      <c r="E2139" s="223" t="s">
        <v>8705</v>
      </c>
      <c r="F2139" s="223" t="s">
        <v>3124</v>
      </c>
      <c r="G2139" s="223" t="s">
        <v>2065</v>
      </c>
    </row>
    <row r="2140" spans="2:7" ht="30" customHeight="1" thickBot="1" x14ac:dyDescent="0.3">
      <c r="B2140" s="223">
        <v>1787</v>
      </c>
      <c r="C2140" s="223" t="s">
        <v>5299</v>
      </c>
      <c r="D2140" s="223" t="s">
        <v>3125</v>
      </c>
      <c r="E2140" s="223" t="s">
        <v>8817</v>
      </c>
      <c r="F2140" s="223" t="s">
        <v>3126</v>
      </c>
      <c r="G2140" s="223" t="s">
        <v>2065</v>
      </c>
    </row>
    <row r="2141" spans="2:7" ht="30" customHeight="1" thickBot="1" x14ac:dyDescent="0.3">
      <c r="B2141" s="223">
        <v>1788</v>
      </c>
      <c r="C2141" s="223" t="s">
        <v>5299</v>
      </c>
      <c r="D2141" s="223" t="s">
        <v>10099</v>
      </c>
      <c r="E2141" s="223" t="s">
        <v>8818</v>
      </c>
      <c r="F2141" s="223" t="s">
        <v>3128</v>
      </c>
      <c r="G2141" s="223" t="s">
        <v>2065</v>
      </c>
    </row>
    <row r="2142" spans="2:7" ht="30" customHeight="1" thickBot="1" x14ac:dyDescent="0.3">
      <c r="B2142" s="219">
        <v>1789</v>
      </c>
      <c r="C2142" s="220" t="s">
        <v>5300</v>
      </c>
      <c r="D2142" s="220" t="s">
        <v>5301</v>
      </c>
      <c r="E2142" s="220" t="s">
        <v>8675</v>
      </c>
      <c r="F2142" s="220" t="s">
        <v>5302</v>
      </c>
      <c r="G2142" s="220" t="s">
        <v>3379</v>
      </c>
    </row>
    <row r="2143" spans="2:7" ht="30" customHeight="1" thickBot="1" x14ac:dyDescent="0.3">
      <c r="B2143" s="219">
        <v>1790</v>
      </c>
      <c r="C2143" s="220" t="s">
        <v>5300</v>
      </c>
      <c r="D2143" s="220" t="s">
        <v>5303</v>
      </c>
      <c r="E2143" s="220" t="s">
        <v>7078</v>
      </c>
      <c r="F2143" s="220" t="s">
        <v>5304</v>
      </c>
      <c r="G2143" s="220" t="s">
        <v>3379</v>
      </c>
    </row>
    <row r="2144" spans="2:7" ht="30" customHeight="1" thickBot="1" x14ac:dyDescent="0.3">
      <c r="B2144" s="219">
        <v>1791</v>
      </c>
      <c r="C2144" s="220" t="s">
        <v>5300</v>
      </c>
      <c r="D2144" s="220" t="s">
        <v>5305</v>
      </c>
      <c r="E2144" s="220" t="s">
        <v>8819</v>
      </c>
      <c r="F2144" s="220" t="s">
        <v>5306</v>
      </c>
      <c r="G2144" s="220" t="s">
        <v>3379</v>
      </c>
    </row>
    <row r="2145" spans="2:7" ht="30" customHeight="1" thickBot="1" x14ac:dyDescent="0.3">
      <c r="B2145" s="219">
        <v>1792</v>
      </c>
      <c r="C2145" s="220" t="s">
        <v>5300</v>
      </c>
      <c r="D2145" s="220" t="s">
        <v>5307</v>
      </c>
      <c r="E2145" s="220" t="s">
        <v>6961</v>
      </c>
      <c r="F2145" s="220" t="s">
        <v>5308</v>
      </c>
      <c r="G2145" s="220" t="s">
        <v>84</v>
      </c>
    </row>
    <row r="2146" spans="2:7" ht="30" customHeight="1" thickBot="1" x14ac:dyDescent="0.3">
      <c r="B2146" s="219">
        <v>1793</v>
      </c>
      <c r="C2146" s="220" t="s">
        <v>5300</v>
      </c>
      <c r="D2146" s="220" t="s">
        <v>5309</v>
      </c>
      <c r="E2146" s="220" t="s">
        <v>7079</v>
      </c>
      <c r="F2146" s="220" t="s">
        <v>5310</v>
      </c>
      <c r="G2146" s="220" t="s">
        <v>3379</v>
      </c>
    </row>
    <row r="2147" spans="2:7" ht="30" customHeight="1" thickBot="1" x14ac:dyDescent="0.3">
      <c r="B2147" s="219">
        <v>1794</v>
      </c>
      <c r="C2147" s="220" t="s">
        <v>5300</v>
      </c>
      <c r="D2147" s="220" t="s">
        <v>5311</v>
      </c>
      <c r="E2147" s="220" t="s">
        <v>6962</v>
      </c>
      <c r="F2147" s="220" t="s">
        <v>5312</v>
      </c>
      <c r="G2147" s="220" t="s">
        <v>84</v>
      </c>
    </row>
    <row r="2148" spans="2:7" ht="30" customHeight="1" thickBot="1" x14ac:dyDescent="0.3">
      <c r="B2148" s="219">
        <v>1795</v>
      </c>
      <c r="C2148" s="220" t="s">
        <v>5300</v>
      </c>
      <c r="D2148" s="220" t="s">
        <v>5313</v>
      </c>
      <c r="E2148" s="220" t="s">
        <v>8820</v>
      </c>
      <c r="F2148" s="220" t="s">
        <v>5314</v>
      </c>
      <c r="G2148" s="220" t="s">
        <v>3379</v>
      </c>
    </row>
    <row r="2149" spans="2:7" ht="30" customHeight="1" thickBot="1" x14ac:dyDescent="0.3">
      <c r="B2149" s="219">
        <v>1796</v>
      </c>
      <c r="C2149" s="220" t="s">
        <v>5300</v>
      </c>
      <c r="D2149" s="220" t="s">
        <v>5315</v>
      </c>
      <c r="E2149" s="220" t="s">
        <v>8389</v>
      </c>
      <c r="F2149" s="220" t="s">
        <v>5316</v>
      </c>
      <c r="G2149" s="220" t="s">
        <v>3379</v>
      </c>
    </row>
    <row r="2150" spans="2:7" ht="30" customHeight="1" thickBot="1" x14ac:dyDescent="0.3">
      <c r="B2150" s="219">
        <v>1797</v>
      </c>
      <c r="C2150" s="220" t="s">
        <v>5300</v>
      </c>
      <c r="D2150" s="220" t="s">
        <v>5317</v>
      </c>
      <c r="E2150" s="220" t="s">
        <v>8552</v>
      </c>
      <c r="F2150" s="220" t="s">
        <v>5318</v>
      </c>
      <c r="G2150" s="220" t="s">
        <v>3379</v>
      </c>
    </row>
    <row r="2151" spans="2:7" ht="30" customHeight="1" thickBot="1" x14ac:dyDescent="0.3">
      <c r="B2151" s="219">
        <v>1798</v>
      </c>
      <c r="C2151" s="220" t="s">
        <v>5300</v>
      </c>
      <c r="D2151" s="220" t="s">
        <v>10100</v>
      </c>
      <c r="E2151" s="220" t="s">
        <v>8821</v>
      </c>
      <c r="F2151" s="220" t="s">
        <v>5318</v>
      </c>
      <c r="G2151" s="220" t="s">
        <v>322</v>
      </c>
    </row>
    <row r="2152" spans="2:7" ht="30" customHeight="1" thickBot="1" x14ac:dyDescent="0.3">
      <c r="B2152" s="219">
        <v>1799</v>
      </c>
      <c r="C2152" s="220" t="s">
        <v>5300</v>
      </c>
      <c r="D2152" s="220" t="s">
        <v>5319</v>
      </c>
      <c r="E2152" s="220" t="s">
        <v>8822</v>
      </c>
      <c r="F2152" s="220" t="s">
        <v>5320</v>
      </c>
      <c r="G2152" s="220" t="s">
        <v>322</v>
      </c>
    </row>
    <row r="2153" spans="2:7" ht="30" customHeight="1" thickBot="1" x14ac:dyDescent="0.3">
      <c r="B2153" s="219">
        <v>1800</v>
      </c>
      <c r="C2153" s="220" t="s">
        <v>5300</v>
      </c>
      <c r="D2153" s="220" t="s">
        <v>5321</v>
      </c>
      <c r="E2153" s="220" t="s">
        <v>7268</v>
      </c>
      <c r="F2153" s="220" t="s">
        <v>5322</v>
      </c>
      <c r="G2153" s="220" t="s">
        <v>3379</v>
      </c>
    </row>
    <row r="2154" spans="2:7" ht="30" customHeight="1" thickBot="1" x14ac:dyDescent="0.3">
      <c r="B2154" s="219">
        <v>1801</v>
      </c>
      <c r="C2154" s="220" t="s">
        <v>5300</v>
      </c>
      <c r="D2154" s="220" t="s">
        <v>5323</v>
      </c>
      <c r="E2154" s="220" t="s">
        <v>7269</v>
      </c>
      <c r="F2154" s="220" t="s">
        <v>5324</v>
      </c>
      <c r="G2154" s="220" t="s">
        <v>3379</v>
      </c>
    </row>
    <row r="2155" spans="2:7" ht="30" customHeight="1" thickBot="1" x14ac:dyDescent="0.3">
      <c r="B2155" s="219">
        <v>1802</v>
      </c>
      <c r="C2155" s="220" t="s">
        <v>5300</v>
      </c>
      <c r="D2155" s="220" t="s">
        <v>5325</v>
      </c>
      <c r="E2155" s="220" t="s">
        <v>9027</v>
      </c>
      <c r="F2155" s="220" t="s">
        <v>5326</v>
      </c>
      <c r="G2155" s="220" t="s">
        <v>84</v>
      </c>
    </row>
    <row r="2156" spans="2:7" ht="30" customHeight="1" thickBot="1" x14ac:dyDescent="0.3">
      <c r="B2156" s="219">
        <v>1803</v>
      </c>
      <c r="C2156" s="220" t="s">
        <v>5300</v>
      </c>
      <c r="D2156" s="220" t="s">
        <v>5327</v>
      </c>
      <c r="E2156" s="220" t="s">
        <v>9028</v>
      </c>
      <c r="F2156" s="220" t="s">
        <v>5326</v>
      </c>
      <c r="G2156" s="220" t="s">
        <v>84</v>
      </c>
    </row>
    <row r="2157" spans="2:7" ht="30" customHeight="1" thickBot="1" x14ac:dyDescent="0.3">
      <c r="B2157" s="219">
        <v>1804</v>
      </c>
      <c r="C2157" s="220" t="s">
        <v>5300</v>
      </c>
      <c r="D2157" s="220" t="s">
        <v>5328</v>
      </c>
      <c r="E2157" s="220" t="s">
        <v>9029</v>
      </c>
      <c r="F2157" s="220" t="s">
        <v>5329</v>
      </c>
      <c r="G2157" s="220" t="s">
        <v>84</v>
      </c>
    </row>
    <row r="2158" spans="2:7" ht="30" customHeight="1" thickBot="1" x14ac:dyDescent="0.3">
      <c r="B2158" s="219">
        <v>1805</v>
      </c>
      <c r="C2158" s="220" t="s">
        <v>5300</v>
      </c>
      <c r="D2158" s="220" t="s">
        <v>5330</v>
      </c>
      <c r="E2158" s="220" t="s">
        <v>6963</v>
      </c>
      <c r="F2158" s="220" t="s">
        <v>5331</v>
      </c>
      <c r="G2158" s="220" t="s">
        <v>84</v>
      </c>
    </row>
    <row r="2159" spans="2:7" ht="30" customHeight="1" thickBot="1" x14ac:dyDescent="0.3">
      <c r="B2159" s="219">
        <v>1806</v>
      </c>
      <c r="C2159" s="220" t="s">
        <v>5300</v>
      </c>
      <c r="D2159" s="220" t="s">
        <v>5332</v>
      </c>
      <c r="E2159" s="220" t="s">
        <v>6964</v>
      </c>
      <c r="F2159" s="220" t="s">
        <v>5333</v>
      </c>
      <c r="G2159" s="220" t="s">
        <v>84</v>
      </c>
    </row>
    <row r="2160" spans="2:7" ht="30" customHeight="1" thickBot="1" x14ac:dyDescent="0.3">
      <c r="B2160" s="219">
        <v>1807</v>
      </c>
      <c r="C2160" s="220" t="s">
        <v>5300</v>
      </c>
      <c r="D2160" s="220" t="s">
        <v>5334</v>
      </c>
      <c r="E2160" s="220" t="s">
        <v>8553</v>
      </c>
      <c r="F2160" s="220" t="s">
        <v>5335</v>
      </c>
      <c r="G2160" s="220" t="s">
        <v>84</v>
      </c>
    </row>
    <row r="2161" spans="2:7" ht="30" customHeight="1" thickBot="1" x14ac:dyDescent="0.3">
      <c r="B2161" s="219">
        <v>1808</v>
      </c>
      <c r="C2161" s="220" t="s">
        <v>5300</v>
      </c>
      <c r="D2161" s="220" t="s">
        <v>5336</v>
      </c>
      <c r="E2161" s="220" t="s">
        <v>6965</v>
      </c>
      <c r="F2161" s="220" t="s">
        <v>5337</v>
      </c>
      <c r="G2161" s="220" t="s">
        <v>84</v>
      </c>
    </row>
    <row r="2162" spans="2:7" ht="30" customHeight="1" thickBot="1" x14ac:dyDescent="0.3">
      <c r="B2162" s="219">
        <v>1809</v>
      </c>
      <c r="C2162" s="220" t="s">
        <v>5300</v>
      </c>
      <c r="D2162" s="220" t="s">
        <v>5338</v>
      </c>
      <c r="E2162" s="220" t="s">
        <v>6966</v>
      </c>
      <c r="F2162" s="220" t="s">
        <v>5339</v>
      </c>
      <c r="G2162" s="220" t="s">
        <v>84</v>
      </c>
    </row>
    <row r="2163" spans="2:7" ht="30" customHeight="1" thickBot="1" x14ac:dyDescent="0.3">
      <c r="B2163" s="219">
        <v>1810</v>
      </c>
      <c r="C2163" s="220" t="s">
        <v>5300</v>
      </c>
      <c r="D2163" s="220" t="s">
        <v>5340</v>
      </c>
      <c r="E2163" s="220" t="s">
        <v>8554</v>
      </c>
      <c r="F2163" s="220" t="s">
        <v>5341</v>
      </c>
      <c r="G2163" s="220" t="s">
        <v>84</v>
      </c>
    </row>
    <row r="2164" spans="2:7" ht="30" customHeight="1" thickBot="1" x14ac:dyDescent="0.3">
      <c r="B2164" s="219">
        <v>1811</v>
      </c>
      <c r="C2164" s="220" t="s">
        <v>5300</v>
      </c>
      <c r="D2164" s="220" t="s">
        <v>5342</v>
      </c>
      <c r="E2164" s="220" t="s">
        <v>6967</v>
      </c>
      <c r="F2164" s="220" t="s">
        <v>5343</v>
      </c>
      <c r="G2164" s="220" t="s">
        <v>84</v>
      </c>
    </row>
    <row r="2165" spans="2:7" ht="30" customHeight="1" thickBot="1" x14ac:dyDescent="0.3">
      <c r="B2165" s="219">
        <v>1812</v>
      </c>
      <c r="C2165" s="220" t="s">
        <v>5300</v>
      </c>
      <c r="D2165" s="220" t="s">
        <v>5344</v>
      </c>
      <c r="E2165" s="220" t="s">
        <v>9100</v>
      </c>
      <c r="F2165" s="220" t="s">
        <v>5345</v>
      </c>
      <c r="G2165" s="220" t="s">
        <v>84</v>
      </c>
    </row>
    <row r="2166" spans="2:7" ht="30" customHeight="1" thickBot="1" x14ac:dyDescent="0.3">
      <c r="B2166" s="219">
        <v>1813</v>
      </c>
      <c r="C2166" s="220" t="s">
        <v>5300</v>
      </c>
      <c r="D2166" s="220" t="s">
        <v>5346</v>
      </c>
      <c r="E2166" s="220" t="s">
        <v>8348</v>
      </c>
      <c r="F2166" s="220" t="s">
        <v>5347</v>
      </c>
      <c r="G2166" s="220" t="s">
        <v>84</v>
      </c>
    </row>
    <row r="2167" spans="2:7" ht="30" customHeight="1" thickBot="1" x14ac:dyDescent="0.3">
      <c r="B2167" s="219">
        <v>1814</v>
      </c>
      <c r="C2167" s="220" t="s">
        <v>5300</v>
      </c>
      <c r="D2167" s="220" t="s">
        <v>5348</v>
      </c>
      <c r="E2167" s="220" t="s">
        <v>21</v>
      </c>
      <c r="F2167" s="220" t="s">
        <v>5349</v>
      </c>
      <c r="G2167" s="220" t="s">
        <v>74</v>
      </c>
    </row>
    <row r="2168" spans="2:7" ht="30" customHeight="1" thickBot="1" x14ac:dyDescent="0.3">
      <c r="B2168" s="219">
        <v>1815</v>
      </c>
      <c r="C2168" s="220" t="s">
        <v>5300</v>
      </c>
      <c r="D2168" s="220" t="s">
        <v>5350</v>
      </c>
      <c r="E2168" s="220" t="s">
        <v>6968</v>
      </c>
      <c r="F2168" s="220" t="s">
        <v>5351</v>
      </c>
      <c r="G2168" s="220" t="s">
        <v>84</v>
      </c>
    </row>
    <row r="2169" spans="2:7" ht="30" customHeight="1" thickBot="1" x14ac:dyDescent="0.3">
      <c r="B2169" s="219">
        <v>1816</v>
      </c>
      <c r="C2169" s="220" t="s">
        <v>5300</v>
      </c>
      <c r="D2169" s="220" t="s">
        <v>5352</v>
      </c>
      <c r="E2169" s="220" t="s">
        <v>8823</v>
      </c>
      <c r="F2169" s="220" t="s">
        <v>5353</v>
      </c>
      <c r="G2169" s="220" t="s">
        <v>322</v>
      </c>
    </row>
    <row r="2170" spans="2:7" ht="30" customHeight="1" thickBot="1" x14ac:dyDescent="0.3">
      <c r="B2170" s="219">
        <v>1817</v>
      </c>
      <c r="C2170" s="220" t="s">
        <v>5300</v>
      </c>
      <c r="D2170" s="220" t="s">
        <v>5354</v>
      </c>
      <c r="E2170" s="220" t="s">
        <v>7080</v>
      </c>
      <c r="F2170" s="220" t="s">
        <v>5322</v>
      </c>
      <c r="G2170" s="220" t="s">
        <v>3379</v>
      </c>
    </row>
    <row r="2171" spans="2:7" ht="30" customHeight="1" thickBot="1" x14ac:dyDescent="0.3">
      <c r="B2171" s="219">
        <v>1818</v>
      </c>
      <c r="C2171" s="220" t="s">
        <v>5300</v>
      </c>
      <c r="D2171" s="220" t="s">
        <v>5355</v>
      </c>
      <c r="E2171" s="220" t="s">
        <v>8824</v>
      </c>
      <c r="F2171" s="220" t="s">
        <v>5356</v>
      </c>
      <c r="G2171" s="220" t="s">
        <v>3379</v>
      </c>
    </row>
    <row r="2172" spans="2:7" ht="30" customHeight="1" thickBot="1" x14ac:dyDescent="0.3">
      <c r="B2172" s="219">
        <v>1819</v>
      </c>
      <c r="C2172" s="220" t="s">
        <v>5300</v>
      </c>
      <c r="D2172" s="220" t="s">
        <v>5357</v>
      </c>
      <c r="E2172" s="220" t="s">
        <v>8368</v>
      </c>
      <c r="F2172" s="220" t="s">
        <v>5358</v>
      </c>
      <c r="G2172" s="220" t="s">
        <v>120</v>
      </c>
    </row>
    <row r="2173" spans="2:7" ht="30" customHeight="1" thickBot="1" x14ac:dyDescent="0.3">
      <c r="B2173" s="219">
        <v>1820</v>
      </c>
      <c r="C2173" s="220" t="s">
        <v>5300</v>
      </c>
      <c r="D2173" s="220" t="s">
        <v>5359</v>
      </c>
      <c r="E2173" s="220" t="s">
        <v>7081</v>
      </c>
      <c r="F2173" s="220" t="s">
        <v>5360</v>
      </c>
      <c r="G2173" s="220" t="s">
        <v>3379</v>
      </c>
    </row>
    <row r="2174" spans="2:7" ht="30" customHeight="1" thickBot="1" x14ac:dyDescent="0.3">
      <c r="B2174" s="219">
        <v>1821</v>
      </c>
      <c r="C2174" s="220" t="s">
        <v>5361</v>
      </c>
      <c r="D2174" s="223" t="s">
        <v>5362</v>
      </c>
      <c r="E2174" s="223" t="s">
        <v>7266</v>
      </c>
      <c r="F2174" s="223" t="s">
        <v>5363</v>
      </c>
      <c r="G2174" s="223" t="s">
        <v>322</v>
      </c>
    </row>
    <row r="2175" spans="2:7" ht="30" customHeight="1" thickBot="1" x14ac:dyDescent="0.3">
      <c r="B2175" s="219">
        <v>1822</v>
      </c>
      <c r="C2175" s="220" t="s">
        <v>5364</v>
      </c>
      <c r="D2175" s="220" t="s">
        <v>5365</v>
      </c>
      <c r="E2175" s="220" t="s">
        <v>5366</v>
      </c>
      <c r="F2175" s="220" t="s">
        <v>5367</v>
      </c>
      <c r="G2175" s="220" t="s">
        <v>565</v>
      </c>
    </row>
    <row r="2176" spans="2:7" ht="30" customHeight="1" thickBot="1" x14ac:dyDescent="0.3">
      <c r="B2176" s="219">
        <v>1823</v>
      </c>
      <c r="C2176" s="220" t="s">
        <v>5368</v>
      </c>
      <c r="D2176" s="220" t="s">
        <v>5369</v>
      </c>
      <c r="E2176" s="220" t="s">
        <v>6029</v>
      </c>
      <c r="F2176" s="220" t="s">
        <v>5370</v>
      </c>
      <c r="G2176" s="220" t="s">
        <v>565</v>
      </c>
    </row>
    <row r="2177" spans="2:7" ht="30" customHeight="1" thickBot="1" x14ac:dyDescent="0.3">
      <c r="B2177" s="219">
        <v>1824</v>
      </c>
      <c r="C2177" s="220" t="s">
        <v>5371</v>
      </c>
      <c r="D2177" s="220" t="s">
        <v>5372</v>
      </c>
      <c r="E2177" s="220" t="s">
        <v>6969</v>
      </c>
      <c r="F2177" s="220" t="s">
        <v>5373</v>
      </c>
      <c r="G2177" s="220" t="s">
        <v>84</v>
      </c>
    </row>
    <row r="2178" spans="2:7" ht="30" customHeight="1" thickBot="1" x14ac:dyDescent="0.3">
      <c r="B2178" s="219">
        <v>1825</v>
      </c>
      <c r="C2178" s="220" t="s">
        <v>5374</v>
      </c>
      <c r="D2178" s="220" t="s">
        <v>5375</v>
      </c>
      <c r="E2178" s="220" t="s">
        <v>8403</v>
      </c>
      <c r="F2178" s="220" t="s">
        <v>5376</v>
      </c>
      <c r="G2178" s="220" t="s">
        <v>84</v>
      </c>
    </row>
    <row r="2179" spans="2:7" ht="30" customHeight="1" thickBot="1" x14ac:dyDescent="0.3">
      <c r="B2179" s="219">
        <v>1826</v>
      </c>
      <c r="C2179" s="220" t="s">
        <v>5377</v>
      </c>
      <c r="D2179" s="220" t="s">
        <v>5378</v>
      </c>
      <c r="E2179" s="220" t="s">
        <v>21</v>
      </c>
      <c r="F2179" s="220" t="s">
        <v>5379</v>
      </c>
      <c r="G2179" s="220" t="s">
        <v>74</v>
      </c>
    </row>
    <row r="2180" spans="2:7" ht="30" customHeight="1" thickBot="1" x14ac:dyDescent="0.3">
      <c r="B2180" s="219">
        <v>1827</v>
      </c>
      <c r="C2180" s="220" t="s">
        <v>5377</v>
      </c>
      <c r="D2180" s="220" t="s">
        <v>5380</v>
      </c>
      <c r="E2180" s="220" t="s">
        <v>7236</v>
      </c>
      <c r="F2180" s="220" t="s">
        <v>1694</v>
      </c>
      <c r="G2180" s="220" t="s">
        <v>322</v>
      </c>
    </row>
    <row r="2181" spans="2:7" ht="30" customHeight="1" thickBot="1" x14ac:dyDescent="0.3">
      <c r="B2181" s="219">
        <v>1828</v>
      </c>
      <c r="C2181" s="220" t="s">
        <v>5377</v>
      </c>
      <c r="D2181" s="220" t="s">
        <v>5381</v>
      </c>
      <c r="E2181" s="220" t="s">
        <v>5382</v>
      </c>
      <c r="F2181" s="220" t="s">
        <v>1698</v>
      </c>
      <c r="G2181" s="220" t="s">
        <v>565</v>
      </c>
    </row>
    <row r="2182" spans="2:7" ht="30" customHeight="1" thickBot="1" x14ac:dyDescent="0.3">
      <c r="B2182" s="219">
        <v>1829</v>
      </c>
      <c r="C2182" s="220" t="s">
        <v>5377</v>
      </c>
      <c r="D2182" s="220" t="s">
        <v>5383</v>
      </c>
      <c r="E2182" s="220" t="s">
        <v>5384</v>
      </c>
      <c r="F2182" s="220" t="s">
        <v>1698</v>
      </c>
      <c r="G2182" s="220" t="s">
        <v>565</v>
      </c>
    </row>
    <row r="2183" spans="2:7" ht="30" customHeight="1" thickBot="1" x14ac:dyDescent="0.3">
      <c r="B2183" s="219">
        <v>1830</v>
      </c>
      <c r="C2183" s="220" t="s">
        <v>5377</v>
      </c>
      <c r="D2183" s="220" t="s">
        <v>5385</v>
      </c>
      <c r="E2183" s="220" t="s">
        <v>9085</v>
      </c>
      <c r="F2183" s="220" t="s">
        <v>5386</v>
      </c>
      <c r="G2183" s="220" t="s">
        <v>2065</v>
      </c>
    </row>
    <row r="2184" spans="2:7" ht="30" customHeight="1" thickBot="1" x14ac:dyDescent="0.3">
      <c r="B2184" s="219">
        <v>1831</v>
      </c>
      <c r="C2184" s="220" t="s">
        <v>5377</v>
      </c>
      <c r="D2184" s="220" t="s">
        <v>5387</v>
      </c>
      <c r="E2184" s="220" t="s">
        <v>8349</v>
      </c>
      <c r="F2184" s="220" t="s">
        <v>1737</v>
      </c>
      <c r="G2184" s="220" t="s">
        <v>8093</v>
      </c>
    </row>
    <row r="2185" spans="2:7" ht="30" customHeight="1" thickBot="1" x14ac:dyDescent="0.3">
      <c r="B2185" s="219">
        <v>1832</v>
      </c>
      <c r="C2185" s="220" t="s">
        <v>5377</v>
      </c>
      <c r="D2185" s="220" t="s">
        <v>5388</v>
      </c>
      <c r="E2185" s="220" t="s">
        <v>1739</v>
      </c>
      <c r="F2185" s="220" t="s">
        <v>5389</v>
      </c>
      <c r="G2185" s="220" t="s">
        <v>8093</v>
      </c>
    </row>
    <row r="2186" spans="2:7" ht="30" customHeight="1" thickBot="1" x14ac:dyDescent="0.3">
      <c r="B2186" s="219">
        <v>1833</v>
      </c>
      <c r="C2186" s="220" t="s">
        <v>5377</v>
      </c>
      <c r="D2186" s="220" t="s">
        <v>5390</v>
      </c>
      <c r="E2186" s="220" t="s">
        <v>8350</v>
      </c>
      <c r="F2186" s="220" t="s">
        <v>1742</v>
      </c>
      <c r="G2186" s="220" t="s">
        <v>8093</v>
      </c>
    </row>
    <row r="2187" spans="2:7" ht="30" customHeight="1" thickBot="1" x14ac:dyDescent="0.3">
      <c r="B2187" s="219">
        <v>1834</v>
      </c>
      <c r="C2187" s="220" t="s">
        <v>5377</v>
      </c>
      <c r="D2187" s="220" t="s">
        <v>5391</v>
      </c>
      <c r="E2187" s="220" t="s">
        <v>7332</v>
      </c>
      <c r="F2187" s="220" t="s">
        <v>1745</v>
      </c>
      <c r="G2187" s="220" t="s">
        <v>8093</v>
      </c>
    </row>
    <row r="2188" spans="2:7" ht="30" customHeight="1" thickBot="1" x14ac:dyDescent="0.3">
      <c r="B2188" s="219">
        <v>1835</v>
      </c>
      <c r="C2188" s="220" t="s">
        <v>5377</v>
      </c>
      <c r="D2188" s="220" t="s">
        <v>5392</v>
      </c>
      <c r="E2188" s="220" t="s">
        <v>8343</v>
      </c>
      <c r="F2188" s="220" t="s">
        <v>1418</v>
      </c>
      <c r="G2188" s="220" t="s">
        <v>8093</v>
      </c>
    </row>
    <row r="2189" spans="2:7" ht="30" customHeight="1" thickBot="1" x14ac:dyDescent="0.3">
      <c r="B2189" s="219">
        <v>1836</v>
      </c>
      <c r="C2189" s="220" t="s">
        <v>5377</v>
      </c>
      <c r="D2189" s="220" t="s">
        <v>5393</v>
      </c>
      <c r="E2189" s="220" t="s">
        <v>21</v>
      </c>
      <c r="F2189" s="220" t="s">
        <v>5394</v>
      </c>
      <c r="G2189" s="220" t="s">
        <v>74</v>
      </c>
    </row>
    <row r="2190" spans="2:7" ht="30" customHeight="1" thickBot="1" x14ac:dyDescent="0.3">
      <c r="B2190" s="219">
        <v>1837</v>
      </c>
      <c r="C2190" s="220" t="s">
        <v>5377</v>
      </c>
      <c r="D2190" s="220" t="s">
        <v>5395</v>
      </c>
      <c r="E2190" s="220" t="s">
        <v>5396</v>
      </c>
      <c r="F2190" s="220" t="s">
        <v>5397</v>
      </c>
      <c r="G2190" s="220" t="s">
        <v>40</v>
      </c>
    </row>
    <row r="2191" spans="2:7" ht="30" customHeight="1" thickBot="1" x14ac:dyDescent="0.3">
      <c r="B2191" s="219">
        <v>1838</v>
      </c>
      <c r="C2191" s="220" t="s">
        <v>5377</v>
      </c>
      <c r="D2191" s="220" t="s">
        <v>5398</v>
      </c>
      <c r="E2191" s="220" t="s">
        <v>6030</v>
      </c>
      <c r="F2191" s="220" t="s">
        <v>5399</v>
      </c>
      <c r="G2191" s="220" t="s">
        <v>40</v>
      </c>
    </row>
    <row r="2192" spans="2:7" ht="30" customHeight="1" thickBot="1" x14ac:dyDescent="0.3">
      <c r="B2192" s="219">
        <v>1839</v>
      </c>
      <c r="C2192" s="220" t="s">
        <v>5377</v>
      </c>
      <c r="D2192" s="220" t="s">
        <v>5400</v>
      </c>
      <c r="E2192" s="220" t="s">
        <v>5401</v>
      </c>
      <c r="F2192" s="220" t="s">
        <v>5402</v>
      </c>
      <c r="G2192" s="220" t="s">
        <v>40</v>
      </c>
    </row>
    <row r="2193" spans="2:7" ht="30" customHeight="1" thickBot="1" x14ac:dyDescent="0.3">
      <c r="B2193" s="219">
        <v>1840</v>
      </c>
      <c r="C2193" s="220" t="s">
        <v>5377</v>
      </c>
      <c r="D2193" s="220" t="s">
        <v>5403</v>
      </c>
      <c r="E2193" s="220" t="s">
        <v>7110</v>
      </c>
      <c r="F2193" s="220" t="s">
        <v>5404</v>
      </c>
      <c r="G2193" s="220" t="s">
        <v>40</v>
      </c>
    </row>
    <row r="2194" spans="2:7" ht="30" customHeight="1" thickBot="1" x14ac:dyDescent="0.3">
      <c r="B2194" s="219">
        <v>1841</v>
      </c>
      <c r="C2194" s="220" t="s">
        <v>5377</v>
      </c>
      <c r="D2194" s="220" t="s">
        <v>5405</v>
      </c>
      <c r="E2194" s="220" t="s">
        <v>8406</v>
      </c>
      <c r="F2194" s="220" t="s">
        <v>5406</v>
      </c>
      <c r="G2194" s="220" t="s">
        <v>52</v>
      </c>
    </row>
    <row r="2195" spans="2:7" ht="30" customHeight="1" thickBot="1" x14ac:dyDescent="0.3">
      <c r="B2195" s="219">
        <v>1842</v>
      </c>
      <c r="C2195" s="220" t="s">
        <v>5377</v>
      </c>
      <c r="D2195" s="220" t="s">
        <v>5407</v>
      </c>
      <c r="E2195" s="220" t="s">
        <v>8555</v>
      </c>
      <c r="F2195" s="220" t="s">
        <v>5406</v>
      </c>
      <c r="G2195" s="220" t="s">
        <v>52</v>
      </c>
    </row>
    <row r="2196" spans="2:7" ht="30" customHeight="1" thickBot="1" x14ac:dyDescent="0.3">
      <c r="B2196" s="219">
        <v>1843</v>
      </c>
      <c r="C2196" s="220" t="s">
        <v>5377</v>
      </c>
      <c r="D2196" s="220" t="s">
        <v>5408</v>
      </c>
      <c r="E2196" s="220" t="s">
        <v>8825</v>
      </c>
      <c r="F2196" s="220" t="s">
        <v>5409</v>
      </c>
      <c r="G2196" s="220" t="s">
        <v>2065</v>
      </c>
    </row>
    <row r="2197" spans="2:7" ht="30" customHeight="1" thickBot="1" x14ac:dyDescent="0.3">
      <c r="B2197" s="219">
        <v>1844</v>
      </c>
      <c r="C2197" s="220" t="s">
        <v>5377</v>
      </c>
      <c r="D2197" s="220" t="s">
        <v>5410</v>
      </c>
      <c r="E2197" s="220" t="s">
        <v>8825</v>
      </c>
      <c r="F2197" s="220" t="s">
        <v>5411</v>
      </c>
      <c r="G2197" s="220" t="s">
        <v>2065</v>
      </c>
    </row>
    <row r="2198" spans="2:7" ht="30" customHeight="1" thickBot="1" x14ac:dyDescent="0.3">
      <c r="B2198" s="219">
        <v>1845</v>
      </c>
      <c r="C2198" s="220" t="s">
        <v>5377</v>
      </c>
      <c r="D2198" s="220" t="s">
        <v>5412</v>
      </c>
      <c r="E2198" s="220" t="s">
        <v>7267</v>
      </c>
      <c r="F2198" s="220" t="s">
        <v>5413</v>
      </c>
      <c r="G2198" s="220" t="s">
        <v>2065</v>
      </c>
    </row>
    <row r="2199" spans="2:7" ht="30" customHeight="1" thickBot="1" x14ac:dyDescent="0.3">
      <c r="B2199" s="219">
        <v>1846</v>
      </c>
      <c r="C2199" s="220" t="s">
        <v>5377</v>
      </c>
      <c r="D2199" s="220" t="s">
        <v>5414</v>
      </c>
      <c r="E2199" s="220" t="s">
        <v>8556</v>
      </c>
      <c r="F2199" s="220" t="s">
        <v>5415</v>
      </c>
      <c r="G2199" s="220" t="s">
        <v>52</v>
      </c>
    </row>
    <row r="2200" spans="2:7" ht="30" customHeight="1" thickBot="1" x14ac:dyDescent="0.3">
      <c r="B2200" s="219">
        <v>1847</v>
      </c>
      <c r="C2200" s="220" t="s">
        <v>5377</v>
      </c>
      <c r="D2200" s="220" t="s">
        <v>5416</v>
      </c>
      <c r="E2200" s="220" t="s">
        <v>8557</v>
      </c>
      <c r="F2200" s="220" t="s">
        <v>5417</v>
      </c>
      <c r="G2200" s="220" t="s">
        <v>52</v>
      </c>
    </row>
    <row r="2201" spans="2:7" ht="30" customHeight="1" thickBot="1" x14ac:dyDescent="0.3">
      <c r="B2201" s="219">
        <v>1848</v>
      </c>
      <c r="C2201" s="220" t="s">
        <v>5377</v>
      </c>
      <c r="D2201" s="220" t="s">
        <v>5418</v>
      </c>
      <c r="E2201" s="220" t="s">
        <v>6032</v>
      </c>
      <c r="F2201" s="220"/>
      <c r="G2201" s="220" t="s">
        <v>565</v>
      </c>
    </row>
    <row r="2202" spans="2:7" ht="30" customHeight="1" thickBot="1" x14ac:dyDescent="0.3">
      <c r="B2202" s="220">
        <v>1849</v>
      </c>
      <c r="C2202" s="220" t="s">
        <v>5419</v>
      </c>
      <c r="D2202" s="220" t="s">
        <v>2142</v>
      </c>
      <c r="E2202" s="220" t="s">
        <v>6031</v>
      </c>
      <c r="F2202" s="220" t="s">
        <v>2143</v>
      </c>
      <c r="G2202" s="220" t="s">
        <v>84</v>
      </c>
    </row>
    <row r="2203" spans="2:7" ht="30" customHeight="1" thickBot="1" x14ac:dyDescent="0.3">
      <c r="B2203" s="220">
        <v>1850</v>
      </c>
      <c r="C2203" s="220" t="s">
        <v>5419</v>
      </c>
      <c r="D2203" s="220" t="s">
        <v>5420</v>
      </c>
      <c r="E2203" s="220" t="s">
        <v>8558</v>
      </c>
      <c r="F2203" s="220" t="s">
        <v>2145</v>
      </c>
      <c r="G2203" s="220" t="s">
        <v>84</v>
      </c>
    </row>
    <row r="2204" spans="2:7" ht="30" customHeight="1" thickBot="1" x14ac:dyDescent="0.3">
      <c r="B2204" s="220">
        <v>1851</v>
      </c>
      <c r="C2204" s="220" t="s">
        <v>5419</v>
      </c>
      <c r="D2204" s="220" t="s">
        <v>5421</v>
      </c>
      <c r="E2204" s="220" t="s">
        <v>8079</v>
      </c>
      <c r="F2204" s="220" t="s">
        <v>5422</v>
      </c>
      <c r="G2204" s="220" t="s">
        <v>565</v>
      </c>
    </row>
    <row r="2205" spans="2:7" ht="30" customHeight="1" thickBot="1" x14ac:dyDescent="0.3">
      <c r="B2205" s="220">
        <v>1852</v>
      </c>
      <c r="C2205" s="220" t="s">
        <v>5419</v>
      </c>
      <c r="D2205" s="220" t="s">
        <v>5423</v>
      </c>
      <c r="E2205" s="220" t="s">
        <v>8278</v>
      </c>
      <c r="F2205" s="220" t="s">
        <v>5422</v>
      </c>
      <c r="G2205" s="220" t="s">
        <v>565</v>
      </c>
    </row>
    <row r="2206" spans="2:7" ht="30" customHeight="1" thickBot="1" x14ac:dyDescent="0.3">
      <c r="B2206" s="220">
        <v>1853</v>
      </c>
      <c r="C2206" s="220" t="s">
        <v>5419</v>
      </c>
      <c r="D2206" s="220" t="s">
        <v>2151</v>
      </c>
      <c r="E2206" s="220" t="s">
        <v>8080</v>
      </c>
      <c r="F2206" s="220" t="s">
        <v>5422</v>
      </c>
      <c r="G2206" s="220" t="s">
        <v>565</v>
      </c>
    </row>
    <row r="2207" spans="2:7" ht="30" customHeight="1" thickBot="1" x14ac:dyDescent="0.3">
      <c r="B2207" s="220">
        <v>1854</v>
      </c>
      <c r="C2207" s="220" t="s">
        <v>5419</v>
      </c>
      <c r="D2207" s="220" t="s">
        <v>5424</v>
      </c>
      <c r="E2207" s="220" t="s">
        <v>5425</v>
      </c>
      <c r="F2207" s="220" t="s">
        <v>5426</v>
      </c>
      <c r="G2207" s="220" t="s">
        <v>565</v>
      </c>
    </row>
    <row r="2208" spans="2:7" ht="30" customHeight="1" thickBot="1" x14ac:dyDescent="0.3">
      <c r="B2208" s="220">
        <v>1855</v>
      </c>
      <c r="C2208" s="220" t="s">
        <v>5419</v>
      </c>
      <c r="D2208" s="220" t="s">
        <v>5427</v>
      </c>
      <c r="E2208" s="220" t="s">
        <v>21</v>
      </c>
      <c r="F2208" s="220" t="s">
        <v>5428</v>
      </c>
      <c r="G2208" s="220" t="s">
        <v>74</v>
      </c>
    </row>
    <row r="2209" spans="2:7" ht="30" customHeight="1" thickBot="1" x14ac:dyDescent="0.3">
      <c r="B2209" s="220">
        <v>1856</v>
      </c>
      <c r="C2209" s="220" t="s">
        <v>5419</v>
      </c>
      <c r="D2209" s="220" t="s">
        <v>2142</v>
      </c>
      <c r="E2209" s="220" t="s">
        <v>2811</v>
      </c>
      <c r="F2209" s="220" t="s">
        <v>2143</v>
      </c>
      <c r="G2209" s="220" t="s">
        <v>84</v>
      </c>
    </row>
    <row r="2210" spans="2:7" ht="30" customHeight="1" thickBot="1" x14ac:dyDescent="0.3">
      <c r="B2210" s="220">
        <v>1857</v>
      </c>
      <c r="C2210" s="220" t="s">
        <v>5419</v>
      </c>
      <c r="D2210" s="220" t="s">
        <v>5429</v>
      </c>
      <c r="E2210" s="220" t="s">
        <v>6970</v>
      </c>
      <c r="F2210" s="220" t="s">
        <v>5430</v>
      </c>
      <c r="G2210" s="220" t="s">
        <v>294</v>
      </c>
    </row>
    <row r="2211" spans="2:7" ht="30" customHeight="1" thickBot="1" x14ac:dyDescent="0.3">
      <c r="B2211" s="220">
        <v>1858</v>
      </c>
      <c r="C2211" s="220" t="s">
        <v>5419</v>
      </c>
      <c r="D2211" s="220" t="s">
        <v>5431</v>
      </c>
      <c r="E2211" s="220" t="s">
        <v>6971</v>
      </c>
      <c r="F2211" s="220" t="s">
        <v>5432</v>
      </c>
      <c r="G2211" s="220" t="s">
        <v>294</v>
      </c>
    </row>
    <row r="2212" spans="2:7" ht="30" customHeight="1" thickBot="1" x14ac:dyDescent="0.3">
      <c r="B2212" s="220">
        <v>1859</v>
      </c>
      <c r="C2212" s="220" t="s">
        <v>5419</v>
      </c>
      <c r="D2212" s="220" t="s">
        <v>5433</v>
      </c>
      <c r="E2212" s="220" t="s">
        <v>6972</v>
      </c>
      <c r="F2212" s="220" t="s">
        <v>5434</v>
      </c>
      <c r="G2212" s="220" t="s">
        <v>294</v>
      </c>
    </row>
    <row r="2213" spans="2:7" ht="30" customHeight="1" thickBot="1" x14ac:dyDescent="0.3">
      <c r="B2213" s="220">
        <v>1860</v>
      </c>
      <c r="C2213" s="220" t="s">
        <v>5419</v>
      </c>
      <c r="D2213" s="220" t="s">
        <v>5435</v>
      </c>
      <c r="E2213" s="220" t="s">
        <v>9315</v>
      </c>
      <c r="F2213" s="220" t="s">
        <v>5436</v>
      </c>
      <c r="G2213" s="220" t="s">
        <v>565</v>
      </c>
    </row>
    <row r="2214" spans="2:7" ht="30" customHeight="1" thickBot="1" x14ac:dyDescent="0.3">
      <c r="B2214" s="220">
        <v>1861</v>
      </c>
      <c r="C2214" s="220" t="s">
        <v>5419</v>
      </c>
      <c r="D2214" s="220" t="s">
        <v>5437</v>
      </c>
      <c r="E2214" s="220" t="s">
        <v>8826</v>
      </c>
      <c r="F2214" s="220" t="s">
        <v>5438</v>
      </c>
      <c r="G2214" s="220" t="s">
        <v>322</v>
      </c>
    </row>
    <row r="2215" spans="2:7" ht="30" customHeight="1" thickBot="1" x14ac:dyDescent="0.3">
      <c r="B2215" s="220">
        <v>1862</v>
      </c>
      <c r="C2215" s="220" t="s">
        <v>5419</v>
      </c>
      <c r="D2215" s="220" t="s">
        <v>5437</v>
      </c>
      <c r="E2215" s="220" t="s">
        <v>8826</v>
      </c>
      <c r="F2215" s="220" t="s">
        <v>5438</v>
      </c>
      <c r="G2215" s="220" t="s">
        <v>322</v>
      </c>
    </row>
    <row r="2216" spans="2:7" ht="30" customHeight="1" thickBot="1" x14ac:dyDescent="0.3">
      <c r="B2216" s="220">
        <v>1863</v>
      </c>
      <c r="C2216" s="220" t="s">
        <v>5419</v>
      </c>
      <c r="D2216" s="220" t="s">
        <v>5439</v>
      </c>
      <c r="E2216" s="220" t="s">
        <v>8826</v>
      </c>
      <c r="F2216" s="220" t="s">
        <v>5436</v>
      </c>
      <c r="G2216" s="220" t="s">
        <v>322</v>
      </c>
    </row>
    <row r="2217" spans="2:7" ht="30" customHeight="1" thickBot="1" x14ac:dyDescent="0.3">
      <c r="B2217" s="220">
        <v>1864</v>
      </c>
      <c r="C2217" s="220" t="s">
        <v>5419</v>
      </c>
      <c r="D2217" s="220" t="s">
        <v>5440</v>
      </c>
      <c r="E2217" s="220" t="s">
        <v>7270</v>
      </c>
      <c r="F2217" s="220" t="s">
        <v>5441</v>
      </c>
      <c r="G2217" s="220" t="s">
        <v>322</v>
      </c>
    </row>
    <row r="2218" spans="2:7" ht="30" customHeight="1" thickBot="1" x14ac:dyDescent="0.3">
      <c r="B2218" s="220">
        <v>1865</v>
      </c>
      <c r="C2218" s="220" t="s">
        <v>5419</v>
      </c>
      <c r="D2218" s="220" t="s">
        <v>5442</v>
      </c>
      <c r="E2218" s="220" t="s">
        <v>8081</v>
      </c>
      <c r="F2218" s="220" t="s">
        <v>5443</v>
      </c>
      <c r="G2218" s="220" t="s">
        <v>565</v>
      </c>
    </row>
    <row r="2219" spans="2:7" ht="30" customHeight="1" thickBot="1" x14ac:dyDescent="0.3">
      <c r="B2219" s="220">
        <v>1866</v>
      </c>
      <c r="C2219" s="220" t="s">
        <v>5419</v>
      </c>
      <c r="D2219" s="220" t="s">
        <v>5444</v>
      </c>
      <c r="E2219" s="220" t="s">
        <v>8827</v>
      </c>
      <c r="F2219" s="220" t="s">
        <v>1083</v>
      </c>
      <c r="G2219" s="220" t="s">
        <v>322</v>
      </c>
    </row>
    <row r="2220" spans="2:7" ht="30" customHeight="1" thickBot="1" x14ac:dyDescent="0.3">
      <c r="B2220" s="220">
        <v>1867</v>
      </c>
      <c r="C2220" s="220" t="s">
        <v>5419</v>
      </c>
      <c r="D2220" s="220" t="s">
        <v>5445</v>
      </c>
      <c r="E2220" s="220" t="s">
        <v>8369</v>
      </c>
      <c r="F2220" s="220" t="s">
        <v>5446</v>
      </c>
      <c r="G2220" s="220" t="s">
        <v>120</v>
      </c>
    </row>
    <row r="2221" spans="2:7" ht="30" customHeight="1" thickBot="1" x14ac:dyDescent="0.3">
      <c r="B2221" s="220">
        <v>1868</v>
      </c>
      <c r="C2221" s="220" t="s">
        <v>5419</v>
      </c>
      <c r="D2221" s="220" t="s">
        <v>5447</v>
      </c>
      <c r="E2221" s="220" t="s">
        <v>7111</v>
      </c>
      <c r="F2221" s="220" t="s">
        <v>5422</v>
      </c>
      <c r="G2221" s="220" t="s">
        <v>565</v>
      </c>
    </row>
    <row r="2222" spans="2:7" ht="30" customHeight="1" thickBot="1" x14ac:dyDescent="0.3">
      <c r="B2222" s="220">
        <v>1869</v>
      </c>
      <c r="C2222" s="220" t="s">
        <v>5419</v>
      </c>
      <c r="D2222" s="220" t="s">
        <v>5448</v>
      </c>
      <c r="E2222" s="220" t="s">
        <v>5449</v>
      </c>
      <c r="F2222" s="220" t="s">
        <v>5450</v>
      </c>
      <c r="G2222" s="220" t="s">
        <v>565</v>
      </c>
    </row>
    <row r="2223" spans="2:7" ht="30" customHeight="1" thickBot="1" x14ac:dyDescent="0.3">
      <c r="B2223" s="220">
        <v>1870</v>
      </c>
      <c r="C2223" s="220" t="s">
        <v>5419</v>
      </c>
      <c r="D2223" s="220" t="s">
        <v>5451</v>
      </c>
      <c r="E2223" s="220" t="s">
        <v>5452</v>
      </c>
      <c r="F2223" s="220" t="s">
        <v>5426</v>
      </c>
      <c r="G2223" s="220" t="s">
        <v>565</v>
      </c>
    </row>
    <row r="2224" spans="2:7" ht="30" customHeight="1" thickBot="1" x14ac:dyDescent="0.3">
      <c r="B2224" s="220">
        <v>1871</v>
      </c>
      <c r="C2224" s="220" t="s">
        <v>5419</v>
      </c>
      <c r="D2224" s="220" t="s">
        <v>5453</v>
      </c>
      <c r="E2224" s="220" t="s">
        <v>5454</v>
      </c>
      <c r="F2224" s="220" t="s">
        <v>5426</v>
      </c>
      <c r="G2224" s="220" t="s">
        <v>565</v>
      </c>
    </row>
    <row r="2225" spans="2:7" ht="30" customHeight="1" thickBot="1" x14ac:dyDescent="0.3">
      <c r="B2225" s="220">
        <v>1872</v>
      </c>
      <c r="C2225" s="220" t="s">
        <v>5419</v>
      </c>
      <c r="D2225" s="220" t="s">
        <v>5455</v>
      </c>
      <c r="E2225" s="220" t="s">
        <v>7879</v>
      </c>
      <c r="F2225" s="220" t="s">
        <v>5456</v>
      </c>
      <c r="G2225" s="220" t="s">
        <v>1608</v>
      </c>
    </row>
    <row r="2226" spans="2:7" ht="30" customHeight="1" thickBot="1" x14ac:dyDescent="0.3">
      <c r="B2226" s="220">
        <v>1873</v>
      </c>
      <c r="C2226" s="220" t="s">
        <v>5419</v>
      </c>
      <c r="D2226" s="220" t="s">
        <v>5457</v>
      </c>
      <c r="E2226" s="220" t="s">
        <v>7880</v>
      </c>
      <c r="F2226" s="220" t="s">
        <v>5458</v>
      </c>
      <c r="G2226" s="220" t="s">
        <v>1608</v>
      </c>
    </row>
    <row r="2227" spans="2:7" ht="30" customHeight="1" thickBot="1" x14ac:dyDescent="0.3">
      <c r="B2227" s="220">
        <v>1874</v>
      </c>
      <c r="C2227" s="220" t="s">
        <v>5419</v>
      </c>
      <c r="D2227" s="220" t="s">
        <v>5459</v>
      </c>
      <c r="E2227" s="220" t="s">
        <v>7892</v>
      </c>
      <c r="F2227" s="220" t="s">
        <v>5460</v>
      </c>
      <c r="G2227" s="220" t="s">
        <v>5461</v>
      </c>
    </row>
    <row r="2228" spans="2:7" ht="30" customHeight="1" thickBot="1" x14ac:dyDescent="0.3">
      <c r="B2228" s="220">
        <v>1875</v>
      </c>
      <c r="C2228" s="220" t="s">
        <v>5419</v>
      </c>
      <c r="D2228" s="220" t="s">
        <v>5462</v>
      </c>
      <c r="E2228" s="220" t="s">
        <v>7881</v>
      </c>
      <c r="F2228" s="220" t="s">
        <v>5463</v>
      </c>
      <c r="G2228" s="220" t="s">
        <v>5464</v>
      </c>
    </row>
    <row r="2229" spans="2:7" ht="30" customHeight="1" thickBot="1" x14ac:dyDescent="0.3">
      <c r="B2229" s="220">
        <v>1876</v>
      </c>
      <c r="C2229" s="220" t="s">
        <v>5419</v>
      </c>
      <c r="D2229" s="220" t="s">
        <v>5465</v>
      </c>
      <c r="E2229" s="220" t="s">
        <v>7893</v>
      </c>
      <c r="F2229" s="220" t="s">
        <v>5466</v>
      </c>
      <c r="G2229" s="220" t="s">
        <v>5461</v>
      </c>
    </row>
    <row r="2230" spans="2:7" ht="30" customHeight="1" thickBot="1" x14ac:dyDescent="0.3">
      <c r="B2230" s="220">
        <v>1877</v>
      </c>
      <c r="C2230" s="220" t="s">
        <v>5419</v>
      </c>
      <c r="D2230" s="220" t="s">
        <v>5467</v>
      </c>
      <c r="E2230" s="220" t="s">
        <v>7894</v>
      </c>
      <c r="F2230" s="220" t="s">
        <v>5466</v>
      </c>
      <c r="G2230" s="220" t="s">
        <v>5461</v>
      </c>
    </row>
    <row r="2231" spans="2:7" ht="30" customHeight="1" thickBot="1" x14ac:dyDescent="0.3">
      <c r="B2231" s="220">
        <v>1878</v>
      </c>
      <c r="C2231" s="220" t="s">
        <v>5419</v>
      </c>
      <c r="D2231" s="220" t="s">
        <v>5468</v>
      </c>
      <c r="E2231" s="220" t="s">
        <v>7895</v>
      </c>
      <c r="F2231" s="220" t="s">
        <v>5466</v>
      </c>
      <c r="G2231" s="220" t="s">
        <v>5461</v>
      </c>
    </row>
    <row r="2232" spans="2:7" ht="30" customHeight="1" thickBot="1" x14ac:dyDescent="0.3">
      <c r="B2232" s="220">
        <v>1879</v>
      </c>
      <c r="C2232" s="220" t="s">
        <v>5419</v>
      </c>
      <c r="D2232" s="220" t="s">
        <v>5469</v>
      </c>
      <c r="E2232" s="220" t="s">
        <v>7882</v>
      </c>
      <c r="F2232" s="220" t="s">
        <v>5466</v>
      </c>
      <c r="G2232" s="220" t="s">
        <v>5461</v>
      </c>
    </row>
    <row r="2233" spans="2:7" ht="30" customHeight="1" thickBot="1" x14ac:dyDescent="0.3">
      <c r="B2233" s="220">
        <v>1880</v>
      </c>
      <c r="C2233" s="220" t="s">
        <v>5419</v>
      </c>
      <c r="D2233" s="220" t="s">
        <v>5470</v>
      </c>
      <c r="E2233" s="220" t="s">
        <v>7896</v>
      </c>
      <c r="F2233" s="220" t="s">
        <v>5471</v>
      </c>
      <c r="G2233" s="220" t="s">
        <v>5461</v>
      </c>
    </row>
    <row r="2234" spans="2:7" ht="30" customHeight="1" thickBot="1" x14ac:dyDescent="0.3">
      <c r="B2234" s="220">
        <v>1881</v>
      </c>
      <c r="C2234" s="220" t="s">
        <v>5419</v>
      </c>
      <c r="D2234" s="220" t="s">
        <v>5472</v>
      </c>
      <c r="E2234" s="220" t="s">
        <v>7897</v>
      </c>
      <c r="F2234" s="220" t="s">
        <v>5471</v>
      </c>
      <c r="G2234" s="220" t="s">
        <v>5461</v>
      </c>
    </row>
    <row r="2235" spans="2:7" ht="30" customHeight="1" thickBot="1" x14ac:dyDescent="0.3">
      <c r="B2235" s="220">
        <v>1882</v>
      </c>
      <c r="C2235" s="220" t="s">
        <v>5419</v>
      </c>
      <c r="D2235" s="220" t="s">
        <v>5473</v>
      </c>
      <c r="E2235" s="220" t="s">
        <v>7883</v>
      </c>
      <c r="F2235" s="220" t="s">
        <v>5474</v>
      </c>
      <c r="G2235" s="220" t="s">
        <v>5461</v>
      </c>
    </row>
    <row r="2236" spans="2:7" ht="30" customHeight="1" thickBot="1" x14ac:dyDescent="0.3">
      <c r="B2236" s="220">
        <v>1883</v>
      </c>
      <c r="C2236" s="220" t="s">
        <v>5419</v>
      </c>
      <c r="D2236" s="220" t="s">
        <v>5475</v>
      </c>
      <c r="E2236" s="220" t="s">
        <v>7898</v>
      </c>
      <c r="F2236" s="220" t="s">
        <v>5476</v>
      </c>
      <c r="G2236" s="220" t="s">
        <v>5461</v>
      </c>
    </row>
    <row r="2237" spans="2:7" ht="30" customHeight="1" thickBot="1" x14ac:dyDescent="0.3">
      <c r="B2237" s="220">
        <v>1884</v>
      </c>
      <c r="C2237" s="220" t="s">
        <v>5419</v>
      </c>
      <c r="D2237" s="220" t="s">
        <v>5477</v>
      </c>
      <c r="E2237" s="220" t="s">
        <v>8370</v>
      </c>
      <c r="F2237" s="220" t="s">
        <v>1081</v>
      </c>
      <c r="G2237" s="220" t="s">
        <v>120</v>
      </c>
    </row>
    <row r="2238" spans="2:7" ht="30" customHeight="1" thickBot="1" x14ac:dyDescent="0.3">
      <c r="B2238" s="220">
        <v>1885</v>
      </c>
      <c r="C2238" s="220" t="s">
        <v>5419</v>
      </c>
      <c r="D2238" s="220" t="s">
        <v>5478</v>
      </c>
      <c r="E2238" s="220" t="s">
        <v>8371</v>
      </c>
      <c r="F2238" s="220" t="s">
        <v>5471</v>
      </c>
      <c r="G2238" s="220" t="s">
        <v>120</v>
      </c>
    </row>
    <row r="2239" spans="2:7" ht="30" customHeight="1" thickBot="1" x14ac:dyDescent="0.3">
      <c r="B2239" s="220">
        <v>1886</v>
      </c>
      <c r="C2239" s="220" t="s">
        <v>5419</v>
      </c>
      <c r="D2239" s="220" t="s">
        <v>5479</v>
      </c>
      <c r="E2239" s="220" t="s">
        <v>8372</v>
      </c>
      <c r="F2239" s="220" t="s">
        <v>5471</v>
      </c>
      <c r="G2239" s="220" t="s">
        <v>120</v>
      </c>
    </row>
    <row r="2240" spans="2:7" ht="30" customHeight="1" thickBot="1" x14ac:dyDescent="0.3">
      <c r="B2240" s="220">
        <v>1887</v>
      </c>
      <c r="C2240" s="220" t="s">
        <v>5419</v>
      </c>
      <c r="D2240" s="220" t="s">
        <v>5480</v>
      </c>
      <c r="E2240" s="220" t="s">
        <v>7884</v>
      </c>
      <c r="F2240" s="220" t="s">
        <v>5474</v>
      </c>
      <c r="G2240" s="220" t="s">
        <v>5461</v>
      </c>
    </row>
    <row r="2241" spans="2:7" ht="30" customHeight="1" thickBot="1" x14ac:dyDescent="0.3">
      <c r="B2241" s="220">
        <v>1888</v>
      </c>
      <c r="C2241" s="220" t="s">
        <v>5419</v>
      </c>
      <c r="D2241" s="220" t="s">
        <v>5481</v>
      </c>
      <c r="E2241" s="220" t="s">
        <v>7885</v>
      </c>
      <c r="F2241" s="220" t="s">
        <v>5474</v>
      </c>
      <c r="G2241" s="220" t="s">
        <v>5461</v>
      </c>
    </row>
    <row r="2242" spans="2:7" ht="30" customHeight="1" thickBot="1" x14ac:dyDescent="0.3">
      <c r="B2242" s="220">
        <v>1889</v>
      </c>
      <c r="C2242" s="220" t="s">
        <v>5419</v>
      </c>
      <c r="D2242" s="220" t="s">
        <v>5482</v>
      </c>
      <c r="E2242" s="220" t="s">
        <v>7899</v>
      </c>
      <c r="F2242" s="220" t="s">
        <v>5474</v>
      </c>
      <c r="G2242" s="220" t="s">
        <v>5461</v>
      </c>
    </row>
    <row r="2243" spans="2:7" ht="30" customHeight="1" thickBot="1" x14ac:dyDescent="0.3">
      <c r="B2243" s="220">
        <v>1890</v>
      </c>
      <c r="C2243" s="220" t="s">
        <v>5419</v>
      </c>
      <c r="D2243" s="220" t="s">
        <v>5483</v>
      </c>
      <c r="E2243" s="220" t="s">
        <v>7886</v>
      </c>
      <c r="F2243" s="220" t="s">
        <v>5474</v>
      </c>
      <c r="G2243" s="220" t="s">
        <v>5461</v>
      </c>
    </row>
    <row r="2244" spans="2:7" ht="30" customHeight="1" thickBot="1" x14ac:dyDescent="0.3">
      <c r="B2244" s="220">
        <v>1891</v>
      </c>
      <c r="C2244" s="220" t="s">
        <v>5419</v>
      </c>
      <c r="D2244" s="220" t="s">
        <v>5484</v>
      </c>
      <c r="E2244" s="220" t="s">
        <v>8828</v>
      </c>
      <c r="F2244" s="220" t="s">
        <v>5485</v>
      </c>
      <c r="G2244" s="220" t="s">
        <v>322</v>
      </c>
    </row>
    <row r="2245" spans="2:7" ht="30" customHeight="1" thickBot="1" x14ac:dyDescent="0.3">
      <c r="B2245" s="220">
        <v>1892</v>
      </c>
      <c r="C2245" s="220" t="s">
        <v>5419</v>
      </c>
      <c r="D2245" s="220" t="s">
        <v>5486</v>
      </c>
      <c r="E2245" s="220" t="s">
        <v>6973</v>
      </c>
      <c r="F2245" s="220" t="s">
        <v>5487</v>
      </c>
      <c r="G2245" s="220" t="s">
        <v>84</v>
      </c>
    </row>
    <row r="2246" spans="2:7" ht="30" customHeight="1" thickBot="1" x14ac:dyDescent="0.3">
      <c r="B2246" s="220">
        <v>1893</v>
      </c>
      <c r="C2246" s="220" t="s">
        <v>5419</v>
      </c>
      <c r="D2246" s="220" t="s">
        <v>5488</v>
      </c>
      <c r="E2246" s="220" t="s">
        <v>8559</v>
      </c>
      <c r="F2246" s="220" t="s">
        <v>5489</v>
      </c>
      <c r="G2246" s="220" t="s">
        <v>108</v>
      </c>
    </row>
    <row r="2247" spans="2:7" ht="30" customHeight="1" thickBot="1" x14ac:dyDescent="0.3">
      <c r="B2247" s="220">
        <v>1894</v>
      </c>
      <c r="C2247" s="220" t="s">
        <v>5419</v>
      </c>
      <c r="D2247" s="220" t="s">
        <v>5490</v>
      </c>
      <c r="E2247" s="220" t="s">
        <v>8560</v>
      </c>
      <c r="F2247" s="220"/>
      <c r="G2247" s="220" t="s">
        <v>108</v>
      </c>
    </row>
    <row r="2248" spans="2:7" ht="30" customHeight="1" thickBot="1" x14ac:dyDescent="0.3">
      <c r="B2248" s="220">
        <v>1895</v>
      </c>
      <c r="C2248" s="220" t="s">
        <v>5419</v>
      </c>
      <c r="D2248" s="220" t="s">
        <v>5491</v>
      </c>
      <c r="E2248" s="220" t="s">
        <v>8373</v>
      </c>
      <c r="F2248" s="220" t="s">
        <v>5492</v>
      </c>
      <c r="G2248" s="220" t="s">
        <v>120</v>
      </c>
    </row>
    <row r="2249" spans="2:7" ht="30" customHeight="1" thickBot="1" x14ac:dyDescent="0.3">
      <c r="B2249" s="220">
        <v>1896</v>
      </c>
      <c r="C2249" s="220" t="s">
        <v>5419</v>
      </c>
      <c r="D2249" s="220" t="s">
        <v>5493</v>
      </c>
      <c r="E2249" s="220" t="s">
        <v>8374</v>
      </c>
      <c r="F2249" s="220" t="s">
        <v>5494</v>
      </c>
      <c r="G2249" s="220" t="s">
        <v>120</v>
      </c>
    </row>
    <row r="2250" spans="2:7" ht="30" customHeight="1" thickBot="1" x14ac:dyDescent="0.3">
      <c r="B2250" s="220">
        <v>1897</v>
      </c>
      <c r="C2250" s="220" t="s">
        <v>5419</v>
      </c>
      <c r="D2250" s="220" t="s">
        <v>5495</v>
      </c>
      <c r="E2250" s="220" t="s">
        <v>8829</v>
      </c>
      <c r="F2250" s="220" t="s">
        <v>5496</v>
      </c>
      <c r="G2250" s="220" t="s">
        <v>322</v>
      </c>
    </row>
    <row r="2251" spans="2:7" ht="30" customHeight="1" thickBot="1" x14ac:dyDescent="0.3">
      <c r="B2251" s="220">
        <v>1898</v>
      </c>
      <c r="C2251" s="220" t="s">
        <v>5419</v>
      </c>
      <c r="D2251" s="220" t="s">
        <v>5497</v>
      </c>
      <c r="E2251" s="220" t="s">
        <v>8375</v>
      </c>
      <c r="F2251" s="220" t="s">
        <v>5496</v>
      </c>
      <c r="G2251" s="220" t="s">
        <v>120</v>
      </c>
    </row>
    <row r="2252" spans="2:7" ht="30" customHeight="1" thickBot="1" x14ac:dyDescent="0.3">
      <c r="B2252" s="220">
        <v>1899</v>
      </c>
      <c r="C2252" s="220" t="s">
        <v>5419</v>
      </c>
      <c r="D2252" s="220" t="s">
        <v>5498</v>
      </c>
      <c r="E2252" s="220" t="s">
        <v>8376</v>
      </c>
      <c r="F2252" s="220" t="s">
        <v>5499</v>
      </c>
      <c r="G2252" s="220" t="s">
        <v>120</v>
      </c>
    </row>
    <row r="2253" spans="2:7" ht="30" customHeight="1" thickBot="1" x14ac:dyDescent="0.3">
      <c r="B2253" s="220">
        <v>1900</v>
      </c>
      <c r="C2253" s="220" t="s">
        <v>5419</v>
      </c>
      <c r="D2253" s="220" t="s">
        <v>5500</v>
      </c>
      <c r="E2253" s="220" t="s">
        <v>7082</v>
      </c>
      <c r="F2253" s="220" t="s">
        <v>5501</v>
      </c>
      <c r="G2253" s="220" t="s">
        <v>3379</v>
      </c>
    </row>
    <row r="2254" spans="2:7" ht="30" customHeight="1" thickBot="1" x14ac:dyDescent="0.3">
      <c r="B2254" s="220">
        <v>1901</v>
      </c>
      <c r="C2254" s="220" t="s">
        <v>5419</v>
      </c>
      <c r="D2254" s="220" t="s">
        <v>5502</v>
      </c>
      <c r="E2254" s="220" t="s">
        <v>9316</v>
      </c>
      <c r="F2254" s="220" t="s">
        <v>5501</v>
      </c>
      <c r="G2254" s="220" t="s">
        <v>120</v>
      </c>
    </row>
    <row r="2255" spans="2:7" ht="30" customHeight="1" thickBot="1" x14ac:dyDescent="0.3">
      <c r="B2255" s="220">
        <v>1902</v>
      </c>
      <c r="C2255" s="220" t="s">
        <v>5419</v>
      </c>
      <c r="D2255" s="220" t="s">
        <v>5503</v>
      </c>
      <c r="E2255" s="220" t="s">
        <v>8576</v>
      </c>
      <c r="F2255" s="220" t="s">
        <v>5504</v>
      </c>
      <c r="G2255" s="220" t="s">
        <v>322</v>
      </c>
    </row>
    <row r="2256" spans="2:7" ht="30" customHeight="1" thickBot="1" x14ac:dyDescent="0.3">
      <c r="B2256" s="220">
        <v>1903</v>
      </c>
      <c r="C2256" s="220" t="s">
        <v>5419</v>
      </c>
      <c r="D2256" s="220" t="s">
        <v>5505</v>
      </c>
      <c r="E2256" s="220" t="s">
        <v>7887</v>
      </c>
      <c r="F2256" s="220" t="s">
        <v>5506</v>
      </c>
      <c r="G2256" s="220" t="s">
        <v>322</v>
      </c>
    </row>
    <row r="2257" spans="2:7" ht="30" customHeight="1" thickBot="1" x14ac:dyDescent="0.3">
      <c r="B2257" s="220">
        <v>1904</v>
      </c>
      <c r="C2257" s="220" t="s">
        <v>5419</v>
      </c>
      <c r="D2257" s="220" t="s">
        <v>5507</v>
      </c>
      <c r="E2257" s="220" t="s">
        <v>7367</v>
      </c>
      <c r="F2257" s="220" t="s">
        <v>1081</v>
      </c>
      <c r="G2257" s="220" t="s">
        <v>322</v>
      </c>
    </row>
    <row r="2258" spans="2:7" ht="30" customHeight="1" thickBot="1" x14ac:dyDescent="0.3">
      <c r="B2258" s="220">
        <v>1905</v>
      </c>
      <c r="C2258" s="220" t="s">
        <v>5419</v>
      </c>
      <c r="D2258" s="220" t="s">
        <v>5508</v>
      </c>
      <c r="E2258" s="220" t="s">
        <v>8830</v>
      </c>
      <c r="F2258" s="220" t="s">
        <v>1081</v>
      </c>
      <c r="G2258" s="220" t="s">
        <v>322</v>
      </c>
    </row>
    <row r="2259" spans="2:7" ht="30" customHeight="1" thickBot="1" x14ac:dyDescent="0.3">
      <c r="B2259" s="220">
        <v>1906</v>
      </c>
      <c r="C2259" s="220" t="s">
        <v>5419</v>
      </c>
      <c r="D2259" s="220" t="s">
        <v>5509</v>
      </c>
      <c r="E2259" s="220" t="s">
        <v>7995</v>
      </c>
      <c r="F2259" s="220" t="s">
        <v>5510</v>
      </c>
      <c r="G2259" s="220" t="s">
        <v>322</v>
      </c>
    </row>
    <row r="2260" spans="2:7" ht="30" customHeight="1" thickBot="1" x14ac:dyDescent="0.3">
      <c r="B2260" s="220">
        <v>1907</v>
      </c>
      <c r="C2260" s="220" t="s">
        <v>5419</v>
      </c>
      <c r="D2260" s="220" t="s">
        <v>5511</v>
      </c>
      <c r="E2260" s="220" t="s">
        <v>8561</v>
      </c>
      <c r="F2260" s="220" t="s">
        <v>1081</v>
      </c>
      <c r="G2260" s="220" t="s">
        <v>108</v>
      </c>
    </row>
    <row r="2261" spans="2:7" ht="30" customHeight="1" thickBot="1" x14ac:dyDescent="0.3">
      <c r="B2261" s="220">
        <v>1908</v>
      </c>
      <c r="C2261" s="220" t="s">
        <v>5419</v>
      </c>
      <c r="D2261" s="220" t="s">
        <v>5512</v>
      </c>
      <c r="E2261" s="220" t="s">
        <v>8562</v>
      </c>
      <c r="F2261" s="220" t="s">
        <v>1081</v>
      </c>
      <c r="G2261" s="220" t="s">
        <v>108</v>
      </c>
    </row>
    <row r="2262" spans="2:7" ht="30" customHeight="1" thickBot="1" x14ac:dyDescent="0.3">
      <c r="B2262" s="220">
        <v>1909</v>
      </c>
      <c r="C2262" s="220" t="s">
        <v>5419</v>
      </c>
      <c r="D2262" s="220" t="s">
        <v>5513</v>
      </c>
      <c r="E2262" s="220" t="s">
        <v>8831</v>
      </c>
      <c r="F2262" s="220" t="s">
        <v>1081</v>
      </c>
      <c r="G2262" s="220" t="s">
        <v>322</v>
      </c>
    </row>
    <row r="2263" spans="2:7" ht="30" customHeight="1" thickBot="1" x14ac:dyDescent="0.3">
      <c r="B2263" s="220">
        <v>1910</v>
      </c>
      <c r="C2263" s="220" t="s">
        <v>5419</v>
      </c>
      <c r="D2263" s="220" t="s">
        <v>5514</v>
      </c>
      <c r="E2263" s="220" t="s">
        <v>8832</v>
      </c>
      <c r="F2263" s="220" t="s">
        <v>5515</v>
      </c>
      <c r="G2263" s="220" t="s">
        <v>322</v>
      </c>
    </row>
    <row r="2264" spans="2:7" ht="30" customHeight="1" thickBot="1" x14ac:dyDescent="0.3">
      <c r="B2264" s="220">
        <v>1911</v>
      </c>
      <c r="C2264" s="220" t="s">
        <v>5419</v>
      </c>
      <c r="D2264" s="220" t="s">
        <v>5516</v>
      </c>
      <c r="E2264" s="220" t="s">
        <v>8351</v>
      </c>
      <c r="F2264" s="220" t="s">
        <v>5517</v>
      </c>
      <c r="G2264" s="220" t="s">
        <v>8093</v>
      </c>
    </row>
    <row r="2265" spans="2:7" ht="30" customHeight="1" thickBot="1" x14ac:dyDescent="0.3">
      <c r="B2265" s="220">
        <v>1912</v>
      </c>
      <c r="C2265" s="220" t="s">
        <v>5419</v>
      </c>
      <c r="D2265" s="220" t="s">
        <v>5518</v>
      </c>
      <c r="E2265" s="220" t="s">
        <v>8563</v>
      </c>
      <c r="F2265" s="220" t="s">
        <v>1081</v>
      </c>
      <c r="G2265" s="220" t="s">
        <v>108</v>
      </c>
    </row>
    <row r="2266" spans="2:7" ht="30" customHeight="1" thickBot="1" x14ac:dyDescent="0.3">
      <c r="B2266" s="220">
        <v>1913</v>
      </c>
      <c r="C2266" s="220" t="s">
        <v>5419</v>
      </c>
      <c r="D2266" s="220" t="s">
        <v>5519</v>
      </c>
      <c r="E2266" s="220" t="s">
        <v>8377</v>
      </c>
      <c r="F2266" s="220" t="s">
        <v>1081</v>
      </c>
      <c r="G2266" s="220" t="s">
        <v>120</v>
      </c>
    </row>
    <row r="2267" spans="2:7" ht="30" customHeight="1" thickBot="1" x14ac:dyDescent="0.3">
      <c r="B2267" s="220">
        <v>1914</v>
      </c>
      <c r="C2267" s="220" t="s">
        <v>5419</v>
      </c>
      <c r="D2267" s="220" t="s">
        <v>5520</v>
      </c>
      <c r="E2267" s="220" t="s">
        <v>8378</v>
      </c>
      <c r="F2267" s="220" t="s">
        <v>1081</v>
      </c>
      <c r="G2267" s="220" t="s">
        <v>120</v>
      </c>
    </row>
    <row r="2268" spans="2:7" ht="30" customHeight="1" thickBot="1" x14ac:dyDescent="0.3">
      <c r="B2268" s="220">
        <v>1915</v>
      </c>
      <c r="C2268" s="220" t="s">
        <v>5419</v>
      </c>
      <c r="D2268" s="220" t="s">
        <v>5521</v>
      </c>
      <c r="E2268" s="220" t="s">
        <v>7888</v>
      </c>
      <c r="F2268" s="220" t="s">
        <v>1081</v>
      </c>
      <c r="G2268" s="220" t="s">
        <v>322</v>
      </c>
    </row>
    <row r="2269" spans="2:7" ht="30" customHeight="1" thickBot="1" x14ac:dyDescent="0.3">
      <c r="B2269" s="220">
        <v>1916</v>
      </c>
      <c r="C2269" s="220" t="s">
        <v>5419</v>
      </c>
      <c r="D2269" s="220" t="s">
        <v>5522</v>
      </c>
      <c r="E2269" s="220" t="s">
        <v>8833</v>
      </c>
      <c r="F2269" s="220" t="s">
        <v>1081</v>
      </c>
      <c r="G2269" s="220" t="s">
        <v>322</v>
      </c>
    </row>
    <row r="2270" spans="2:7" ht="30" customHeight="1" thickBot="1" x14ac:dyDescent="0.3">
      <c r="B2270" s="220">
        <v>1917</v>
      </c>
      <c r="C2270" s="220" t="s">
        <v>5419</v>
      </c>
      <c r="D2270" s="220" t="s">
        <v>5523</v>
      </c>
      <c r="E2270" s="220" t="s">
        <v>8834</v>
      </c>
      <c r="F2270" s="220" t="s">
        <v>1081</v>
      </c>
      <c r="G2270" s="220" t="s">
        <v>322</v>
      </c>
    </row>
    <row r="2271" spans="2:7" ht="30" customHeight="1" thickBot="1" x14ac:dyDescent="0.3">
      <c r="B2271" s="220">
        <v>1918</v>
      </c>
      <c r="C2271" s="220" t="s">
        <v>5419</v>
      </c>
      <c r="D2271" s="220" t="s">
        <v>5524</v>
      </c>
      <c r="E2271" s="220" t="s">
        <v>8835</v>
      </c>
      <c r="F2271" s="220" t="s">
        <v>1081</v>
      </c>
      <c r="G2271" s="220" t="s">
        <v>322</v>
      </c>
    </row>
    <row r="2272" spans="2:7" ht="30" customHeight="1" thickBot="1" x14ac:dyDescent="0.3">
      <c r="B2272" s="220">
        <v>1919</v>
      </c>
      <c r="C2272" s="220" t="s">
        <v>5419</v>
      </c>
      <c r="D2272" s="220" t="s">
        <v>5525</v>
      </c>
      <c r="E2272" s="220" t="s">
        <v>8836</v>
      </c>
      <c r="F2272" s="220" t="s">
        <v>1081</v>
      </c>
      <c r="G2272" s="220" t="s">
        <v>322</v>
      </c>
    </row>
    <row r="2273" spans="2:7" ht="30" customHeight="1" thickBot="1" x14ac:dyDescent="0.3">
      <c r="B2273" s="220">
        <v>1920</v>
      </c>
      <c r="C2273" s="220" t="s">
        <v>5419</v>
      </c>
      <c r="D2273" s="220" t="s">
        <v>5526</v>
      </c>
      <c r="E2273" s="220" t="s">
        <v>8379</v>
      </c>
      <c r="F2273" s="220" t="s">
        <v>1081</v>
      </c>
      <c r="G2273" s="220" t="s">
        <v>120</v>
      </c>
    </row>
    <row r="2274" spans="2:7" ht="30" customHeight="1" thickBot="1" x14ac:dyDescent="0.3">
      <c r="B2274" s="220">
        <v>1921</v>
      </c>
      <c r="C2274" s="220" t="s">
        <v>5419</v>
      </c>
      <c r="D2274" s="220" t="s">
        <v>5527</v>
      </c>
      <c r="E2274" s="220" t="s">
        <v>8682</v>
      </c>
      <c r="F2274" s="220" t="s">
        <v>1081</v>
      </c>
      <c r="G2274" s="220" t="s">
        <v>322</v>
      </c>
    </row>
    <row r="2275" spans="2:7" ht="61.5" customHeight="1" thickBot="1" x14ac:dyDescent="0.3">
      <c r="B2275" s="219">
        <v>1922</v>
      </c>
      <c r="C2275" s="220" t="s">
        <v>5528</v>
      </c>
      <c r="D2275" s="220" t="s">
        <v>5529</v>
      </c>
      <c r="E2275" s="220" t="s">
        <v>9222</v>
      </c>
      <c r="F2275" s="220" t="s">
        <v>5530</v>
      </c>
      <c r="G2275" s="220" t="s">
        <v>5530</v>
      </c>
    </row>
    <row r="2276" spans="2:7" ht="30" customHeight="1" thickBot="1" x14ac:dyDescent="0.3">
      <c r="B2276" s="219">
        <v>1923</v>
      </c>
      <c r="C2276" s="220" t="s">
        <v>5528</v>
      </c>
      <c r="D2276" s="220" t="s">
        <v>5531</v>
      </c>
      <c r="E2276" s="220" t="s">
        <v>8961</v>
      </c>
      <c r="F2276" s="220" t="s">
        <v>5530</v>
      </c>
      <c r="G2276" s="220" t="s">
        <v>5530</v>
      </c>
    </row>
    <row r="2277" spans="2:7" ht="30" customHeight="1" thickBot="1" x14ac:dyDescent="0.3">
      <c r="B2277" s="219">
        <v>1924</v>
      </c>
      <c r="C2277" s="220" t="s">
        <v>5528</v>
      </c>
      <c r="D2277" s="220" t="s">
        <v>5532</v>
      </c>
      <c r="E2277" s="220" t="s">
        <v>8837</v>
      </c>
      <c r="F2277" s="220" t="s">
        <v>1173</v>
      </c>
      <c r="G2277" s="220" t="s">
        <v>5530</v>
      </c>
    </row>
    <row r="2278" spans="2:7" ht="30" customHeight="1" thickBot="1" x14ac:dyDescent="0.3">
      <c r="B2278" s="219">
        <v>1925</v>
      </c>
      <c r="C2278" s="220" t="s">
        <v>5528</v>
      </c>
      <c r="D2278" s="220" t="s">
        <v>5533</v>
      </c>
      <c r="E2278" s="220" t="s">
        <v>8838</v>
      </c>
      <c r="F2278" s="220" t="s">
        <v>5534</v>
      </c>
      <c r="G2278" s="220" t="s">
        <v>322</v>
      </c>
    </row>
    <row r="2279" spans="2:7" ht="30" customHeight="1" thickBot="1" x14ac:dyDescent="0.3">
      <c r="B2279" s="219">
        <v>1926</v>
      </c>
      <c r="C2279" s="220" t="s">
        <v>5528</v>
      </c>
      <c r="D2279" s="220" t="s">
        <v>5535</v>
      </c>
      <c r="E2279" s="220" t="s">
        <v>3158</v>
      </c>
      <c r="F2279" s="220" t="s">
        <v>5536</v>
      </c>
      <c r="G2279" s="220" t="s">
        <v>322</v>
      </c>
    </row>
    <row r="2280" spans="2:7" ht="30" customHeight="1" thickBot="1" x14ac:dyDescent="0.3">
      <c r="B2280" s="219">
        <v>1927</v>
      </c>
      <c r="C2280" s="220" t="s">
        <v>5528</v>
      </c>
      <c r="D2280" s="220" t="s">
        <v>5537</v>
      </c>
      <c r="E2280" s="220" t="s">
        <v>8380</v>
      </c>
      <c r="F2280" s="220" t="s">
        <v>5538</v>
      </c>
      <c r="G2280" s="220" t="s">
        <v>120</v>
      </c>
    </row>
    <row r="2281" spans="2:7" ht="30" customHeight="1" thickBot="1" x14ac:dyDescent="0.3">
      <c r="B2281" s="219">
        <v>1928</v>
      </c>
      <c r="C2281" s="220" t="s">
        <v>5528</v>
      </c>
      <c r="D2281" s="220" t="s">
        <v>5539</v>
      </c>
      <c r="E2281" s="220" t="s">
        <v>8839</v>
      </c>
      <c r="F2281" s="220" t="s">
        <v>5540</v>
      </c>
      <c r="G2281" s="220" t="s">
        <v>322</v>
      </c>
    </row>
    <row r="2282" spans="2:7" ht="30" customHeight="1" thickBot="1" x14ac:dyDescent="0.3">
      <c r="B2282" s="219">
        <v>1929</v>
      </c>
      <c r="C2282" s="220" t="s">
        <v>5528</v>
      </c>
      <c r="D2282" s="220" t="s">
        <v>5541</v>
      </c>
      <c r="E2282" s="220" t="s">
        <v>8564</v>
      </c>
      <c r="F2282" s="220" t="s">
        <v>5542</v>
      </c>
      <c r="G2282" s="223" t="s">
        <v>108</v>
      </c>
    </row>
    <row r="2283" spans="2:7" ht="30" customHeight="1" thickBot="1" x14ac:dyDescent="0.3">
      <c r="B2283" s="219">
        <v>1930</v>
      </c>
      <c r="C2283" s="220" t="s">
        <v>5528</v>
      </c>
      <c r="D2283" s="220" t="s">
        <v>5543</v>
      </c>
      <c r="E2283" s="220" t="s">
        <v>8565</v>
      </c>
      <c r="F2283" s="220" t="s">
        <v>5542</v>
      </c>
      <c r="G2283" s="223" t="s">
        <v>3379</v>
      </c>
    </row>
    <row r="2284" spans="2:7" ht="30" customHeight="1" thickBot="1" x14ac:dyDescent="0.3">
      <c r="B2284" s="219">
        <v>1931</v>
      </c>
      <c r="C2284" s="220" t="s">
        <v>5528</v>
      </c>
      <c r="D2284" s="220" t="s">
        <v>5544</v>
      </c>
      <c r="E2284" s="220" t="s">
        <v>7271</v>
      </c>
      <c r="F2284" s="220" t="s">
        <v>5545</v>
      </c>
      <c r="G2284" s="223" t="s">
        <v>3379</v>
      </c>
    </row>
    <row r="2285" spans="2:7" ht="30" customHeight="1" thickBot="1" x14ac:dyDescent="0.3">
      <c r="B2285" s="219">
        <v>1932</v>
      </c>
      <c r="C2285" s="220" t="s">
        <v>5528</v>
      </c>
      <c r="D2285" s="220" t="s">
        <v>10101</v>
      </c>
      <c r="E2285" s="220" t="s">
        <v>8566</v>
      </c>
      <c r="F2285" s="220" t="s">
        <v>5546</v>
      </c>
      <c r="G2285" s="223" t="s">
        <v>52</v>
      </c>
    </row>
    <row r="2286" spans="2:7" ht="30" customHeight="1" thickBot="1" x14ac:dyDescent="0.3">
      <c r="B2286" s="219">
        <v>1933</v>
      </c>
      <c r="C2286" s="220" t="s">
        <v>5528</v>
      </c>
      <c r="D2286" s="220" t="s">
        <v>5547</v>
      </c>
      <c r="E2286" s="220" t="s">
        <v>8567</v>
      </c>
      <c r="F2286" s="220" t="s">
        <v>5548</v>
      </c>
      <c r="G2286" s="223" t="s">
        <v>84</v>
      </c>
    </row>
    <row r="2287" spans="2:7" ht="30" customHeight="1" thickBot="1" x14ac:dyDescent="0.3">
      <c r="B2287" s="219">
        <v>1934</v>
      </c>
      <c r="C2287" s="220" t="s">
        <v>5528</v>
      </c>
      <c r="D2287" s="220" t="s">
        <v>5549</v>
      </c>
      <c r="E2287" s="220" t="s">
        <v>8840</v>
      </c>
      <c r="F2287" s="220" t="s">
        <v>5550</v>
      </c>
      <c r="G2287" s="223" t="s">
        <v>322</v>
      </c>
    </row>
    <row r="2288" spans="2:7" ht="30" customHeight="1" thickBot="1" x14ac:dyDescent="0.3">
      <c r="B2288" s="219">
        <v>1935</v>
      </c>
      <c r="C2288" s="220" t="s">
        <v>5528</v>
      </c>
      <c r="D2288" s="220" t="s">
        <v>5551</v>
      </c>
      <c r="E2288" s="220" t="s">
        <v>8841</v>
      </c>
      <c r="F2288" s="220" t="s">
        <v>5552</v>
      </c>
      <c r="G2288" s="223" t="s">
        <v>322</v>
      </c>
    </row>
    <row r="2289" spans="2:7" ht="30" customHeight="1" thickBot="1" x14ac:dyDescent="0.3">
      <c r="B2289" s="219">
        <v>1936</v>
      </c>
      <c r="C2289" s="220" t="s">
        <v>5528</v>
      </c>
      <c r="D2289" s="220" t="s">
        <v>5553</v>
      </c>
      <c r="E2289" s="220" t="s">
        <v>8381</v>
      </c>
      <c r="F2289" s="220" t="s">
        <v>5554</v>
      </c>
      <c r="G2289" s="223" t="s">
        <v>120</v>
      </c>
    </row>
    <row r="2290" spans="2:7" ht="30" customHeight="1" thickBot="1" x14ac:dyDescent="0.3">
      <c r="B2290" s="219">
        <v>1937</v>
      </c>
      <c r="C2290" s="220" t="s">
        <v>5528</v>
      </c>
      <c r="D2290" s="220" t="s">
        <v>10102</v>
      </c>
      <c r="E2290" s="220" t="s">
        <v>8842</v>
      </c>
      <c r="F2290" s="220" t="s">
        <v>5555</v>
      </c>
      <c r="G2290" s="223" t="s">
        <v>322</v>
      </c>
    </row>
    <row r="2291" spans="2:7" ht="30" customHeight="1" thickBot="1" x14ac:dyDescent="0.3">
      <c r="B2291" s="219">
        <v>1938</v>
      </c>
      <c r="C2291" s="220" t="s">
        <v>5528</v>
      </c>
      <c r="D2291" s="220" t="s">
        <v>5556</v>
      </c>
      <c r="E2291" s="220" t="s">
        <v>8843</v>
      </c>
      <c r="F2291" s="220" t="s">
        <v>5557</v>
      </c>
      <c r="G2291" s="223" t="s">
        <v>322</v>
      </c>
    </row>
    <row r="2292" spans="2:7" ht="30" customHeight="1" thickBot="1" x14ac:dyDescent="0.3">
      <c r="B2292" s="219">
        <v>1939</v>
      </c>
      <c r="C2292" s="220" t="s">
        <v>5528</v>
      </c>
      <c r="D2292" s="220" t="s">
        <v>5558</v>
      </c>
      <c r="E2292" s="220" t="s">
        <v>8844</v>
      </c>
      <c r="F2292" s="220" t="s">
        <v>5559</v>
      </c>
      <c r="G2292" s="223" t="s">
        <v>322</v>
      </c>
    </row>
    <row r="2293" spans="2:7" ht="30" customHeight="1" thickBot="1" x14ac:dyDescent="0.3">
      <c r="B2293" s="219">
        <v>1940</v>
      </c>
      <c r="C2293" s="220" t="s">
        <v>5528</v>
      </c>
      <c r="D2293" s="220" t="s">
        <v>5560</v>
      </c>
      <c r="E2293" s="220" t="s">
        <v>8382</v>
      </c>
      <c r="F2293" s="220" t="s">
        <v>5561</v>
      </c>
      <c r="G2293" s="223" t="s">
        <v>2493</v>
      </c>
    </row>
    <row r="2294" spans="2:7" ht="30" customHeight="1" thickBot="1" x14ac:dyDescent="0.3">
      <c r="B2294" s="219">
        <v>1941</v>
      </c>
      <c r="C2294" s="220" t="s">
        <v>5528</v>
      </c>
      <c r="D2294" s="220" t="s">
        <v>5562</v>
      </c>
      <c r="E2294" s="220" t="s">
        <v>9317</v>
      </c>
      <c r="F2294" s="220" t="s">
        <v>5563</v>
      </c>
      <c r="G2294" s="220" t="s">
        <v>5564</v>
      </c>
    </row>
    <row r="2295" spans="2:7" ht="30" customHeight="1" thickBot="1" x14ac:dyDescent="0.3">
      <c r="B2295" s="219">
        <v>1942</v>
      </c>
      <c r="C2295" s="220" t="s">
        <v>5528</v>
      </c>
      <c r="D2295" s="220" t="s">
        <v>5565</v>
      </c>
      <c r="E2295" s="220" t="s">
        <v>8845</v>
      </c>
      <c r="F2295" s="220" t="s">
        <v>5566</v>
      </c>
      <c r="G2295" s="223" t="s">
        <v>322</v>
      </c>
    </row>
    <row r="2296" spans="2:7" ht="30" customHeight="1" thickBot="1" x14ac:dyDescent="0.3">
      <c r="B2296" s="219">
        <v>1943</v>
      </c>
      <c r="C2296" s="220" t="s">
        <v>5528</v>
      </c>
      <c r="D2296" s="220" t="s">
        <v>10103</v>
      </c>
      <c r="E2296" s="220" t="s">
        <v>7083</v>
      </c>
      <c r="F2296" s="220" t="s">
        <v>5567</v>
      </c>
      <c r="G2296" s="223" t="s">
        <v>3379</v>
      </c>
    </row>
    <row r="2297" spans="2:7" ht="30" customHeight="1" thickBot="1" x14ac:dyDescent="0.3">
      <c r="B2297" s="219">
        <v>1944</v>
      </c>
      <c r="C2297" s="220" t="s">
        <v>5528</v>
      </c>
      <c r="D2297" s="220" t="s">
        <v>5568</v>
      </c>
      <c r="E2297" s="220" t="s">
        <v>7084</v>
      </c>
      <c r="F2297" s="220" t="s">
        <v>5569</v>
      </c>
      <c r="G2297" s="223" t="s">
        <v>3379</v>
      </c>
    </row>
    <row r="2298" spans="2:7" ht="30" customHeight="1" thickBot="1" x14ac:dyDescent="0.3">
      <c r="B2298" s="219">
        <v>1945</v>
      </c>
      <c r="C2298" s="220" t="s">
        <v>5528</v>
      </c>
      <c r="D2298" s="220" t="s">
        <v>5570</v>
      </c>
      <c r="E2298" s="220" t="s">
        <v>8846</v>
      </c>
      <c r="F2298" s="220" t="s">
        <v>5571</v>
      </c>
      <c r="G2298" s="223" t="s">
        <v>3379</v>
      </c>
    </row>
    <row r="2299" spans="2:7" ht="30" customHeight="1" thickBot="1" x14ac:dyDescent="0.3">
      <c r="B2299" s="219">
        <v>1946</v>
      </c>
      <c r="C2299" s="220" t="s">
        <v>5528</v>
      </c>
      <c r="D2299" s="220" t="s">
        <v>5572</v>
      </c>
      <c r="E2299" s="220" t="s">
        <v>8383</v>
      </c>
      <c r="F2299" s="220" t="s">
        <v>5573</v>
      </c>
      <c r="G2299" s="223" t="s">
        <v>8097</v>
      </c>
    </row>
    <row r="2300" spans="2:7" ht="30" customHeight="1" thickBot="1" x14ac:dyDescent="0.3">
      <c r="B2300" s="219">
        <v>1947</v>
      </c>
      <c r="C2300" s="220" t="s">
        <v>5528</v>
      </c>
      <c r="D2300" s="220" t="s">
        <v>5574</v>
      </c>
      <c r="E2300" s="220" t="s">
        <v>7272</v>
      </c>
      <c r="F2300" s="220" t="s">
        <v>5573</v>
      </c>
      <c r="G2300" s="223" t="s">
        <v>3379</v>
      </c>
    </row>
    <row r="2301" spans="2:7" ht="30" customHeight="1" thickBot="1" x14ac:dyDescent="0.3">
      <c r="B2301" s="219">
        <v>1948</v>
      </c>
      <c r="C2301" s="220" t="s">
        <v>5528</v>
      </c>
      <c r="D2301" s="220" t="s">
        <v>5575</v>
      </c>
      <c r="E2301" s="220" t="s">
        <v>7085</v>
      </c>
      <c r="F2301" s="220" t="s">
        <v>5573</v>
      </c>
      <c r="G2301" s="223" t="s">
        <v>3379</v>
      </c>
    </row>
    <row r="2302" spans="2:7" ht="30" customHeight="1" thickBot="1" x14ac:dyDescent="0.3">
      <c r="B2302" s="219">
        <v>1949</v>
      </c>
      <c r="C2302" s="220" t="s">
        <v>5528</v>
      </c>
      <c r="D2302" s="220" t="s">
        <v>10104</v>
      </c>
      <c r="E2302" s="220" t="s">
        <v>7086</v>
      </c>
      <c r="F2302" s="220" t="s">
        <v>5573</v>
      </c>
      <c r="G2302" s="223" t="s">
        <v>3379</v>
      </c>
    </row>
    <row r="2303" spans="2:7" ht="30" customHeight="1" thickBot="1" x14ac:dyDescent="0.3">
      <c r="B2303" s="219">
        <v>1950</v>
      </c>
      <c r="C2303" s="220" t="s">
        <v>5528</v>
      </c>
      <c r="D2303" s="220" t="s">
        <v>5576</v>
      </c>
      <c r="E2303" s="220" t="s">
        <v>9318</v>
      </c>
      <c r="F2303" s="220" t="s">
        <v>5573</v>
      </c>
      <c r="G2303" s="223" t="s">
        <v>120</v>
      </c>
    </row>
    <row r="2304" spans="2:7" ht="30" customHeight="1" thickBot="1" x14ac:dyDescent="0.3">
      <c r="B2304" s="219">
        <v>1951</v>
      </c>
      <c r="C2304" s="220" t="s">
        <v>5528</v>
      </c>
      <c r="D2304" s="220" t="s">
        <v>5577</v>
      </c>
      <c r="E2304" s="220" t="s">
        <v>7087</v>
      </c>
      <c r="F2304" s="220" t="s">
        <v>5573</v>
      </c>
      <c r="G2304" s="223" t="s">
        <v>3379</v>
      </c>
    </row>
    <row r="2305" spans="2:7" ht="30" customHeight="1" thickBot="1" x14ac:dyDescent="0.3">
      <c r="B2305" s="219">
        <v>1952</v>
      </c>
      <c r="C2305" s="220" t="s">
        <v>5528</v>
      </c>
      <c r="D2305" s="220" t="s">
        <v>5578</v>
      </c>
      <c r="E2305" s="220" t="s">
        <v>7088</v>
      </c>
      <c r="F2305" s="220" t="s">
        <v>5573</v>
      </c>
      <c r="G2305" s="223" t="s">
        <v>3379</v>
      </c>
    </row>
    <row r="2306" spans="2:7" ht="30" customHeight="1" thickBot="1" x14ac:dyDescent="0.3">
      <c r="B2306" s="219">
        <v>1953</v>
      </c>
      <c r="C2306" s="220" t="s">
        <v>5528</v>
      </c>
      <c r="D2306" s="220" t="s">
        <v>5579</v>
      </c>
      <c r="E2306" s="220" t="s">
        <v>7089</v>
      </c>
      <c r="F2306" s="220" t="s">
        <v>5580</v>
      </c>
      <c r="G2306" s="223" t="s">
        <v>3379</v>
      </c>
    </row>
    <row r="2307" spans="2:7" ht="30" customHeight="1" thickBot="1" x14ac:dyDescent="0.3">
      <c r="B2307" s="219">
        <v>1954</v>
      </c>
      <c r="C2307" s="220" t="s">
        <v>5528</v>
      </c>
      <c r="D2307" s="220" t="s">
        <v>5581</v>
      </c>
      <c r="E2307" s="220" t="s">
        <v>8384</v>
      </c>
      <c r="F2307" s="220" t="s">
        <v>5580</v>
      </c>
      <c r="G2307" s="223" t="s">
        <v>120</v>
      </c>
    </row>
    <row r="2308" spans="2:7" ht="30" customHeight="1" thickBot="1" x14ac:dyDescent="0.3">
      <c r="B2308" s="219">
        <v>1955</v>
      </c>
      <c r="C2308" s="220" t="s">
        <v>5528</v>
      </c>
      <c r="D2308" s="220" t="s">
        <v>5582</v>
      </c>
      <c r="E2308" s="220" t="s">
        <v>9319</v>
      </c>
      <c r="F2308" s="220" t="s">
        <v>5583</v>
      </c>
      <c r="G2308" s="220" t="s">
        <v>565</v>
      </c>
    </row>
    <row r="2309" spans="2:7" ht="30" customHeight="1" thickBot="1" x14ac:dyDescent="0.3">
      <c r="B2309" s="219">
        <v>1956</v>
      </c>
      <c r="C2309" s="220" t="s">
        <v>5528</v>
      </c>
      <c r="D2309" s="220" t="s">
        <v>5584</v>
      </c>
      <c r="E2309" s="220" t="s">
        <v>6962</v>
      </c>
      <c r="F2309" s="220" t="s">
        <v>5585</v>
      </c>
      <c r="G2309" s="223" t="s">
        <v>3379</v>
      </c>
    </row>
    <row r="2310" spans="2:7" ht="30" customHeight="1" thickBot="1" x14ac:dyDescent="0.3">
      <c r="B2310" s="219">
        <v>1957</v>
      </c>
      <c r="C2310" s="220" t="s">
        <v>5528</v>
      </c>
      <c r="D2310" s="220" t="s">
        <v>5586</v>
      </c>
      <c r="E2310" s="220" t="s">
        <v>9320</v>
      </c>
      <c r="F2310" s="220" t="s">
        <v>5587</v>
      </c>
      <c r="G2310" s="220" t="s">
        <v>565</v>
      </c>
    </row>
    <row r="2311" spans="2:7" ht="30" customHeight="1" thickBot="1" x14ac:dyDescent="0.3">
      <c r="B2311" s="219">
        <v>1958</v>
      </c>
      <c r="C2311" s="220" t="s">
        <v>5528</v>
      </c>
      <c r="D2311" s="220" t="s">
        <v>5588</v>
      </c>
      <c r="E2311" s="220" t="s">
        <v>8847</v>
      </c>
      <c r="F2311" s="220" t="s">
        <v>5589</v>
      </c>
      <c r="G2311" s="223" t="s">
        <v>3379</v>
      </c>
    </row>
    <row r="2312" spans="2:7" ht="30" customHeight="1" thickBot="1" x14ac:dyDescent="0.3">
      <c r="B2312" s="219">
        <v>1959</v>
      </c>
      <c r="C2312" s="220" t="s">
        <v>5528</v>
      </c>
      <c r="D2312" s="220" t="s">
        <v>5590</v>
      </c>
      <c r="E2312" s="220" t="s">
        <v>5591</v>
      </c>
      <c r="F2312" s="220" t="s">
        <v>5592</v>
      </c>
      <c r="G2312" s="220" t="s">
        <v>565</v>
      </c>
    </row>
    <row r="2313" spans="2:7" ht="30" customHeight="1" thickBot="1" x14ac:dyDescent="0.3">
      <c r="B2313" s="219">
        <v>1960</v>
      </c>
      <c r="C2313" s="220" t="s">
        <v>5528</v>
      </c>
      <c r="D2313" s="220" t="s">
        <v>10105</v>
      </c>
      <c r="E2313" s="220" t="s">
        <v>8848</v>
      </c>
      <c r="F2313" s="220" t="s">
        <v>5593</v>
      </c>
      <c r="G2313" s="220" t="s">
        <v>2636</v>
      </c>
    </row>
    <row r="2314" spans="2:7" ht="30" customHeight="1" thickBot="1" x14ac:dyDescent="0.3">
      <c r="B2314" s="219">
        <v>1961</v>
      </c>
      <c r="C2314" s="220" t="s">
        <v>5528</v>
      </c>
      <c r="D2314" s="220" t="s">
        <v>5594</v>
      </c>
      <c r="E2314" s="220" t="s">
        <v>7340</v>
      </c>
      <c r="F2314" s="220" t="s">
        <v>5595</v>
      </c>
      <c r="G2314" s="220" t="s">
        <v>2636</v>
      </c>
    </row>
    <row r="2315" spans="2:7" ht="30" customHeight="1" thickBot="1" x14ac:dyDescent="0.3">
      <c r="B2315" s="219">
        <v>1962</v>
      </c>
      <c r="C2315" s="220" t="s">
        <v>5528</v>
      </c>
      <c r="D2315" s="220" t="s">
        <v>5596</v>
      </c>
      <c r="E2315" s="220" t="s">
        <v>5597</v>
      </c>
      <c r="F2315" s="220" t="s">
        <v>5598</v>
      </c>
      <c r="G2315" s="220" t="s">
        <v>2636</v>
      </c>
    </row>
    <row r="2316" spans="2:7" ht="30" customHeight="1" thickBot="1" x14ac:dyDescent="0.3">
      <c r="B2316" s="219">
        <v>1963</v>
      </c>
      <c r="C2316" s="220" t="s">
        <v>5528</v>
      </c>
      <c r="D2316" s="220" t="s">
        <v>5599</v>
      </c>
      <c r="E2316" s="220" t="s">
        <v>8676</v>
      </c>
      <c r="F2316" s="220" t="s">
        <v>5600</v>
      </c>
      <c r="G2316" s="223" t="s">
        <v>3379</v>
      </c>
    </row>
    <row r="2317" spans="2:7" ht="30" customHeight="1" thickBot="1" x14ac:dyDescent="0.3">
      <c r="B2317" s="219">
        <v>1964</v>
      </c>
      <c r="C2317" s="220" t="s">
        <v>5528</v>
      </c>
      <c r="D2317" s="220" t="s">
        <v>10106</v>
      </c>
      <c r="E2317" s="220" t="s">
        <v>8522</v>
      </c>
      <c r="F2317" s="220" t="s">
        <v>5600</v>
      </c>
      <c r="G2317" s="223" t="s">
        <v>3379</v>
      </c>
    </row>
    <row r="2318" spans="2:7" ht="30" customHeight="1" thickBot="1" x14ac:dyDescent="0.3">
      <c r="B2318" s="219">
        <v>1965</v>
      </c>
      <c r="C2318" s="220" t="s">
        <v>5528</v>
      </c>
      <c r="D2318" s="220" t="s">
        <v>5601</v>
      </c>
      <c r="E2318" s="220" t="s">
        <v>7273</v>
      </c>
      <c r="F2318" s="220" t="s">
        <v>5602</v>
      </c>
      <c r="G2318" s="223" t="s">
        <v>3379</v>
      </c>
    </row>
    <row r="2319" spans="2:7" ht="30" customHeight="1" thickBot="1" x14ac:dyDescent="0.3">
      <c r="B2319" s="219">
        <v>1966</v>
      </c>
      <c r="C2319" s="220" t="s">
        <v>5528</v>
      </c>
      <c r="D2319" s="220" t="s">
        <v>5603</v>
      </c>
      <c r="E2319" s="220" t="s">
        <v>8849</v>
      </c>
      <c r="F2319" s="220" t="s">
        <v>5604</v>
      </c>
      <c r="G2319" s="223" t="s">
        <v>3379</v>
      </c>
    </row>
    <row r="2320" spans="2:7" ht="30" customHeight="1" thickBot="1" x14ac:dyDescent="0.3">
      <c r="B2320" s="219">
        <v>1967</v>
      </c>
      <c r="C2320" s="220" t="s">
        <v>5528</v>
      </c>
      <c r="D2320" s="220" t="s">
        <v>5605</v>
      </c>
      <c r="E2320" s="220" t="s">
        <v>8352</v>
      </c>
      <c r="F2320" s="220" t="s">
        <v>5606</v>
      </c>
      <c r="G2320" s="220" t="s">
        <v>5607</v>
      </c>
    </row>
    <row r="2321" spans="2:7" ht="30" customHeight="1" thickBot="1" x14ac:dyDescent="0.3">
      <c r="B2321" s="219">
        <v>1968</v>
      </c>
      <c r="C2321" s="220" t="s">
        <v>5528</v>
      </c>
      <c r="D2321" s="220" t="s">
        <v>5608</v>
      </c>
      <c r="E2321" s="220" t="s">
        <v>8568</v>
      </c>
      <c r="F2321" s="220" t="s">
        <v>5609</v>
      </c>
      <c r="G2321" s="220" t="s">
        <v>3379</v>
      </c>
    </row>
    <row r="2322" spans="2:7" ht="30" customHeight="1" thickBot="1" x14ac:dyDescent="0.3">
      <c r="B2322" s="219">
        <v>1969</v>
      </c>
      <c r="C2322" s="220" t="s">
        <v>5528</v>
      </c>
      <c r="D2322" s="220" t="s">
        <v>5610</v>
      </c>
      <c r="E2322" s="220" t="s">
        <v>8850</v>
      </c>
      <c r="F2322" s="220" t="s">
        <v>5611</v>
      </c>
      <c r="G2322" s="220" t="s">
        <v>3379</v>
      </c>
    </row>
    <row r="2323" spans="2:7" ht="30" customHeight="1" thickBot="1" x14ac:dyDescent="0.3">
      <c r="B2323" s="219">
        <v>1970</v>
      </c>
      <c r="C2323" s="220" t="s">
        <v>5528</v>
      </c>
      <c r="D2323" s="220" t="s">
        <v>5612</v>
      </c>
      <c r="E2323" s="220" t="s">
        <v>8439</v>
      </c>
      <c r="F2323" s="220" t="s">
        <v>5613</v>
      </c>
      <c r="G2323" s="223" t="s">
        <v>322</v>
      </c>
    </row>
    <row r="2324" spans="2:7" ht="30" customHeight="1" thickBot="1" x14ac:dyDescent="0.3">
      <c r="B2324" s="219">
        <v>1971</v>
      </c>
      <c r="C2324" s="220" t="s">
        <v>5528</v>
      </c>
      <c r="D2324" s="220" t="s">
        <v>5614</v>
      </c>
      <c r="E2324" s="220" t="s">
        <v>8569</v>
      </c>
      <c r="F2324" s="220" t="s">
        <v>5615</v>
      </c>
      <c r="G2324" s="220" t="s">
        <v>108</v>
      </c>
    </row>
    <row r="2325" spans="2:7" ht="30" customHeight="1" thickBot="1" x14ac:dyDescent="0.3">
      <c r="B2325" s="219">
        <v>1972</v>
      </c>
      <c r="C2325" s="220" t="s">
        <v>5528</v>
      </c>
      <c r="D2325" s="220" t="s">
        <v>5616</v>
      </c>
      <c r="E2325" s="220" t="s">
        <v>7090</v>
      </c>
      <c r="F2325" s="220" t="s">
        <v>5617</v>
      </c>
      <c r="G2325" s="223" t="s">
        <v>3379</v>
      </c>
    </row>
    <row r="2326" spans="2:7" ht="30" customHeight="1" thickBot="1" x14ac:dyDescent="0.3">
      <c r="B2326" s="219">
        <v>1973</v>
      </c>
      <c r="C2326" s="220" t="s">
        <v>5528</v>
      </c>
      <c r="D2326" s="220" t="s">
        <v>5618</v>
      </c>
      <c r="E2326" s="220" t="s">
        <v>7274</v>
      </c>
      <c r="F2326" s="220" t="s">
        <v>5619</v>
      </c>
      <c r="G2326" s="223" t="s">
        <v>322</v>
      </c>
    </row>
    <row r="2327" spans="2:7" ht="30" customHeight="1" thickBot="1" x14ac:dyDescent="0.3">
      <c r="B2327" s="219">
        <v>1974</v>
      </c>
      <c r="C2327" s="220" t="s">
        <v>5528</v>
      </c>
      <c r="D2327" s="220" t="s">
        <v>5620</v>
      </c>
      <c r="E2327" s="220" t="s">
        <v>7091</v>
      </c>
      <c r="F2327" s="220" t="s">
        <v>5621</v>
      </c>
      <c r="G2327" s="223" t="s">
        <v>3379</v>
      </c>
    </row>
    <row r="2328" spans="2:7" ht="30" customHeight="1" thickBot="1" x14ac:dyDescent="0.3">
      <c r="B2328" s="219">
        <v>1975</v>
      </c>
      <c r="C2328" s="220" t="s">
        <v>5528</v>
      </c>
      <c r="D2328" s="220" t="s">
        <v>5622</v>
      </c>
      <c r="E2328" s="220" t="s">
        <v>9101</v>
      </c>
      <c r="F2328" s="220" t="s">
        <v>5623</v>
      </c>
      <c r="G2328" s="223" t="s">
        <v>108</v>
      </c>
    </row>
    <row r="2329" spans="2:7" ht="30" customHeight="1" thickBot="1" x14ac:dyDescent="0.3">
      <c r="B2329" s="219">
        <v>1976</v>
      </c>
      <c r="C2329" s="220" t="s">
        <v>5528</v>
      </c>
      <c r="D2329" s="220" t="s">
        <v>10107</v>
      </c>
      <c r="E2329" s="220" t="s">
        <v>7092</v>
      </c>
      <c r="F2329" s="220" t="s">
        <v>5624</v>
      </c>
      <c r="G2329" s="223" t="s">
        <v>3379</v>
      </c>
    </row>
    <row r="2330" spans="2:7" ht="30" customHeight="1" thickBot="1" x14ac:dyDescent="0.3">
      <c r="B2330" s="219">
        <v>1977</v>
      </c>
      <c r="C2330" s="220" t="s">
        <v>5528</v>
      </c>
      <c r="D2330" s="220" t="s">
        <v>5625</v>
      </c>
      <c r="E2330" s="220" t="s">
        <v>7093</v>
      </c>
      <c r="F2330" s="220" t="s">
        <v>5626</v>
      </c>
      <c r="G2330" s="223" t="s">
        <v>3379</v>
      </c>
    </row>
    <row r="2331" spans="2:7" ht="30" customHeight="1" thickBot="1" x14ac:dyDescent="0.3">
      <c r="B2331" s="219">
        <v>1978</v>
      </c>
      <c r="C2331" s="220" t="s">
        <v>5528</v>
      </c>
      <c r="D2331" s="220" t="s">
        <v>5627</v>
      </c>
      <c r="E2331" s="220" t="s">
        <v>7094</v>
      </c>
      <c r="F2331" s="220" t="s">
        <v>5628</v>
      </c>
      <c r="G2331" s="223" t="s">
        <v>3379</v>
      </c>
    </row>
    <row r="2332" spans="2:7" ht="30" customHeight="1" thickBot="1" x14ac:dyDescent="0.3">
      <c r="B2332" s="219">
        <v>1979</v>
      </c>
      <c r="C2332" s="220" t="s">
        <v>5528</v>
      </c>
      <c r="D2332" s="220" t="s">
        <v>5629</v>
      </c>
      <c r="E2332" s="220" t="s">
        <v>7095</v>
      </c>
      <c r="F2332" s="220" t="s">
        <v>5630</v>
      </c>
      <c r="G2332" s="223" t="s">
        <v>3379</v>
      </c>
    </row>
    <row r="2333" spans="2:7" ht="30" customHeight="1" thickBot="1" x14ac:dyDescent="0.3">
      <c r="B2333" s="219">
        <v>1980</v>
      </c>
      <c r="C2333" s="220" t="s">
        <v>5528</v>
      </c>
      <c r="D2333" s="220" t="s">
        <v>5631</v>
      </c>
      <c r="E2333" s="220" t="s">
        <v>8851</v>
      </c>
      <c r="F2333" s="220" t="s">
        <v>5632</v>
      </c>
      <c r="G2333" s="223" t="s">
        <v>3379</v>
      </c>
    </row>
    <row r="2334" spans="2:7" ht="30" customHeight="1" thickBot="1" x14ac:dyDescent="0.3">
      <c r="B2334" s="219">
        <v>1981</v>
      </c>
      <c r="C2334" s="220" t="s">
        <v>5528</v>
      </c>
      <c r="D2334" s="220" t="s">
        <v>10108</v>
      </c>
      <c r="E2334" s="220" t="s">
        <v>7269</v>
      </c>
      <c r="F2334" s="220" t="s">
        <v>5633</v>
      </c>
      <c r="G2334" s="220" t="s">
        <v>3379</v>
      </c>
    </row>
    <row r="2335" spans="2:7" ht="30" customHeight="1" thickBot="1" x14ac:dyDescent="0.3">
      <c r="B2335" s="219">
        <v>1982</v>
      </c>
      <c r="C2335" s="220" t="s">
        <v>5528</v>
      </c>
      <c r="D2335" s="220" t="s">
        <v>5634</v>
      </c>
      <c r="E2335" s="220" t="s">
        <v>7996</v>
      </c>
      <c r="F2335" s="220" t="s">
        <v>5635</v>
      </c>
      <c r="G2335" s="223" t="s">
        <v>3379</v>
      </c>
    </row>
    <row r="2336" spans="2:7" ht="30" customHeight="1" thickBot="1" x14ac:dyDescent="0.3">
      <c r="B2336" s="219">
        <v>1983</v>
      </c>
      <c r="C2336" s="220" t="s">
        <v>5528</v>
      </c>
      <c r="D2336" s="220" t="s">
        <v>5636</v>
      </c>
      <c r="E2336" s="220" t="s">
        <v>7997</v>
      </c>
      <c r="F2336" s="220" t="s">
        <v>5635</v>
      </c>
      <c r="G2336" s="223" t="s">
        <v>3379</v>
      </c>
    </row>
    <row r="2337" spans="2:7" ht="30" customHeight="1" thickBot="1" x14ac:dyDescent="0.3">
      <c r="B2337" s="219">
        <v>1984</v>
      </c>
      <c r="C2337" s="220" t="s">
        <v>5528</v>
      </c>
      <c r="D2337" s="220" t="s">
        <v>5637</v>
      </c>
      <c r="E2337" s="220" t="s">
        <v>7185</v>
      </c>
      <c r="F2337" s="220" t="s">
        <v>5638</v>
      </c>
      <c r="G2337" s="223" t="s">
        <v>3379</v>
      </c>
    </row>
    <row r="2338" spans="2:7" ht="30" customHeight="1" thickBot="1" x14ac:dyDescent="0.3">
      <c r="B2338" s="219">
        <v>1985</v>
      </c>
      <c r="C2338" s="220" t="s">
        <v>5528</v>
      </c>
      <c r="D2338" s="220" t="s">
        <v>10109</v>
      </c>
      <c r="E2338" s="220" t="s">
        <v>8570</v>
      </c>
      <c r="F2338" s="220" t="s">
        <v>5639</v>
      </c>
      <c r="G2338" s="220" t="s">
        <v>52</v>
      </c>
    </row>
    <row r="2339" spans="2:7" ht="30" customHeight="1" thickBot="1" x14ac:dyDescent="0.3">
      <c r="B2339" s="219">
        <v>1986</v>
      </c>
      <c r="C2339" s="220" t="s">
        <v>5528</v>
      </c>
      <c r="D2339" s="220" t="s">
        <v>10110</v>
      </c>
      <c r="E2339" s="220" t="s">
        <v>8571</v>
      </c>
      <c r="F2339" s="220" t="s">
        <v>5639</v>
      </c>
      <c r="G2339" s="220" t="s">
        <v>52</v>
      </c>
    </row>
    <row r="2340" spans="2:7" ht="30" customHeight="1" thickBot="1" x14ac:dyDescent="0.3">
      <c r="B2340" s="219">
        <v>1987</v>
      </c>
      <c r="C2340" s="220" t="s">
        <v>5528</v>
      </c>
      <c r="D2340" s="220" t="s">
        <v>10111</v>
      </c>
      <c r="E2340" s="220" t="s">
        <v>9030</v>
      </c>
      <c r="F2340" s="220" t="s">
        <v>5639</v>
      </c>
      <c r="G2340" s="220" t="s">
        <v>52</v>
      </c>
    </row>
    <row r="2341" spans="2:7" ht="30" customHeight="1" thickBot="1" x14ac:dyDescent="0.3">
      <c r="B2341" s="219">
        <v>1988</v>
      </c>
      <c r="C2341" s="220" t="s">
        <v>5528</v>
      </c>
      <c r="D2341" s="220" t="s">
        <v>10112</v>
      </c>
      <c r="E2341" s="220" t="s">
        <v>6974</v>
      </c>
      <c r="F2341" s="220" t="s">
        <v>5640</v>
      </c>
      <c r="G2341" s="220" t="s">
        <v>52</v>
      </c>
    </row>
    <row r="2342" spans="2:7" ht="30" customHeight="1" thickBot="1" x14ac:dyDescent="0.3">
      <c r="B2342" s="219">
        <v>1989</v>
      </c>
      <c r="C2342" s="220" t="s">
        <v>5528</v>
      </c>
      <c r="D2342" s="220" t="s">
        <v>5641</v>
      </c>
      <c r="E2342" s="220" t="s">
        <v>6975</v>
      </c>
      <c r="F2342" s="220" t="s">
        <v>5640</v>
      </c>
      <c r="G2342" s="220" t="s">
        <v>52</v>
      </c>
    </row>
    <row r="2343" spans="2:7" ht="30" customHeight="1" thickBot="1" x14ac:dyDescent="0.3">
      <c r="B2343" s="219">
        <v>1990</v>
      </c>
      <c r="C2343" s="220" t="s">
        <v>5528</v>
      </c>
      <c r="D2343" s="220" t="s">
        <v>5642</v>
      </c>
      <c r="E2343" s="220" t="s">
        <v>8572</v>
      </c>
      <c r="F2343" s="220" t="s">
        <v>5643</v>
      </c>
      <c r="G2343" s="220" t="s">
        <v>5644</v>
      </c>
    </row>
    <row r="2344" spans="2:7" ht="30" customHeight="1" thickBot="1" x14ac:dyDescent="0.3">
      <c r="B2344" s="219">
        <v>1991</v>
      </c>
      <c r="C2344" s="220" t="s">
        <v>5528</v>
      </c>
      <c r="D2344" s="220" t="s">
        <v>5645</v>
      </c>
      <c r="E2344" s="220" t="s">
        <v>5646</v>
      </c>
      <c r="F2344" s="220" t="s">
        <v>5643</v>
      </c>
      <c r="G2344" s="220" t="s">
        <v>5644</v>
      </c>
    </row>
    <row r="2345" spans="2:7" ht="30" customHeight="1" thickBot="1" x14ac:dyDescent="0.3">
      <c r="B2345" s="219">
        <v>1992</v>
      </c>
      <c r="C2345" s="220" t="s">
        <v>5528</v>
      </c>
      <c r="D2345" s="220" t="s">
        <v>5647</v>
      </c>
      <c r="E2345" s="220" t="s">
        <v>8573</v>
      </c>
      <c r="F2345" s="220" t="s">
        <v>5643</v>
      </c>
      <c r="G2345" s="220" t="s">
        <v>5644</v>
      </c>
    </row>
    <row r="2346" spans="2:7" ht="30" customHeight="1" thickBot="1" x14ac:dyDescent="0.3">
      <c r="B2346" s="219">
        <v>1993</v>
      </c>
      <c r="C2346" s="220" t="s">
        <v>5528</v>
      </c>
      <c r="D2346" s="220" t="s">
        <v>5648</v>
      </c>
      <c r="E2346" s="220" t="s">
        <v>9102</v>
      </c>
      <c r="F2346" s="220" t="s">
        <v>5643</v>
      </c>
      <c r="G2346" s="220" t="s">
        <v>5644</v>
      </c>
    </row>
    <row r="2347" spans="2:7" ht="30" customHeight="1" thickBot="1" x14ac:dyDescent="0.3">
      <c r="B2347" s="219">
        <v>1994</v>
      </c>
      <c r="C2347" s="220" t="s">
        <v>5528</v>
      </c>
      <c r="D2347" s="220" t="s">
        <v>5649</v>
      </c>
      <c r="E2347" s="220" t="s">
        <v>5962</v>
      </c>
      <c r="F2347" s="220" t="s">
        <v>5650</v>
      </c>
      <c r="G2347" s="220" t="s">
        <v>52</v>
      </c>
    </row>
    <row r="2348" spans="2:7" ht="30" customHeight="1" thickBot="1" x14ac:dyDescent="0.3">
      <c r="B2348" s="219">
        <v>1995</v>
      </c>
      <c r="C2348" s="220" t="s">
        <v>5528</v>
      </c>
      <c r="D2348" s="220" t="s">
        <v>5651</v>
      </c>
      <c r="E2348" s="220" t="s">
        <v>6966</v>
      </c>
      <c r="F2348" s="220" t="s">
        <v>5652</v>
      </c>
      <c r="G2348" s="220" t="s">
        <v>52</v>
      </c>
    </row>
    <row r="2349" spans="2:7" ht="30" customHeight="1" thickBot="1" x14ac:dyDescent="0.3">
      <c r="B2349" s="219">
        <v>1996</v>
      </c>
      <c r="C2349" s="220" t="s">
        <v>5528</v>
      </c>
      <c r="D2349" s="220" t="s">
        <v>5653</v>
      </c>
      <c r="E2349" s="220" t="s">
        <v>6967</v>
      </c>
      <c r="F2349" s="220" t="s">
        <v>5654</v>
      </c>
      <c r="G2349" s="220" t="s">
        <v>52</v>
      </c>
    </row>
    <row r="2350" spans="2:7" ht="30" customHeight="1" thickBot="1" x14ac:dyDescent="0.3">
      <c r="B2350" s="219">
        <v>1997</v>
      </c>
      <c r="C2350" s="220" t="s">
        <v>5528</v>
      </c>
      <c r="D2350" s="220" t="s">
        <v>5655</v>
      </c>
      <c r="E2350" s="220" t="s">
        <v>5656</v>
      </c>
      <c r="F2350" s="220" t="s">
        <v>5657</v>
      </c>
      <c r="G2350" s="220" t="s">
        <v>2636</v>
      </c>
    </row>
    <row r="2351" spans="2:7" ht="30" customHeight="1" thickBot="1" x14ac:dyDescent="0.3">
      <c r="B2351" s="219">
        <v>1998</v>
      </c>
      <c r="C2351" s="220" t="s">
        <v>5528</v>
      </c>
      <c r="D2351" s="220" t="s">
        <v>5658</v>
      </c>
      <c r="E2351" s="220" t="s">
        <v>8022</v>
      </c>
      <c r="F2351" s="220" t="s">
        <v>5659</v>
      </c>
      <c r="G2351" s="223" t="s">
        <v>3379</v>
      </c>
    </row>
    <row r="2352" spans="2:7" ht="30" customHeight="1" thickBot="1" x14ac:dyDescent="0.3">
      <c r="B2352" s="219">
        <v>1999</v>
      </c>
      <c r="C2352" s="220" t="s">
        <v>5528</v>
      </c>
      <c r="D2352" s="220" t="s">
        <v>5660</v>
      </c>
      <c r="E2352" s="220" t="s">
        <v>8574</v>
      </c>
      <c r="F2352" s="220" t="s">
        <v>5661</v>
      </c>
      <c r="G2352" s="223" t="s">
        <v>108</v>
      </c>
    </row>
    <row r="2353" spans="2:7" ht="30" customHeight="1" thickBot="1" x14ac:dyDescent="0.3">
      <c r="B2353" s="219">
        <v>2000</v>
      </c>
      <c r="C2353" s="220" t="s">
        <v>5528</v>
      </c>
      <c r="D2353" s="220" t="s">
        <v>5662</v>
      </c>
      <c r="E2353" s="220" t="s">
        <v>6976</v>
      </c>
      <c r="F2353" s="220" t="s">
        <v>5663</v>
      </c>
      <c r="G2353" s="220" t="s">
        <v>52</v>
      </c>
    </row>
    <row r="2354" spans="2:7" ht="30" customHeight="1" thickBot="1" x14ac:dyDescent="0.3">
      <c r="B2354" s="219">
        <v>2001</v>
      </c>
      <c r="C2354" s="220" t="s">
        <v>5528</v>
      </c>
      <c r="D2354" s="220" t="s">
        <v>5664</v>
      </c>
      <c r="E2354" s="220" t="s">
        <v>8353</v>
      </c>
      <c r="F2354" s="220" t="s">
        <v>5665</v>
      </c>
      <c r="G2354" s="220" t="s">
        <v>52</v>
      </c>
    </row>
    <row r="2355" spans="2:7" ht="30" customHeight="1" thickBot="1" x14ac:dyDescent="0.3">
      <c r="B2355" s="219">
        <v>2002</v>
      </c>
      <c r="C2355" s="220" t="s">
        <v>5528</v>
      </c>
      <c r="D2355" s="220" t="s">
        <v>5666</v>
      </c>
      <c r="E2355" s="220" t="s">
        <v>5667</v>
      </c>
      <c r="F2355" s="220" t="s">
        <v>5668</v>
      </c>
      <c r="G2355" s="220" t="s">
        <v>565</v>
      </c>
    </row>
    <row r="2356" spans="2:7" ht="30" customHeight="1" thickBot="1" x14ac:dyDescent="0.3">
      <c r="B2356" s="219">
        <v>2003</v>
      </c>
      <c r="C2356" s="220" t="s">
        <v>5528</v>
      </c>
      <c r="D2356" s="220" t="s">
        <v>10113</v>
      </c>
      <c r="E2356" s="220" t="s">
        <v>5669</v>
      </c>
      <c r="F2356" s="220" t="s">
        <v>5670</v>
      </c>
      <c r="G2356" s="220" t="s">
        <v>565</v>
      </c>
    </row>
    <row r="2357" spans="2:7" ht="30" customHeight="1" thickBot="1" x14ac:dyDescent="0.3">
      <c r="B2357" s="219">
        <v>2004</v>
      </c>
      <c r="C2357" s="220" t="s">
        <v>5528</v>
      </c>
      <c r="D2357" s="223" t="s">
        <v>5671</v>
      </c>
      <c r="E2357" s="220" t="s">
        <v>5672</v>
      </c>
      <c r="F2357" s="220" t="s">
        <v>5670</v>
      </c>
      <c r="G2357" s="220" t="s">
        <v>565</v>
      </c>
    </row>
    <row r="2358" spans="2:7" ht="30" customHeight="1" thickBot="1" x14ac:dyDescent="0.3">
      <c r="B2358" s="219">
        <v>2005</v>
      </c>
      <c r="C2358" s="220" t="s">
        <v>5528</v>
      </c>
      <c r="D2358" s="223" t="s">
        <v>5673</v>
      </c>
      <c r="E2358" s="220" t="s">
        <v>5674</v>
      </c>
      <c r="F2358" s="220" t="s">
        <v>5670</v>
      </c>
      <c r="G2358" s="220" t="s">
        <v>565</v>
      </c>
    </row>
    <row r="2359" spans="2:7" ht="30" customHeight="1" thickBot="1" x14ac:dyDescent="0.3">
      <c r="B2359" s="219">
        <v>2006</v>
      </c>
      <c r="C2359" s="220" t="s">
        <v>5528</v>
      </c>
      <c r="D2359" s="223" t="s">
        <v>5675</v>
      </c>
      <c r="E2359" s="220" t="s">
        <v>5676</v>
      </c>
      <c r="F2359" s="220" t="s">
        <v>5670</v>
      </c>
      <c r="G2359" s="220" t="s">
        <v>565</v>
      </c>
    </row>
    <row r="2360" spans="2:7" ht="30" customHeight="1" thickBot="1" x14ac:dyDescent="0.3">
      <c r="B2360" s="219">
        <v>2007</v>
      </c>
      <c r="C2360" s="220" t="s">
        <v>5528</v>
      </c>
      <c r="D2360" s="223" t="s">
        <v>5677</v>
      </c>
      <c r="E2360" s="220" t="s">
        <v>5678</v>
      </c>
      <c r="F2360" s="220" t="s">
        <v>5670</v>
      </c>
      <c r="G2360" s="220" t="s">
        <v>565</v>
      </c>
    </row>
    <row r="2361" spans="2:7" ht="30" customHeight="1" thickBot="1" x14ac:dyDescent="0.3">
      <c r="B2361" s="219">
        <v>2008</v>
      </c>
      <c r="C2361" s="220" t="s">
        <v>5528</v>
      </c>
      <c r="D2361" s="220" t="s">
        <v>5679</v>
      </c>
      <c r="E2361" s="220" t="s">
        <v>8082</v>
      </c>
      <c r="F2361" s="220" t="s">
        <v>5680</v>
      </c>
      <c r="G2361" s="220" t="s">
        <v>565</v>
      </c>
    </row>
    <row r="2362" spans="2:7" ht="30" customHeight="1" thickBot="1" x14ac:dyDescent="0.3">
      <c r="B2362" s="219">
        <v>2009</v>
      </c>
      <c r="C2362" s="220" t="s">
        <v>5528</v>
      </c>
      <c r="D2362" s="220" t="s">
        <v>5681</v>
      </c>
      <c r="E2362" s="220" t="s">
        <v>5682</v>
      </c>
      <c r="F2362" s="220" t="s">
        <v>5680</v>
      </c>
      <c r="G2362" s="220" t="s">
        <v>565</v>
      </c>
    </row>
    <row r="2363" spans="2:7" ht="30" customHeight="1" thickBot="1" x14ac:dyDescent="0.3">
      <c r="B2363" s="219">
        <v>2010</v>
      </c>
      <c r="C2363" s="220" t="s">
        <v>5528</v>
      </c>
      <c r="D2363" s="223" t="s">
        <v>5683</v>
      </c>
      <c r="E2363" s="220" t="s">
        <v>5672</v>
      </c>
      <c r="F2363" s="220" t="s">
        <v>5680</v>
      </c>
      <c r="G2363" s="220" t="s">
        <v>565</v>
      </c>
    </row>
    <row r="2364" spans="2:7" ht="30" customHeight="1" thickBot="1" x14ac:dyDescent="0.3">
      <c r="B2364" s="219">
        <v>2011</v>
      </c>
      <c r="C2364" s="220" t="s">
        <v>5528</v>
      </c>
      <c r="D2364" s="223" t="s">
        <v>5684</v>
      </c>
      <c r="E2364" s="220" t="s">
        <v>5685</v>
      </c>
      <c r="F2364" s="220" t="s">
        <v>5680</v>
      </c>
      <c r="G2364" s="220" t="s">
        <v>565</v>
      </c>
    </row>
    <row r="2365" spans="2:7" ht="30" customHeight="1" thickBot="1" x14ac:dyDescent="0.3">
      <c r="B2365" s="219">
        <v>2012</v>
      </c>
      <c r="C2365" s="220" t="s">
        <v>5528</v>
      </c>
      <c r="D2365" s="220" t="s">
        <v>9152</v>
      </c>
      <c r="E2365" s="220" t="s">
        <v>5686</v>
      </c>
      <c r="F2365" s="220" t="s">
        <v>5687</v>
      </c>
      <c r="G2365" s="220" t="s">
        <v>565</v>
      </c>
    </row>
    <row r="2366" spans="2:7" ht="30" customHeight="1" thickBot="1" x14ac:dyDescent="0.3">
      <c r="B2366" s="219">
        <v>2013</v>
      </c>
      <c r="C2366" s="220" t="s">
        <v>5528</v>
      </c>
      <c r="D2366" s="220" t="s">
        <v>5688</v>
      </c>
      <c r="E2366" s="220" t="s">
        <v>5689</v>
      </c>
      <c r="F2366" s="220" t="s">
        <v>5690</v>
      </c>
      <c r="G2366" s="220" t="s">
        <v>565</v>
      </c>
    </row>
    <row r="2367" spans="2:7" ht="30" customHeight="1" thickBot="1" x14ac:dyDescent="0.3">
      <c r="B2367" s="219">
        <v>2014</v>
      </c>
      <c r="C2367" s="220" t="s">
        <v>5528</v>
      </c>
      <c r="D2367" s="220" t="s">
        <v>5691</v>
      </c>
      <c r="E2367" s="220" t="s">
        <v>6033</v>
      </c>
      <c r="F2367" s="220" t="s">
        <v>5690</v>
      </c>
      <c r="G2367" s="220" t="s">
        <v>565</v>
      </c>
    </row>
    <row r="2368" spans="2:7" ht="30" customHeight="1" thickBot="1" x14ac:dyDescent="0.3">
      <c r="B2368" s="219">
        <v>2015</v>
      </c>
      <c r="C2368" s="220" t="s">
        <v>5528</v>
      </c>
      <c r="D2368" s="220" t="s">
        <v>5692</v>
      </c>
      <c r="E2368" s="220" t="s">
        <v>8083</v>
      </c>
      <c r="F2368" s="220" t="s">
        <v>5690</v>
      </c>
      <c r="G2368" s="220" t="s">
        <v>565</v>
      </c>
    </row>
    <row r="2369" spans="2:7" ht="30" customHeight="1" thickBot="1" x14ac:dyDescent="0.3">
      <c r="B2369" s="219">
        <v>2016</v>
      </c>
      <c r="C2369" s="220" t="s">
        <v>5528</v>
      </c>
      <c r="D2369" s="220" t="s">
        <v>5693</v>
      </c>
      <c r="E2369" s="220" t="s">
        <v>8084</v>
      </c>
      <c r="F2369" s="220" t="s">
        <v>5694</v>
      </c>
      <c r="G2369" s="220" t="s">
        <v>565</v>
      </c>
    </row>
    <row r="2370" spans="2:7" ht="30" customHeight="1" thickBot="1" x14ac:dyDescent="0.3">
      <c r="B2370" s="219">
        <v>2017</v>
      </c>
      <c r="C2370" s="220" t="s">
        <v>5528</v>
      </c>
      <c r="D2370" s="220" t="s">
        <v>10114</v>
      </c>
      <c r="E2370" s="220" t="s">
        <v>6034</v>
      </c>
      <c r="F2370" s="220" t="s">
        <v>5695</v>
      </c>
      <c r="G2370" s="220" t="s">
        <v>565</v>
      </c>
    </row>
    <row r="2371" spans="2:7" ht="30" customHeight="1" thickBot="1" x14ac:dyDescent="0.3">
      <c r="B2371" s="219">
        <v>2018</v>
      </c>
      <c r="C2371" s="220" t="s">
        <v>5528</v>
      </c>
      <c r="D2371" s="220" t="s">
        <v>5696</v>
      </c>
      <c r="E2371" s="220" t="s">
        <v>5697</v>
      </c>
      <c r="F2371" s="220" t="s">
        <v>5698</v>
      </c>
      <c r="G2371" s="220" t="s">
        <v>565</v>
      </c>
    </row>
    <row r="2372" spans="2:7" ht="30" customHeight="1" thickBot="1" x14ac:dyDescent="0.3">
      <c r="B2372" s="219">
        <v>2019</v>
      </c>
      <c r="C2372" s="220" t="s">
        <v>5528</v>
      </c>
      <c r="D2372" s="220" t="s">
        <v>5699</v>
      </c>
      <c r="E2372" s="220" t="s">
        <v>5700</v>
      </c>
      <c r="F2372" s="220" t="s">
        <v>5701</v>
      </c>
      <c r="G2372" s="220" t="s">
        <v>565</v>
      </c>
    </row>
    <row r="2373" spans="2:7" ht="30" customHeight="1" thickBot="1" x14ac:dyDescent="0.3">
      <c r="B2373" s="219">
        <v>2020</v>
      </c>
      <c r="C2373" s="220" t="s">
        <v>5528</v>
      </c>
      <c r="D2373" s="220" t="s">
        <v>5702</v>
      </c>
      <c r="E2373" s="220" t="s">
        <v>5703</v>
      </c>
      <c r="F2373" s="220" t="s">
        <v>5704</v>
      </c>
      <c r="G2373" s="220" t="s">
        <v>565</v>
      </c>
    </row>
    <row r="2374" spans="2:7" ht="30" customHeight="1" thickBot="1" x14ac:dyDescent="0.3">
      <c r="B2374" s="219">
        <v>2021</v>
      </c>
      <c r="C2374" s="220" t="s">
        <v>5528</v>
      </c>
      <c r="D2374" s="220" t="s">
        <v>5705</v>
      </c>
      <c r="E2374" s="220" t="s">
        <v>5706</v>
      </c>
      <c r="F2374" s="220" t="s">
        <v>5707</v>
      </c>
      <c r="G2374" s="220" t="s">
        <v>565</v>
      </c>
    </row>
    <row r="2375" spans="2:7" ht="30" customHeight="1" thickBot="1" x14ac:dyDescent="0.3">
      <c r="B2375" s="219">
        <v>2022</v>
      </c>
      <c r="C2375" s="220" t="s">
        <v>5528</v>
      </c>
      <c r="D2375" s="220" t="s">
        <v>5708</v>
      </c>
      <c r="E2375" s="220" t="s">
        <v>5709</v>
      </c>
      <c r="F2375" s="220" t="s">
        <v>5710</v>
      </c>
      <c r="G2375" s="220" t="s">
        <v>565</v>
      </c>
    </row>
    <row r="2376" spans="2:7" ht="30" customHeight="1" thickBot="1" x14ac:dyDescent="0.3">
      <c r="B2376" s="219">
        <v>2023</v>
      </c>
      <c r="C2376" s="220" t="s">
        <v>5528</v>
      </c>
      <c r="D2376" s="223" t="s">
        <v>5708</v>
      </c>
      <c r="E2376" s="223" t="s">
        <v>5711</v>
      </c>
      <c r="F2376" s="223" t="s">
        <v>5712</v>
      </c>
      <c r="G2376" s="220" t="s">
        <v>565</v>
      </c>
    </row>
    <row r="2377" spans="2:7" ht="30" customHeight="1" thickBot="1" x14ac:dyDescent="0.3">
      <c r="B2377" s="219">
        <v>2024</v>
      </c>
      <c r="C2377" s="220" t="s">
        <v>5528</v>
      </c>
      <c r="D2377" s="223" t="s">
        <v>5713</v>
      </c>
      <c r="E2377" s="223" t="s">
        <v>5714</v>
      </c>
      <c r="F2377" s="223" t="s">
        <v>5715</v>
      </c>
      <c r="G2377" s="220" t="s">
        <v>565</v>
      </c>
    </row>
    <row r="2378" spans="2:7" ht="30" customHeight="1" thickBot="1" x14ac:dyDescent="0.3">
      <c r="B2378" s="219">
        <v>2025</v>
      </c>
      <c r="C2378" s="220" t="s">
        <v>5528</v>
      </c>
      <c r="D2378" s="220" t="s">
        <v>5716</v>
      </c>
      <c r="E2378" s="220" t="s">
        <v>7900</v>
      </c>
      <c r="F2378" s="220" t="s">
        <v>5717</v>
      </c>
      <c r="G2378" s="220" t="s">
        <v>565</v>
      </c>
    </row>
    <row r="2379" spans="2:7" ht="30" customHeight="1" thickBot="1" x14ac:dyDescent="0.3">
      <c r="B2379" s="219">
        <v>2026</v>
      </c>
      <c r="C2379" s="220" t="s">
        <v>5528</v>
      </c>
      <c r="D2379" s="220" t="s">
        <v>5718</v>
      </c>
      <c r="E2379" s="220" t="s">
        <v>7901</v>
      </c>
      <c r="F2379" s="220" t="s">
        <v>5719</v>
      </c>
      <c r="G2379" s="220" t="s">
        <v>565</v>
      </c>
    </row>
    <row r="2380" spans="2:7" ht="30" customHeight="1" thickBot="1" x14ac:dyDescent="0.3">
      <c r="B2380" s="219">
        <v>2027</v>
      </c>
      <c r="C2380" s="220" t="s">
        <v>5720</v>
      </c>
      <c r="D2380" s="220" t="s">
        <v>5721</v>
      </c>
      <c r="E2380" s="220" t="s">
        <v>9321</v>
      </c>
      <c r="F2380" s="223" t="s">
        <v>5722</v>
      </c>
      <c r="G2380" s="220" t="s">
        <v>2538</v>
      </c>
    </row>
    <row r="2381" spans="2:7" ht="30" customHeight="1" thickBot="1" x14ac:dyDescent="0.3">
      <c r="B2381" s="220">
        <v>2028</v>
      </c>
      <c r="C2381" s="220" t="s">
        <v>5720</v>
      </c>
      <c r="D2381" s="220" t="s">
        <v>5723</v>
      </c>
      <c r="E2381" s="220" t="s">
        <v>5724</v>
      </c>
      <c r="F2381" s="220" t="s">
        <v>5725</v>
      </c>
      <c r="G2381" s="220" t="s">
        <v>5726</v>
      </c>
    </row>
    <row r="2382" spans="2:7" ht="30" customHeight="1" thickBot="1" x14ac:dyDescent="0.3">
      <c r="B2382" s="220">
        <v>2029</v>
      </c>
      <c r="C2382" s="220" t="s">
        <v>5720</v>
      </c>
      <c r="D2382" s="220" t="s">
        <v>5727</v>
      </c>
      <c r="E2382" s="220" t="s">
        <v>5728</v>
      </c>
      <c r="F2382" s="220" t="s">
        <v>5729</v>
      </c>
      <c r="G2382" s="220" t="s">
        <v>565</v>
      </c>
    </row>
    <row r="2383" spans="2:7" ht="30" customHeight="1" thickBot="1" x14ac:dyDescent="0.3">
      <c r="B2383" s="220">
        <v>2030</v>
      </c>
      <c r="C2383" s="220" t="s">
        <v>5720</v>
      </c>
      <c r="D2383" s="220" t="s">
        <v>5730</v>
      </c>
      <c r="E2383" s="220" t="s">
        <v>5731</v>
      </c>
      <c r="F2383" s="220" t="s">
        <v>10115</v>
      </c>
      <c r="G2383" s="220" t="s">
        <v>5732</v>
      </c>
    </row>
    <row r="2384" spans="2:7" ht="30" customHeight="1" thickBot="1" x14ac:dyDescent="0.3">
      <c r="B2384" s="220">
        <v>2031</v>
      </c>
      <c r="C2384" s="220" t="s">
        <v>5720</v>
      </c>
      <c r="D2384" s="220" t="s">
        <v>5733</v>
      </c>
      <c r="E2384" s="220" t="s">
        <v>5734</v>
      </c>
      <c r="F2384" s="220" t="s">
        <v>10116</v>
      </c>
      <c r="G2384" s="220" t="s">
        <v>5732</v>
      </c>
    </row>
    <row r="2385" spans="2:7" ht="30" customHeight="1" thickBot="1" x14ac:dyDescent="0.3">
      <c r="B2385" s="220">
        <v>2032</v>
      </c>
      <c r="C2385" s="220" t="s">
        <v>5720</v>
      </c>
      <c r="D2385" s="220" t="s">
        <v>5735</v>
      </c>
      <c r="E2385" s="220" t="s">
        <v>5736</v>
      </c>
      <c r="F2385" s="220" t="s">
        <v>5737</v>
      </c>
      <c r="G2385" s="220" t="s">
        <v>120</v>
      </c>
    </row>
    <row r="2386" spans="2:7" ht="30" customHeight="1" thickBot="1" x14ac:dyDescent="0.3">
      <c r="B2386" s="220">
        <v>2033</v>
      </c>
      <c r="C2386" s="220" t="s">
        <v>5720</v>
      </c>
      <c r="D2386" s="220" t="s">
        <v>5738</v>
      </c>
      <c r="E2386" s="220" t="s">
        <v>5739</v>
      </c>
      <c r="F2386" s="220" t="s">
        <v>10117</v>
      </c>
      <c r="G2386" s="220" t="s">
        <v>5740</v>
      </c>
    </row>
    <row r="2387" spans="2:7" ht="30" customHeight="1" thickBot="1" x14ac:dyDescent="0.3">
      <c r="B2387" s="220">
        <v>2034</v>
      </c>
      <c r="C2387" s="220" t="s">
        <v>5720</v>
      </c>
      <c r="D2387" s="220" t="s">
        <v>5741</v>
      </c>
      <c r="E2387" s="220" t="s">
        <v>5742</v>
      </c>
      <c r="F2387" s="220" t="s">
        <v>10118</v>
      </c>
      <c r="G2387" s="220" t="s">
        <v>120</v>
      </c>
    </row>
    <row r="2388" spans="2:7" ht="30" customHeight="1" thickBot="1" x14ac:dyDescent="0.3">
      <c r="B2388" s="220">
        <v>2035</v>
      </c>
      <c r="C2388" s="220" t="s">
        <v>5720</v>
      </c>
      <c r="D2388" s="220" t="s">
        <v>5743</v>
      </c>
      <c r="E2388" s="220" t="s">
        <v>5744</v>
      </c>
      <c r="F2388" s="220" t="s">
        <v>10119</v>
      </c>
      <c r="G2388" s="220" t="s">
        <v>120</v>
      </c>
    </row>
    <row r="2389" spans="2:7" ht="30" customHeight="1" thickBot="1" x14ac:dyDescent="0.3">
      <c r="B2389" s="220">
        <v>2036</v>
      </c>
      <c r="C2389" s="220" t="s">
        <v>5720</v>
      </c>
      <c r="D2389" s="220" t="s">
        <v>5745</v>
      </c>
      <c r="E2389" s="220" t="s">
        <v>8085</v>
      </c>
      <c r="F2389" s="220" t="s">
        <v>10120</v>
      </c>
      <c r="G2389" s="220" t="s">
        <v>120</v>
      </c>
    </row>
    <row r="2390" spans="2:7" ht="30" customHeight="1" thickBot="1" x14ac:dyDescent="0.3">
      <c r="B2390" s="220">
        <v>2037</v>
      </c>
      <c r="C2390" s="220" t="s">
        <v>5720</v>
      </c>
      <c r="D2390" s="220" t="s">
        <v>5746</v>
      </c>
      <c r="E2390" s="220" t="s">
        <v>5747</v>
      </c>
      <c r="F2390" s="220" t="s">
        <v>10121</v>
      </c>
      <c r="G2390" s="220" t="s">
        <v>120</v>
      </c>
    </row>
    <row r="2391" spans="2:7" ht="30" customHeight="1" thickBot="1" x14ac:dyDescent="0.3">
      <c r="B2391" s="220">
        <v>2038</v>
      </c>
      <c r="C2391" s="220" t="s">
        <v>5720</v>
      </c>
      <c r="D2391" s="220" t="s">
        <v>5748</v>
      </c>
      <c r="E2391" s="220" t="s">
        <v>7112</v>
      </c>
      <c r="F2391" s="220" t="s">
        <v>10122</v>
      </c>
      <c r="G2391" s="220" t="s">
        <v>120</v>
      </c>
    </row>
    <row r="2392" spans="2:7" ht="30" customHeight="1" thickBot="1" x14ac:dyDescent="0.3">
      <c r="B2392" s="220">
        <v>2039</v>
      </c>
      <c r="C2392" s="220" t="s">
        <v>5720</v>
      </c>
      <c r="D2392" s="220" t="s">
        <v>5749</v>
      </c>
      <c r="E2392" s="220" t="s">
        <v>7341</v>
      </c>
      <c r="F2392" s="220" t="s">
        <v>10123</v>
      </c>
      <c r="G2392" s="220" t="s">
        <v>5750</v>
      </c>
    </row>
    <row r="2393" spans="2:7" ht="30" customHeight="1" thickBot="1" x14ac:dyDescent="0.3">
      <c r="B2393" s="220">
        <v>2040</v>
      </c>
      <c r="C2393" s="220" t="s">
        <v>5720</v>
      </c>
      <c r="D2393" s="220" t="s">
        <v>5751</v>
      </c>
      <c r="E2393" s="220" t="s">
        <v>7342</v>
      </c>
      <c r="F2393" s="220" t="s">
        <v>5752</v>
      </c>
      <c r="G2393" s="220" t="s">
        <v>5750</v>
      </c>
    </row>
    <row r="2394" spans="2:7" ht="30" customHeight="1" thickBot="1" x14ac:dyDescent="0.3">
      <c r="B2394" s="220">
        <v>2041</v>
      </c>
      <c r="C2394" s="220" t="s">
        <v>5720</v>
      </c>
      <c r="D2394" s="220" t="s">
        <v>5753</v>
      </c>
      <c r="E2394" s="220" t="s">
        <v>5754</v>
      </c>
      <c r="F2394" s="220" t="s">
        <v>10124</v>
      </c>
      <c r="G2394" s="220" t="s">
        <v>5732</v>
      </c>
    </row>
    <row r="2395" spans="2:7" ht="30" customHeight="1" thickBot="1" x14ac:dyDescent="0.3">
      <c r="B2395" s="220">
        <v>2042</v>
      </c>
      <c r="C2395" s="220" t="s">
        <v>5720</v>
      </c>
      <c r="D2395" s="220" t="s">
        <v>5755</v>
      </c>
      <c r="E2395" s="220" t="s">
        <v>7343</v>
      </c>
      <c r="F2395" s="220" t="s">
        <v>10125</v>
      </c>
      <c r="G2395" s="220" t="s">
        <v>5756</v>
      </c>
    </row>
    <row r="2396" spans="2:7" ht="30" customHeight="1" thickBot="1" x14ac:dyDescent="0.3">
      <c r="B2396" s="220">
        <v>2043</v>
      </c>
      <c r="C2396" s="220" t="s">
        <v>5720</v>
      </c>
      <c r="D2396" s="220" t="s">
        <v>5757</v>
      </c>
      <c r="E2396" s="220" t="s">
        <v>5758</v>
      </c>
      <c r="F2396" s="220" t="s">
        <v>10126</v>
      </c>
      <c r="G2396" s="220" t="s">
        <v>120</v>
      </c>
    </row>
    <row r="2397" spans="2:7" ht="30" customHeight="1" thickBot="1" x14ac:dyDescent="0.3">
      <c r="B2397" s="220">
        <v>2044</v>
      </c>
      <c r="C2397" s="220" t="s">
        <v>5720</v>
      </c>
      <c r="D2397" s="220" t="s">
        <v>5759</v>
      </c>
      <c r="E2397" s="220" t="s">
        <v>7344</v>
      </c>
      <c r="F2397" s="220" t="s">
        <v>10127</v>
      </c>
      <c r="G2397" s="220" t="s">
        <v>5750</v>
      </c>
    </row>
    <row r="2398" spans="2:7" ht="30" customHeight="1" thickBot="1" x14ac:dyDescent="0.3">
      <c r="B2398" s="220">
        <v>2045</v>
      </c>
      <c r="C2398" s="220" t="s">
        <v>5720</v>
      </c>
      <c r="D2398" s="220" t="s">
        <v>5760</v>
      </c>
      <c r="E2398" s="220" t="s">
        <v>5761</v>
      </c>
      <c r="F2398" s="220" t="s">
        <v>10128</v>
      </c>
      <c r="G2398" s="220" t="s">
        <v>120</v>
      </c>
    </row>
    <row r="2399" spans="2:7" ht="30" customHeight="1" thickBot="1" x14ac:dyDescent="0.3">
      <c r="B2399" s="220">
        <v>2046</v>
      </c>
      <c r="C2399" s="220" t="s">
        <v>5720</v>
      </c>
      <c r="D2399" s="220" t="s">
        <v>5762</v>
      </c>
      <c r="E2399" s="220" t="s">
        <v>5763</v>
      </c>
      <c r="F2399" s="220" t="s">
        <v>10129</v>
      </c>
      <c r="G2399" s="220" t="s">
        <v>5750</v>
      </c>
    </row>
    <row r="2400" spans="2:7" ht="30" customHeight="1" thickBot="1" x14ac:dyDescent="0.3">
      <c r="B2400" s="220">
        <v>2047</v>
      </c>
      <c r="C2400" s="220" t="s">
        <v>5720</v>
      </c>
      <c r="D2400" s="220" t="s">
        <v>5764</v>
      </c>
      <c r="E2400" s="220" t="s">
        <v>5765</v>
      </c>
      <c r="F2400" s="220" t="s">
        <v>10130</v>
      </c>
      <c r="G2400" s="220" t="s">
        <v>120</v>
      </c>
    </row>
    <row r="2401" spans="2:7" ht="30" customHeight="1" thickBot="1" x14ac:dyDescent="0.3">
      <c r="B2401" s="220">
        <v>2048</v>
      </c>
      <c r="C2401" s="220" t="s">
        <v>5720</v>
      </c>
      <c r="D2401" s="220" t="s">
        <v>5766</v>
      </c>
      <c r="E2401" s="220" t="s">
        <v>5767</v>
      </c>
      <c r="F2401" s="220" t="s">
        <v>10131</v>
      </c>
      <c r="G2401" s="220" t="s">
        <v>120</v>
      </c>
    </row>
    <row r="2402" spans="2:7" ht="30" customHeight="1" thickBot="1" x14ac:dyDescent="0.3">
      <c r="B2402" s="220">
        <v>2049</v>
      </c>
      <c r="C2402" s="220" t="s">
        <v>5720</v>
      </c>
      <c r="D2402" s="220" t="s">
        <v>5768</v>
      </c>
      <c r="E2402" s="220" t="s">
        <v>7113</v>
      </c>
      <c r="F2402" s="220" t="s">
        <v>10132</v>
      </c>
      <c r="G2402" s="220" t="s">
        <v>120</v>
      </c>
    </row>
    <row r="2403" spans="2:7" ht="30" customHeight="1" thickBot="1" x14ac:dyDescent="0.3">
      <c r="B2403" s="220">
        <v>2050</v>
      </c>
      <c r="C2403" s="220" t="s">
        <v>5720</v>
      </c>
      <c r="D2403" s="220" t="s">
        <v>5769</v>
      </c>
      <c r="E2403" s="344" t="s">
        <v>5770</v>
      </c>
      <c r="F2403" s="220" t="s">
        <v>5771</v>
      </c>
      <c r="G2403" s="220" t="s">
        <v>120</v>
      </c>
    </row>
    <row r="2404" spans="2:7" ht="30" customHeight="1" thickBot="1" x14ac:dyDescent="0.3">
      <c r="B2404" s="220">
        <v>2051</v>
      </c>
      <c r="C2404" s="220" t="s">
        <v>5720</v>
      </c>
      <c r="D2404" s="220" t="s">
        <v>10133</v>
      </c>
      <c r="E2404" s="344" t="s">
        <v>9322</v>
      </c>
      <c r="F2404" s="220" t="s">
        <v>10134</v>
      </c>
      <c r="G2404" s="220" t="s">
        <v>120</v>
      </c>
    </row>
    <row r="2405" spans="2:7" ht="30" customHeight="1" thickBot="1" x14ac:dyDescent="0.3">
      <c r="B2405" s="220">
        <v>2052</v>
      </c>
      <c r="C2405" s="220" t="s">
        <v>5720</v>
      </c>
      <c r="D2405" s="220" t="s">
        <v>5772</v>
      </c>
      <c r="E2405" s="344" t="s">
        <v>6035</v>
      </c>
      <c r="F2405" s="220" t="s">
        <v>5773</v>
      </c>
      <c r="G2405" s="220" t="s">
        <v>5750</v>
      </c>
    </row>
    <row r="2406" spans="2:7" ht="30" customHeight="1" thickBot="1" x14ac:dyDescent="0.3">
      <c r="B2406" s="220">
        <v>2053</v>
      </c>
      <c r="C2406" s="220" t="s">
        <v>5720</v>
      </c>
      <c r="D2406" s="220" t="s">
        <v>5774</v>
      </c>
      <c r="E2406" s="344" t="s">
        <v>5775</v>
      </c>
      <c r="F2406" s="220" t="s">
        <v>10135</v>
      </c>
      <c r="G2406" s="220" t="s">
        <v>120</v>
      </c>
    </row>
    <row r="2407" spans="2:7" ht="30" customHeight="1" thickBot="1" x14ac:dyDescent="0.3">
      <c r="B2407" s="220">
        <v>2054</v>
      </c>
      <c r="C2407" s="220" t="s">
        <v>5720</v>
      </c>
      <c r="D2407" s="220" t="s">
        <v>5776</v>
      </c>
      <c r="E2407" s="344" t="s">
        <v>5777</v>
      </c>
      <c r="F2407" s="220" t="s">
        <v>5778</v>
      </c>
      <c r="G2407" s="220" t="s">
        <v>120</v>
      </c>
    </row>
    <row r="2408" spans="2:7" ht="30" customHeight="1" thickBot="1" x14ac:dyDescent="0.3">
      <c r="B2408" s="220">
        <v>2055</v>
      </c>
      <c r="C2408" s="220" t="s">
        <v>5720</v>
      </c>
      <c r="D2408" s="220" t="s">
        <v>5779</v>
      </c>
      <c r="E2408" s="344" t="s">
        <v>5780</v>
      </c>
      <c r="F2408" s="220" t="s">
        <v>5781</v>
      </c>
      <c r="G2408" s="220" t="s">
        <v>5750</v>
      </c>
    </row>
    <row r="2409" spans="2:7" ht="30" customHeight="1" thickBot="1" x14ac:dyDescent="0.3">
      <c r="B2409" s="220">
        <v>2056</v>
      </c>
      <c r="C2409" s="220" t="s">
        <v>5720</v>
      </c>
      <c r="D2409" s="220" t="s">
        <v>10136</v>
      </c>
      <c r="E2409" s="344" t="s">
        <v>5782</v>
      </c>
      <c r="F2409" s="220" t="s">
        <v>5783</v>
      </c>
      <c r="G2409" s="220" t="s">
        <v>5750</v>
      </c>
    </row>
    <row r="2410" spans="2:7" ht="30" customHeight="1" thickBot="1" x14ac:dyDescent="0.3">
      <c r="B2410" s="220">
        <v>2057</v>
      </c>
      <c r="C2410" s="220" t="s">
        <v>5720</v>
      </c>
      <c r="D2410" s="220" t="s">
        <v>5784</v>
      </c>
      <c r="E2410" s="344" t="s">
        <v>5785</v>
      </c>
      <c r="F2410" s="220" t="s">
        <v>5786</v>
      </c>
      <c r="G2410" s="220" t="s">
        <v>120</v>
      </c>
    </row>
    <row r="2411" spans="2:7" ht="30" customHeight="1" thickBot="1" x14ac:dyDescent="0.3">
      <c r="B2411" s="220">
        <v>2058</v>
      </c>
      <c r="C2411" s="220" t="s">
        <v>5720</v>
      </c>
      <c r="D2411" s="220" t="s">
        <v>5787</v>
      </c>
      <c r="E2411" s="344" t="s">
        <v>5788</v>
      </c>
      <c r="F2411" s="220" t="s">
        <v>5789</v>
      </c>
      <c r="G2411" s="220" t="s">
        <v>5750</v>
      </c>
    </row>
    <row r="2412" spans="2:7" ht="30" customHeight="1" thickBot="1" x14ac:dyDescent="0.3">
      <c r="B2412" s="220">
        <v>2059</v>
      </c>
      <c r="C2412" s="220" t="s">
        <v>5720</v>
      </c>
      <c r="D2412" s="220" t="s">
        <v>5790</v>
      </c>
      <c r="E2412" s="344" t="s">
        <v>9323</v>
      </c>
      <c r="F2412" s="220" t="s">
        <v>5791</v>
      </c>
      <c r="G2412" s="220" t="s">
        <v>5792</v>
      </c>
    </row>
    <row r="2413" spans="2:7" ht="30" customHeight="1" thickBot="1" x14ac:dyDescent="0.3">
      <c r="B2413" s="220">
        <v>2060</v>
      </c>
      <c r="C2413" s="220" t="s">
        <v>5720</v>
      </c>
      <c r="D2413" s="220" t="s">
        <v>5793</v>
      </c>
      <c r="E2413" s="344" t="s">
        <v>5794</v>
      </c>
      <c r="F2413" s="220" t="s">
        <v>5795</v>
      </c>
      <c r="G2413" s="220" t="s">
        <v>5750</v>
      </c>
    </row>
    <row r="2414" spans="2:7" ht="30" customHeight="1" thickBot="1" x14ac:dyDescent="0.3">
      <c r="B2414" s="220">
        <v>2061</v>
      </c>
      <c r="C2414" s="220" t="s">
        <v>5720</v>
      </c>
      <c r="D2414" s="220" t="s">
        <v>5796</v>
      </c>
      <c r="E2414" s="345" t="s">
        <v>5797</v>
      </c>
      <c r="F2414" s="220" t="s">
        <v>5798</v>
      </c>
      <c r="G2414" s="220" t="s">
        <v>5750</v>
      </c>
    </row>
    <row r="2415" spans="2:7" ht="30" customHeight="1" thickBot="1" x14ac:dyDescent="0.3">
      <c r="B2415" s="220">
        <v>2062</v>
      </c>
      <c r="C2415" s="220" t="s">
        <v>5720</v>
      </c>
      <c r="D2415" s="220" t="s">
        <v>5799</v>
      </c>
      <c r="E2415" s="345" t="s">
        <v>5800</v>
      </c>
      <c r="F2415" s="220" t="s">
        <v>5801</v>
      </c>
      <c r="G2415" s="220" t="s">
        <v>5750</v>
      </c>
    </row>
    <row r="2416" spans="2:7" ht="30" customHeight="1" thickBot="1" x14ac:dyDescent="0.3">
      <c r="B2416" s="220">
        <v>2063</v>
      </c>
      <c r="C2416" s="220" t="s">
        <v>5720</v>
      </c>
      <c r="D2416" s="220" t="s">
        <v>5802</v>
      </c>
      <c r="E2416" s="345" t="s">
        <v>5803</v>
      </c>
      <c r="F2416" s="220" t="s">
        <v>5804</v>
      </c>
      <c r="G2416" s="220" t="s">
        <v>5792</v>
      </c>
    </row>
    <row r="2417" spans="2:7" ht="30" customHeight="1" thickBot="1" x14ac:dyDescent="0.3">
      <c r="B2417" s="220">
        <v>2064</v>
      </c>
      <c r="C2417" s="220" t="s">
        <v>5720</v>
      </c>
      <c r="D2417" s="220" t="s">
        <v>5805</v>
      </c>
      <c r="E2417" s="345" t="s">
        <v>9324</v>
      </c>
      <c r="F2417" s="220" t="s">
        <v>5806</v>
      </c>
      <c r="G2417" s="220" t="s">
        <v>5792</v>
      </c>
    </row>
    <row r="2418" spans="2:7" ht="30" customHeight="1" thickBot="1" x14ac:dyDescent="0.3">
      <c r="B2418" s="220">
        <v>2065</v>
      </c>
      <c r="C2418" s="220" t="s">
        <v>5720</v>
      </c>
      <c r="D2418" s="220" t="s">
        <v>10137</v>
      </c>
      <c r="E2418" s="345" t="s">
        <v>9325</v>
      </c>
      <c r="F2418" s="220" t="s">
        <v>5807</v>
      </c>
      <c r="G2418" s="220" t="s">
        <v>5792</v>
      </c>
    </row>
    <row r="2419" spans="2:7" ht="30" customHeight="1" thickBot="1" x14ac:dyDescent="0.3">
      <c r="B2419" s="220">
        <v>2066</v>
      </c>
      <c r="C2419" s="220" t="s">
        <v>5720</v>
      </c>
      <c r="D2419" s="220" t="s">
        <v>5808</v>
      </c>
      <c r="E2419" s="345" t="s">
        <v>5809</v>
      </c>
      <c r="F2419" s="220" t="s">
        <v>5810</v>
      </c>
      <c r="G2419" s="220" t="s">
        <v>5792</v>
      </c>
    </row>
    <row r="2420" spans="2:7" ht="30" customHeight="1" thickBot="1" x14ac:dyDescent="0.3">
      <c r="B2420" s="220">
        <v>2067</v>
      </c>
      <c r="C2420" s="220" t="s">
        <v>5720</v>
      </c>
      <c r="D2420" s="220" t="s">
        <v>5811</v>
      </c>
      <c r="E2420" s="345" t="s">
        <v>5812</v>
      </c>
      <c r="F2420" s="220" t="s">
        <v>5813</v>
      </c>
      <c r="G2420" s="220" t="s">
        <v>5792</v>
      </c>
    </row>
    <row r="2421" spans="2:7" ht="30" customHeight="1" thickBot="1" x14ac:dyDescent="0.3">
      <c r="B2421" s="220">
        <v>2068</v>
      </c>
      <c r="C2421" s="220" t="s">
        <v>5720</v>
      </c>
      <c r="D2421" s="220" t="s">
        <v>5814</v>
      </c>
      <c r="E2421" s="345" t="s">
        <v>5815</v>
      </c>
      <c r="F2421" s="220" t="s">
        <v>5816</v>
      </c>
      <c r="G2421" s="220" t="s">
        <v>5750</v>
      </c>
    </row>
    <row r="2422" spans="2:7" ht="30" customHeight="1" thickBot="1" x14ac:dyDescent="0.3">
      <c r="B2422" s="220">
        <v>2069</v>
      </c>
      <c r="C2422" s="220" t="s">
        <v>5720</v>
      </c>
      <c r="D2422" s="220" t="s">
        <v>5817</v>
      </c>
      <c r="E2422" s="345" t="s">
        <v>8086</v>
      </c>
      <c r="F2422" s="220" t="s">
        <v>5818</v>
      </c>
      <c r="G2422" s="220" t="s">
        <v>5750</v>
      </c>
    </row>
    <row r="2423" spans="2:7" ht="30" customHeight="1" thickBot="1" x14ac:dyDescent="0.3">
      <c r="B2423" s="220">
        <v>2070</v>
      </c>
      <c r="C2423" s="220" t="s">
        <v>5720</v>
      </c>
      <c r="D2423" s="220" t="s">
        <v>5819</v>
      </c>
      <c r="E2423" s="345" t="s">
        <v>5820</v>
      </c>
      <c r="F2423" s="220" t="s">
        <v>5821</v>
      </c>
      <c r="G2423" s="220" t="s">
        <v>5750</v>
      </c>
    </row>
    <row r="2424" spans="2:7" ht="30" customHeight="1" thickBot="1" x14ac:dyDescent="0.3">
      <c r="B2424" s="220">
        <v>2071</v>
      </c>
      <c r="C2424" s="220" t="s">
        <v>5720</v>
      </c>
      <c r="D2424" s="220" t="s">
        <v>5822</v>
      </c>
      <c r="E2424" s="346" t="s">
        <v>8970</v>
      </c>
      <c r="F2424" s="220" t="s">
        <v>5823</v>
      </c>
      <c r="G2424" s="220" t="s">
        <v>5792</v>
      </c>
    </row>
    <row r="2425" spans="2:7" ht="30" customHeight="1" thickBot="1" x14ac:dyDescent="0.3">
      <c r="B2425" s="220">
        <v>2072</v>
      </c>
      <c r="C2425" s="220" t="s">
        <v>5720</v>
      </c>
      <c r="D2425" s="220" t="s">
        <v>5824</v>
      </c>
      <c r="E2425" s="220" t="s">
        <v>5825</v>
      </c>
      <c r="F2425" s="220" t="s">
        <v>5826</v>
      </c>
      <c r="G2425" s="220" t="s">
        <v>565</v>
      </c>
    </row>
    <row r="2426" spans="2:7" ht="30" customHeight="1" thickBot="1" x14ac:dyDescent="0.3">
      <c r="B2426" s="220">
        <v>2073</v>
      </c>
      <c r="C2426" s="220" t="s">
        <v>5827</v>
      </c>
      <c r="D2426" s="220" t="s">
        <v>5828</v>
      </c>
      <c r="E2426" s="220" t="s">
        <v>5829</v>
      </c>
      <c r="F2426" s="220" t="s">
        <v>5826</v>
      </c>
      <c r="G2426" s="220" t="s">
        <v>565</v>
      </c>
    </row>
    <row r="2427" spans="2:7" ht="30" customHeight="1" thickBot="1" x14ac:dyDescent="0.3">
      <c r="B2427" s="220">
        <v>2074</v>
      </c>
      <c r="C2427" s="220" t="s">
        <v>5830</v>
      </c>
      <c r="D2427" s="220" t="s">
        <v>5831</v>
      </c>
      <c r="E2427" s="220" t="s">
        <v>5832</v>
      </c>
      <c r="F2427" s="220" t="s">
        <v>5833</v>
      </c>
      <c r="G2427" s="220" t="s">
        <v>565</v>
      </c>
    </row>
    <row r="2428" spans="2:7" ht="30" customHeight="1" thickBot="1" x14ac:dyDescent="0.3">
      <c r="B2428" s="220">
        <v>2075</v>
      </c>
      <c r="C2428" s="220" t="s">
        <v>5834</v>
      </c>
      <c r="D2428" s="220" t="s">
        <v>10138</v>
      </c>
      <c r="E2428" s="220" t="s">
        <v>8087</v>
      </c>
      <c r="F2428" s="220" t="s">
        <v>5835</v>
      </c>
      <c r="G2428" s="220" t="s">
        <v>565</v>
      </c>
    </row>
    <row r="2429" spans="2:7" ht="30" customHeight="1" thickBot="1" x14ac:dyDescent="0.3">
      <c r="B2429" s="220">
        <v>2076</v>
      </c>
      <c r="C2429" s="220" t="s">
        <v>5836</v>
      </c>
      <c r="D2429" s="220" t="s">
        <v>5837</v>
      </c>
      <c r="E2429" s="220" t="s">
        <v>5838</v>
      </c>
      <c r="F2429" s="220" t="s">
        <v>5839</v>
      </c>
      <c r="G2429" s="220" t="s">
        <v>565</v>
      </c>
    </row>
    <row r="2430" spans="2:7" ht="30" customHeight="1" thickBot="1" x14ac:dyDescent="0.3">
      <c r="B2430" s="220">
        <v>2077</v>
      </c>
      <c r="C2430" s="220" t="s">
        <v>5840</v>
      </c>
      <c r="D2430" s="220" t="s">
        <v>5841</v>
      </c>
      <c r="E2430" s="220" t="s">
        <v>8268</v>
      </c>
      <c r="F2430" s="220" t="s">
        <v>5839</v>
      </c>
      <c r="G2430" s="220" t="s">
        <v>565</v>
      </c>
    </row>
    <row r="2431" spans="2:7" ht="30" customHeight="1" thickBot="1" x14ac:dyDescent="0.3">
      <c r="B2431" s="220">
        <v>2078</v>
      </c>
      <c r="C2431" s="220" t="s">
        <v>5842</v>
      </c>
      <c r="D2431" s="220" t="s">
        <v>5843</v>
      </c>
      <c r="E2431" s="220" t="s">
        <v>5844</v>
      </c>
      <c r="F2431" s="220" t="s">
        <v>5845</v>
      </c>
      <c r="G2431" s="220" t="s">
        <v>565</v>
      </c>
    </row>
    <row r="2432" spans="2:7" ht="30" customHeight="1" thickBot="1" x14ac:dyDescent="0.3">
      <c r="B2432" s="220">
        <v>2079</v>
      </c>
      <c r="C2432" s="220" t="s">
        <v>5846</v>
      </c>
      <c r="D2432" s="220" t="s">
        <v>5847</v>
      </c>
      <c r="E2432" s="220" t="s">
        <v>5848</v>
      </c>
      <c r="F2432" s="220" t="s">
        <v>5845</v>
      </c>
      <c r="G2432" s="220" t="s">
        <v>565</v>
      </c>
    </row>
    <row r="2433" spans="2:7" ht="30" customHeight="1" thickBot="1" x14ac:dyDescent="0.3">
      <c r="B2433" s="220">
        <v>2080</v>
      </c>
      <c r="C2433" s="220" t="s">
        <v>5849</v>
      </c>
      <c r="D2433" s="220" t="s">
        <v>5850</v>
      </c>
      <c r="E2433" s="220" t="s">
        <v>5851</v>
      </c>
      <c r="F2433" s="220" t="s">
        <v>5852</v>
      </c>
      <c r="G2433" s="220" t="s">
        <v>565</v>
      </c>
    </row>
    <row r="2434" spans="2:7" ht="30" customHeight="1" thickBot="1" x14ac:dyDescent="0.3">
      <c r="B2434" s="220">
        <v>2081</v>
      </c>
      <c r="C2434" s="220" t="s">
        <v>5853</v>
      </c>
      <c r="D2434" s="220" t="s">
        <v>5854</v>
      </c>
      <c r="E2434" s="220" t="s">
        <v>5855</v>
      </c>
      <c r="F2434" s="220" t="s">
        <v>5852</v>
      </c>
      <c r="G2434" s="220" t="s">
        <v>565</v>
      </c>
    </row>
    <row r="2435" spans="2:7" ht="30" customHeight="1" thickBot="1" x14ac:dyDescent="0.3">
      <c r="B2435" s="220">
        <v>2082</v>
      </c>
      <c r="C2435" s="220" t="s">
        <v>5856</v>
      </c>
      <c r="D2435" s="220" t="s">
        <v>5857</v>
      </c>
      <c r="E2435" s="220" t="s">
        <v>5858</v>
      </c>
      <c r="F2435" s="220" t="s">
        <v>5852</v>
      </c>
      <c r="G2435" s="220" t="s">
        <v>565</v>
      </c>
    </row>
    <row r="2436" spans="2:7" ht="30" customHeight="1" thickBot="1" x14ac:dyDescent="0.3">
      <c r="B2436" s="220">
        <v>2083</v>
      </c>
      <c r="C2436" s="220" t="s">
        <v>5859</v>
      </c>
      <c r="D2436" s="220" t="s">
        <v>5860</v>
      </c>
      <c r="E2436" s="220" t="s">
        <v>5861</v>
      </c>
      <c r="F2436" s="220" t="s">
        <v>5852</v>
      </c>
      <c r="G2436" s="220" t="s">
        <v>565</v>
      </c>
    </row>
    <row r="2437" spans="2:7" ht="30" customHeight="1" thickBot="1" x14ac:dyDescent="0.3">
      <c r="B2437" s="220">
        <v>2084</v>
      </c>
      <c r="C2437" s="220" t="s">
        <v>5862</v>
      </c>
      <c r="D2437" s="220" t="s">
        <v>5863</v>
      </c>
      <c r="E2437" s="220" t="s">
        <v>5864</v>
      </c>
      <c r="F2437" s="220" t="s">
        <v>5852</v>
      </c>
      <c r="G2437" s="220" t="s">
        <v>565</v>
      </c>
    </row>
    <row r="2438" spans="2:7" ht="30" customHeight="1" thickBot="1" x14ac:dyDescent="0.3">
      <c r="B2438" s="220">
        <v>2085</v>
      </c>
      <c r="C2438" s="220" t="s">
        <v>5865</v>
      </c>
      <c r="D2438" s="220" t="s">
        <v>5866</v>
      </c>
      <c r="E2438" s="220" t="s">
        <v>5867</v>
      </c>
      <c r="F2438" s="220" t="s">
        <v>5852</v>
      </c>
      <c r="G2438" s="220" t="s">
        <v>565</v>
      </c>
    </row>
    <row r="2439" spans="2:7" ht="30" customHeight="1" thickBot="1" x14ac:dyDescent="0.3">
      <c r="B2439" s="220">
        <v>2086</v>
      </c>
      <c r="C2439" s="220" t="s">
        <v>5868</v>
      </c>
      <c r="D2439" s="220" t="s">
        <v>5869</v>
      </c>
      <c r="E2439" s="220" t="s">
        <v>5870</v>
      </c>
      <c r="F2439" s="220" t="s">
        <v>5852</v>
      </c>
      <c r="G2439" s="220" t="s">
        <v>565</v>
      </c>
    </row>
    <row r="2440" spans="2:7" ht="30" customHeight="1" thickBot="1" x14ac:dyDescent="0.3">
      <c r="B2440" s="220">
        <v>2087</v>
      </c>
      <c r="C2440" s="220" t="s">
        <v>5871</v>
      </c>
      <c r="D2440" s="220" t="s">
        <v>5872</v>
      </c>
      <c r="E2440" s="220" t="s">
        <v>5873</v>
      </c>
      <c r="F2440" s="220" t="s">
        <v>5852</v>
      </c>
      <c r="G2440" s="220" t="s">
        <v>565</v>
      </c>
    </row>
    <row r="2441" spans="2:7" ht="30" customHeight="1" thickBot="1" x14ac:dyDescent="0.3">
      <c r="B2441" s="220">
        <v>2088</v>
      </c>
      <c r="C2441" s="220" t="s">
        <v>5874</v>
      </c>
      <c r="D2441" s="220" t="s">
        <v>10139</v>
      </c>
      <c r="E2441" s="220" t="s">
        <v>5875</v>
      </c>
      <c r="F2441" s="220" t="s">
        <v>5876</v>
      </c>
      <c r="G2441" s="220" t="s">
        <v>565</v>
      </c>
    </row>
    <row r="2442" spans="2:7" ht="30" customHeight="1" thickBot="1" x14ac:dyDescent="0.3">
      <c r="B2442" s="220">
        <v>2089</v>
      </c>
      <c r="C2442" s="220" t="s">
        <v>5877</v>
      </c>
      <c r="D2442" s="220" t="s">
        <v>5878</v>
      </c>
      <c r="E2442" s="220" t="s">
        <v>5879</v>
      </c>
      <c r="F2442" s="220" t="s">
        <v>5852</v>
      </c>
      <c r="G2442" s="220" t="s">
        <v>120</v>
      </c>
    </row>
    <row r="2443" spans="2:7" ht="30" customHeight="1" thickBot="1" x14ac:dyDescent="0.3">
      <c r="B2443" s="220">
        <v>2090</v>
      </c>
      <c r="C2443" s="220" t="s">
        <v>5880</v>
      </c>
      <c r="D2443" s="220" t="s">
        <v>5881</v>
      </c>
      <c r="E2443" s="220" t="s">
        <v>5882</v>
      </c>
      <c r="F2443" s="220" t="s">
        <v>5852</v>
      </c>
      <c r="G2443" s="220" t="s">
        <v>120</v>
      </c>
    </row>
    <row r="2444" spans="2:7" ht="30" customHeight="1" thickBot="1" x14ac:dyDescent="0.3">
      <c r="B2444" s="220">
        <v>2091</v>
      </c>
      <c r="C2444" s="220" t="s">
        <v>5883</v>
      </c>
      <c r="D2444" s="220" t="s">
        <v>5884</v>
      </c>
      <c r="E2444" s="220" t="s">
        <v>5885</v>
      </c>
      <c r="F2444" s="220" t="s">
        <v>5852</v>
      </c>
      <c r="G2444" s="220" t="s">
        <v>120</v>
      </c>
    </row>
    <row r="2445" spans="2:7" ht="30" customHeight="1" thickBot="1" x14ac:dyDescent="0.3">
      <c r="B2445" s="220">
        <v>2092</v>
      </c>
      <c r="C2445" s="220" t="s">
        <v>5886</v>
      </c>
      <c r="D2445" s="220" t="s">
        <v>5887</v>
      </c>
      <c r="E2445" s="220" t="s">
        <v>5888</v>
      </c>
      <c r="F2445" s="220" t="s">
        <v>5852</v>
      </c>
      <c r="G2445" s="220" t="s">
        <v>120</v>
      </c>
    </row>
    <row r="2446" spans="2:7" ht="30" customHeight="1" thickBot="1" x14ac:dyDescent="0.3">
      <c r="B2446" s="220">
        <v>2093</v>
      </c>
      <c r="C2446" s="220" t="s">
        <v>5889</v>
      </c>
      <c r="D2446" s="220" t="s">
        <v>5890</v>
      </c>
      <c r="E2446" s="220" t="s">
        <v>9326</v>
      </c>
      <c r="F2446" s="220" t="s">
        <v>5891</v>
      </c>
      <c r="G2446" s="220" t="s">
        <v>120</v>
      </c>
    </row>
    <row r="2447" spans="2:7" ht="30" customHeight="1" thickBot="1" x14ac:dyDescent="0.3">
      <c r="B2447" s="220">
        <v>2094</v>
      </c>
      <c r="C2447" s="220" t="s">
        <v>5892</v>
      </c>
      <c r="D2447" s="220" t="s">
        <v>5893</v>
      </c>
      <c r="E2447" s="220" t="s">
        <v>8269</v>
      </c>
      <c r="F2447" s="220" t="s">
        <v>5894</v>
      </c>
      <c r="G2447" s="220" t="s">
        <v>120</v>
      </c>
    </row>
    <row r="2448" spans="2:7" ht="30" customHeight="1" thickBot="1" x14ac:dyDescent="0.3">
      <c r="B2448" s="220">
        <v>2095</v>
      </c>
      <c r="C2448" s="220" t="s">
        <v>5895</v>
      </c>
      <c r="D2448" s="220" t="s">
        <v>5896</v>
      </c>
      <c r="E2448" s="220" t="s">
        <v>8088</v>
      </c>
      <c r="F2448" s="220" t="s">
        <v>5897</v>
      </c>
      <c r="G2448" s="220" t="s">
        <v>120</v>
      </c>
    </row>
    <row r="2449" spans="2:7" ht="30" customHeight="1" thickBot="1" x14ac:dyDescent="0.3">
      <c r="B2449" s="220">
        <v>2096</v>
      </c>
      <c r="C2449" s="220" t="s">
        <v>5898</v>
      </c>
      <c r="D2449" s="220" t="s">
        <v>5899</v>
      </c>
      <c r="E2449" s="220" t="s">
        <v>5900</v>
      </c>
      <c r="F2449" s="220" t="s">
        <v>5901</v>
      </c>
      <c r="G2449" s="220" t="s">
        <v>120</v>
      </c>
    </row>
    <row r="2450" spans="2:7" ht="30" customHeight="1" thickBot="1" x14ac:dyDescent="0.3">
      <c r="B2450" s="220">
        <v>2097</v>
      </c>
      <c r="C2450" s="220" t="s">
        <v>5902</v>
      </c>
      <c r="D2450" s="220" t="s">
        <v>5903</v>
      </c>
      <c r="E2450" s="220" t="s">
        <v>5904</v>
      </c>
      <c r="F2450" s="220" t="s">
        <v>5891</v>
      </c>
      <c r="G2450" s="220" t="s">
        <v>120</v>
      </c>
    </row>
    <row r="2451" spans="2:7" ht="30" customHeight="1" thickBot="1" x14ac:dyDescent="0.3">
      <c r="B2451" s="220">
        <v>2098</v>
      </c>
      <c r="C2451" s="220" t="s">
        <v>5905</v>
      </c>
      <c r="D2451" s="220" t="s">
        <v>5906</v>
      </c>
      <c r="E2451" s="220" t="s">
        <v>5907</v>
      </c>
      <c r="F2451" s="220" t="s">
        <v>5908</v>
      </c>
      <c r="G2451" s="220" t="s">
        <v>120</v>
      </c>
    </row>
    <row r="2452" spans="2:7" ht="30" customHeight="1" thickBot="1" x14ac:dyDescent="0.3">
      <c r="B2452" s="220">
        <v>2099</v>
      </c>
      <c r="C2452" s="220" t="s">
        <v>5909</v>
      </c>
      <c r="D2452" s="220" t="s">
        <v>5910</v>
      </c>
      <c r="E2452" s="220" t="s">
        <v>5911</v>
      </c>
      <c r="F2452" s="220" t="s">
        <v>5912</v>
      </c>
      <c r="G2452" s="220" t="s">
        <v>120</v>
      </c>
    </row>
    <row r="2453" spans="2:7" ht="30" customHeight="1" thickBot="1" x14ac:dyDescent="0.3">
      <c r="B2453" s="220">
        <v>2100</v>
      </c>
      <c r="C2453" s="220" t="s">
        <v>5913</v>
      </c>
      <c r="D2453" s="220" t="s">
        <v>5914</v>
      </c>
      <c r="E2453" s="220" t="s">
        <v>5907</v>
      </c>
      <c r="F2453" s="220" t="s">
        <v>5908</v>
      </c>
      <c r="G2453" s="220" t="s">
        <v>120</v>
      </c>
    </row>
    <row r="2454" spans="2:7" ht="30" customHeight="1" thickBot="1" x14ac:dyDescent="0.3">
      <c r="B2454" s="223" t="s">
        <v>5915</v>
      </c>
      <c r="C2454" s="223" t="s">
        <v>5916</v>
      </c>
      <c r="D2454" s="223" t="s">
        <v>5917</v>
      </c>
      <c r="E2454" s="223" t="s">
        <v>8354</v>
      </c>
      <c r="F2454" s="223" t="s">
        <v>5918</v>
      </c>
      <c r="G2454" s="223" t="s">
        <v>5919</v>
      </c>
    </row>
    <row r="2455" spans="2:7" ht="30" customHeight="1" thickBot="1" x14ac:dyDescent="0.3">
      <c r="B2455" s="223" t="s">
        <v>5920</v>
      </c>
      <c r="C2455" s="223" t="s">
        <v>5916</v>
      </c>
      <c r="D2455" s="223" t="s">
        <v>5921</v>
      </c>
      <c r="E2455" s="223" t="s">
        <v>8355</v>
      </c>
      <c r="F2455" s="223" t="s">
        <v>5922</v>
      </c>
      <c r="G2455" s="223" t="s">
        <v>5919</v>
      </c>
    </row>
    <row r="2456" spans="2:7" ht="30" customHeight="1" thickBot="1" x14ac:dyDescent="0.3">
      <c r="B2456" s="223" t="s">
        <v>5923</v>
      </c>
      <c r="C2456" s="223" t="s">
        <v>5916</v>
      </c>
      <c r="D2456" s="223" t="s">
        <v>5924</v>
      </c>
      <c r="E2456" s="223" t="s">
        <v>8349</v>
      </c>
      <c r="F2456" s="223" t="s">
        <v>5925</v>
      </c>
      <c r="G2456" s="223" t="s">
        <v>5919</v>
      </c>
    </row>
    <row r="2457" spans="2:7" ht="30" customHeight="1" thickBot="1" x14ac:dyDescent="0.3">
      <c r="B2457" s="223" t="s">
        <v>5926</v>
      </c>
      <c r="C2457" s="223" t="s">
        <v>5916</v>
      </c>
      <c r="D2457" s="223" t="s">
        <v>5927</v>
      </c>
      <c r="E2457" s="223" t="s">
        <v>1739</v>
      </c>
      <c r="F2457" s="223" t="s">
        <v>5928</v>
      </c>
      <c r="G2457" s="223" t="s">
        <v>5919</v>
      </c>
    </row>
    <row r="2458" spans="2:7" ht="30" customHeight="1" thickBot="1" x14ac:dyDescent="0.3">
      <c r="B2458" s="223" t="s">
        <v>5929</v>
      </c>
      <c r="C2458" s="223" t="s">
        <v>5916</v>
      </c>
      <c r="D2458" s="223" t="s">
        <v>5930</v>
      </c>
      <c r="E2458" s="223" t="s">
        <v>7332</v>
      </c>
      <c r="F2458" s="223" t="s">
        <v>5931</v>
      </c>
      <c r="G2458" s="223" t="s">
        <v>5919</v>
      </c>
    </row>
    <row r="2459" spans="2:7" ht="30" customHeight="1" thickBot="1" x14ac:dyDescent="0.3">
      <c r="B2459" s="223" t="s">
        <v>5932</v>
      </c>
      <c r="C2459" s="223" t="s">
        <v>5916</v>
      </c>
      <c r="D2459" s="223" t="s">
        <v>10140</v>
      </c>
      <c r="E2459" s="223" t="s">
        <v>5933</v>
      </c>
      <c r="F2459" s="223" t="s">
        <v>5934</v>
      </c>
      <c r="G2459" s="223" t="s">
        <v>5919</v>
      </c>
    </row>
    <row r="2460" spans="2:7" ht="30" customHeight="1" thickBot="1" x14ac:dyDescent="0.3">
      <c r="B2460" s="223" t="s">
        <v>5935</v>
      </c>
      <c r="C2460" s="223" t="s">
        <v>5916</v>
      </c>
      <c r="D2460" s="223" t="s">
        <v>5936</v>
      </c>
      <c r="E2460" s="223" t="s">
        <v>8343</v>
      </c>
      <c r="F2460" s="223" t="s">
        <v>5937</v>
      </c>
      <c r="G2460" s="223" t="s">
        <v>5919</v>
      </c>
    </row>
    <row r="2461" spans="2:7" ht="30" customHeight="1" thickBot="1" x14ac:dyDescent="0.3">
      <c r="B2461" s="223" t="s">
        <v>5938</v>
      </c>
      <c r="C2461" s="223" t="s">
        <v>5916</v>
      </c>
      <c r="D2461" s="223" t="s">
        <v>5939</v>
      </c>
      <c r="E2461" s="223" t="s">
        <v>8356</v>
      </c>
      <c r="F2461" s="223" t="s">
        <v>5940</v>
      </c>
      <c r="G2461" s="223" t="s">
        <v>5919</v>
      </c>
    </row>
    <row r="2462" spans="2:7" ht="30" customHeight="1" thickBot="1" x14ac:dyDescent="0.3">
      <c r="B2462" s="223" t="s">
        <v>5941</v>
      </c>
      <c r="C2462" s="223" t="s">
        <v>5916</v>
      </c>
      <c r="D2462" s="223" t="s">
        <v>5942</v>
      </c>
      <c r="E2462" s="223" t="s">
        <v>8357</v>
      </c>
      <c r="F2462" s="223" t="s">
        <v>5943</v>
      </c>
      <c r="G2462" s="223" t="s">
        <v>5919</v>
      </c>
    </row>
    <row r="2463" spans="2:7" ht="30" customHeight="1" thickBot="1" x14ac:dyDescent="0.3">
      <c r="B2463" s="223" t="s">
        <v>5944</v>
      </c>
      <c r="C2463" s="223" t="s">
        <v>5916</v>
      </c>
      <c r="D2463" s="223" t="s">
        <v>5942</v>
      </c>
      <c r="E2463" s="223" t="s">
        <v>8358</v>
      </c>
      <c r="F2463" s="223" t="s">
        <v>5945</v>
      </c>
      <c r="G2463" s="223" t="s">
        <v>5919</v>
      </c>
    </row>
    <row r="2464" spans="2:7" ht="30" customHeight="1" thickBot="1" x14ac:dyDescent="0.3">
      <c r="B2464" s="221" t="s">
        <v>5946</v>
      </c>
      <c r="C2464" s="221" t="s">
        <v>5916</v>
      </c>
      <c r="D2464" s="221" t="s">
        <v>5947</v>
      </c>
      <c r="E2464" s="221" t="s">
        <v>8359</v>
      </c>
      <c r="F2464" s="221" t="s">
        <v>5948</v>
      </c>
      <c r="G2464" s="221" t="s">
        <v>5919</v>
      </c>
    </row>
    <row r="2465" spans="2:7" ht="30" customHeight="1" thickBot="1" x14ac:dyDescent="0.3">
      <c r="B2465" s="221"/>
      <c r="C2465" s="221"/>
      <c r="D2465" s="221"/>
      <c r="E2465" s="221"/>
      <c r="F2465" s="221"/>
      <c r="G2465" s="221"/>
    </row>
    <row r="2466" spans="2:7" ht="30" customHeight="1" thickBot="1" x14ac:dyDescent="0.3">
      <c r="B2466" s="221" t="s">
        <v>5949</v>
      </c>
      <c r="C2466" s="221" t="s">
        <v>5916</v>
      </c>
      <c r="D2466" s="221" t="s">
        <v>5950</v>
      </c>
      <c r="E2466" s="221" t="s">
        <v>5951</v>
      </c>
      <c r="F2466" s="221" t="s">
        <v>5952</v>
      </c>
      <c r="G2466" s="221" t="s">
        <v>52</v>
      </c>
    </row>
    <row r="2467" spans="2:7" ht="30" customHeight="1" thickBot="1" x14ac:dyDescent="0.3">
      <c r="B2467" s="221"/>
      <c r="C2467" s="221"/>
      <c r="D2467" s="221"/>
      <c r="E2467" s="221"/>
      <c r="F2467" s="221"/>
      <c r="G2467" s="221"/>
    </row>
    <row r="2468" spans="2:7" ht="30" customHeight="1" thickBot="1" x14ac:dyDescent="0.3">
      <c r="B2468" s="221" t="s">
        <v>5953</v>
      </c>
      <c r="C2468" s="221" t="s">
        <v>5916</v>
      </c>
      <c r="D2468" s="221" t="s">
        <v>5954</v>
      </c>
      <c r="E2468" s="221" t="s">
        <v>9176</v>
      </c>
      <c r="F2468" s="221" t="s">
        <v>5955</v>
      </c>
      <c r="G2468" s="221" t="s">
        <v>52</v>
      </c>
    </row>
    <row r="2469" spans="2:7" ht="127.5" customHeight="1" thickBot="1" x14ac:dyDescent="0.3">
      <c r="B2469" s="221"/>
      <c r="C2469" s="221"/>
      <c r="D2469" s="221"/>
      <c r="E2469" s="221"/>
      <c r="F2469" s="221"/>
      <c r="G2469" s="221"/>
    </row>
    <row r="2470" spans="2:7" ht="30" customHeight="1" thickBot="1" x14ac:dyDescent="0.3">
      <c r="B2470" s="223" t="s">
        <v>5956</v>
      </c>
      <c r="C2470" s="223" t="s">
        <v>5916</v>
      </c>
      <c r="D2470" s="223" t="s">
        <v>5957</v>
      </c>
      <c r="E2470" s="223" t="s">
        <v>5958</v>
      </c>
      <c r="F2470" s="223" t="s">
        <v>5959</v>
      </c>
      <c r="G2470" s="223" t="s">
        <v>52</v>
      </c>
    </row>
    <row r="2471" spans="2:7" ht="30" customHeight="1" thickBot="1" x14ac:dyDescent="0.3">
      <c r="B2471" s="223" t="s">
        <v>5960</v>
      </c>
      <c r="C2471" s="223" t="s">
        <v>5916</v>
      </c>
      <c r="D2471" s="223" t="s">
        <v>5961</v>
      </c>
      <c r="E2471" s="223" t="s">
        <v>9133</v>
      </c>
      <c r="F2471" s="223" t="s">
        <v>5963</v>
      </c>
      <c r="G2471" s="223" t="s">
        <v>52</v>
      </c>
    </row>
    <row r="2472" spans="2:7" ht="30" customHeight="1" thickBot="1" x14ac:dyDescent="0.3">
      <c r="B2472" s="223" t="s">
        <v>5964</v>
      </c>
      <c r="C2472" s="223" t="s">
        <v>5916</v>
      </c>
      <c r="D2472" s="223" t="s">
        <v>5965</v>
      </c>
      <c r="E2472" s="223" t="s">
        <v>8403</v>
      </c>
      <c r="F2472" s="223" t="s">
        <v>5966</v>
      </c>
      <c r="G2472" s="223" t="s">
        <v>52</v>
      </c>
    </row>
    <row r="2473" spans="2:7" ht="30" customHeight="1" thickBot="1" x14ac:dyDescent="0.3">
      <c r="B2473" s="221" t="s">
        <v>5967</v>
      </c>
      <c r="C2473" s="221" t="s">
        <v>5916</v>
      </c>
      <c r="D2473" s="221" t="s">
        <v>5968</v>
      </c>
      <c r="E2473" s="221" t="s">
        <v>5969</v>
      </c>
      <c r="F2473" s="221" t="s">
        <v>5970</v>
      </c>
      <c r="G2473" s="221" t="s">
        <v>40</v>
      </c>
    </row>
    <row r="2474" spans="2:7" ht="30" customHeight="1" thickBot="1" x14ac:dyDescent="0.3">
      <c r="B2474" s="221"/>
      <c r="C2474" s="221"/>
      <c r="D2474" s="221"/>
      <c r="E2474" s="221"/>
      <c r="F2474" s="221"/>
      <c r="G2474" s="221"/>
    </row>
    <row r="2475" spans="2:7" ht="30" customHeight="1" thickBot="1" x14ac:dyDescent="0.3">
      <c r="B2475" s="223" t="s">
        <v>5971</v>
      </c>
      <c r="C2475" s="223" t="s">
        <v>5916</v>
      </c>
      <c r="D2475" s="223" t="s">
        <v>5972</v>
      </c>
      <c r="E2475" s="223" t="s">
        <v>5973</v>
      </c>
      <c r="F2475" s="223" t="s">
        <v>5970</v>
      </c>
      <c r="G2475" s="223" t="s">
        <v>40</v>
      </c>
    </row>
    <row r="2476" spans="2:7" ht="30" customHeight="1" thickBot="1" x14ac:dyDescent="0.3">
      <c r="B2476" s="221" t="s">
        <v>5974</v>
      </c>
      <c r="C2476" s="221" t="s">
        <v>5916</v>
      </c>
      <c r="D2476" s="221" t="s">
        <v>5975</v>
      </c>
      <c r="E2476" s="221" t="s">
        <v>5976</v>
      </c>
      <c r="F2476" s="221" t="s">
        <v>5977</v>
      </c>
      <c r="G2476" s="221" t="s">
        <v>565</v>
      </c>
    </row>
    <row r="2477" spans="2:7" ht="30" customHeight="1" thickBot="1" x14ac:dyDescent="0.3">
      <c r="B2477" s="221"/>
      <c r="C2477" s="221"/>
      <c r="D2477" s="221"/>
      <c r="E2477" s="221"/>
      <c r="F2477" s="221"/>
      <c r="G2477" s="221"/>
    </row>
    <row r="2478" spans="2:7" ht="30" customHeight="1" thickBot="1" x14ac:dyDescent="0.3">
      <c r="B2478" s="221" t="s">
        <v>5978</v>
      </c>
      <c r="C2478" s="221" t="s">
        <v>5916</v>
      </c>
      <c r="D2478" s="223" t="s">
        <v>10141</v>
      </c>
      <c r="E2478" s="221" t="s">
        <v>5979</v>
      </c>
      <c r="F2478" s="221" t="s">
        <v>5980</v>
      </c>
      <c r="G2478" s="221" t="s">
        <v>565</v>
      </c>
    </row>
    <row r="2479" spans="2:7" ht="30" customHeight="1" thickBot="1" x14ac:dyDescent="0.3">
      <c r="B2479" s="221"/>
      <c r="C2479" s="221"/>
      <c r="D2479" s="218"/>
      <c r="E2479" s="221"/>
      <c r="F2479" s="221"/>
      <c r="G2479" s="221"/>
    </row>
    <row r="2480" spans="2:7" ht="30" customHeight="1" thickBot="1" x14ac:dyDescent="0.3">
      <c r="B2480" s="221"/>
      <c r="C2480" s="221"/>
      <c r="D2480" s="223" t="s">
        <v>5981</v>
      </c>
      <c r="E2480" s="221"/>
      <c r="F2480" s="221"/>
      <c r="G2480" s="221"/>
    </row>
    <row r="2481" spans="2:7" ht="30" customHeight="1" thickBot="1" x14ac:dyDescent="0.3">
      <c r="B2481" s="221"/>
      <c r="C2481" s="221"/>
      <c r="D2481" s="223"/>
      <c r="E2481" s="221"/>
      <c r="F2481" s="221"/>
      <c r="G2481" s="221"/>
    </row>
    <row r="2482" spans="2:7" ht="30" customHeight="1" thickBot="1" x14ac:dyDescent="0.3">
      <c r="B2482" s="221"/>
      <c r="C2482" s="221"/>
      <c r="D2482" s="223" t="s">
        <v>5982</v>
      </c>
      <c r="E2482" s="221"/>
      <c r="F2482" s="221"/>
      <c r="G2482" s="221"/>
    </row>
    <row r="2483" spans="2:7" ht="30" customHeight="1" thickBot="1" x14ac:dyDescent="0.3">
      <c r="B2483" s="221"/>
      <c r="C2483" s="221"/>
      <c r="D2483" s="223" t="s">
        <v>5983</v>
      </c>
      <c r="E2483" s="221"/>
      <c r="F2483" s="221"/>
      <c r="G2483" s="221"/>
    </row>
    <row r="2484" spans="2:7" ht="30" customHeight="1" thickBot="1" x14ac:dyDescent="0.3">
      <c r="B2484" s="221"/>
      <c r="C2484" s="221"/>
      <c r="D2484" s="223"/>
      <c r="E2484" s="221"/>
      <c r="F2484" s="221"/>
      <c r="G2484" s="221"/>
    </row>
    <row r="2485" spans="2:7" ht="30" customHeight="1" thickBot="1" x14ac:dyDescent="0.3">
      <c r="B2485" s="221" t="s">
        <v>5984</v>
      </c>
      <c r="C2485" s="221" t="s">
        <v>5916</v>
      </c>
      <c r="D2485" s="221" t="s">
        <v>5985</v>
      </c>
      <c r="E2485" s="221" t="s">
        <v>6977</v>
      </c>
      <c r="F2485" s="221" t="s">
        <v>5986</v>
      </c>
      <c r="G2485" s="221" t="s">
        <v>84</v>
      </c>
    </row>
    <row r="2486" spans="2:7" ht="30" customHeight="1" thickBot="1" x14ac:dyDescent="0.3">
      <c r="B2486" s="221"/>
      <c r="C2486" s="221"/>
      <c r="D2486" s="221"/>
      <c r="E2486" s="221"/>
      <c r="F2486" s="221"/>
      <c r="G2486" s="221"/>
    </row>
    <row r="2487" spans="2:7" ht="30" customHeight="1" thickBot="1" x14ac:dyDescent="0.3">
      <c r="B2487" s="221" t="s">
        <v>5987</v>
      </c>
      <c r="C2487" s="221" t="s">
        <v>5916</v>
      </c>
      <c r="D2487" s="223" t="s">
        <v>5988</v>
      </c>
      <c r="E2487" s="221" t="s">
        <v>8575</v>
      </c>
      <c r="F2487" s="221" t="s">
        <v>5989</v>
      </c>
      <c r="G2487" s="221" t="s">
        <v>84</v>
      </c>
    </row>
    <row r="2488" spans="2:7" ht="30" customHeight="1" thickBot="1" x14ac:dyDescent="0.3">
      <c r="B2488" s="221"/>
      <c r="C2488" s="221"/>
      <c r="D2488" s="223"/>
      <c r="E2488" s="221"/>
      <c r="F2488" s="221"/>
      <c r="G2488" s="221"/>
    </row>
    <row r="2489" spans="2:7" ht="30" customHeight="1" thickBot="1" x14ac:dyDescent="0.3">
      <c r="B2489" s="221"/>
      <c r="C2489" s="221"/>
      <c r="D2489" s="223" t="s">
        <v>5990</v>
      </c>
      <c r="E2489" s="221"/>
      <c r="F2489" s="221"/>
      <c r="G2489" s="221"/>
    </row>
    <row r="2490" spans="2:7" ht="30" customHeight="1" thickBot="1" x14ac:dyDescent="0.3">
      <c r="B2490" s="221"/>
      <c r="C2490" s="221"/>
      <c r="D2490" s="223"/>
      <c r="E2490" s="221"/>
      <c r="F2490" s="221"/>
      <c r="G2490" s="221"/>
    </row>
    <row r="2491" spans="2:7" ht="30" customHeight="1" thickBot="1" x14ac:dyDescent="0.3">
      <c r="B2491" s="221"/>
      <c r="C2491" s="221"/>
      <c r="D2491" s="223" t="s">
        <v>5991</v>
      </c>
      <c r="E2491" s="221"/>
      <c r="F2491" s="221"/>
      <c r="G2491" s="221"/>
    </row>
    <row r="2492" spans="2:7" ht="30" customHeight="1" thickBot="1" x14ac:dyDescent="0.3">
      <c r="B2492" s="221"/>
      <c r="C2492" s="221"/>
      <c r="D2492" s="225" t="s">
        <v>5992</v>
      </c>
      <c r="E2492" s="221"/>
      <c r="F2492" s="221"/>
      <c r="G2492" s="221"/>
    </row>
    <row r="2493" spans="2:7" ht="30" customHeight="1" thickBot="1" x14ac:dyDescent="0.3">
      <c r="B2493" s="221"/>
      <c r="C2493" s="221"/>
      <c r="D2493" s="225" t="s">
        <v>5993</v>
      </c>
      <c r="E2493" s="221"/>
      <c r="F2493" s="221"/>
      <c r="G2493" s="221"/>
    </row>
    <row r="2494" spans="2:7" ht="30" customHeight="1" thickBot="1" x14ac:dyDescent="0.3">
      <c r="B2494" s="221"/>
      <c r="C2494" s="221"/>
      <c r="D2494" s="225"/>
      <c r="E2494" s="221"/>
      <c r="F2494" s="221"/>
      <c r="G2494" s="221"/>
    </row>
    <row r="2495" spans="2:7" ht="30" customHeight="1" thickBot="1" x14ac:dyDescent="0.3">
      <c r="B2495" s="221"/>
      <c r="C2495" s="221"/>
      <c r="D2495" s="223" t="s">
        <v>5994</v>
      </c>
      <c r="E2495" s="221"/>
      <c r="F2495" s="221"/>
      <c r="G2495" s="221"/>
    </row>
    <row r="2496" spans="2:7" ht="30" customHeight="1" thickBot="1" x14ac:dyDescent="0.3">
      <c r="B2496" s="221"/>
      <c r="C2496" s="221"/>
      <c r="D2496" s="223" t="s">
        <v>5995</v>
      </c>
      <c r="E2496" s="221"/>
      <c r="F2496" s="221"/>
      <c r="G2496" s="221"/>
    </row>
    <row r="2497" spans="2:7" ht="30" customHeight="1" thickBot="1" x14ac:dyDescent="0.3">
      <c r="B2497" s="221"/>
      <c r="C2497" s="221"/>
      <c r="D2497" s="223"/>
      <c r="E2497" s="221"/>
      <c r="F2497" s="221"/>
      <c r="G2497" s="221"/>
    </row>
    <row r="2498" spans="2:7" ht="30" customHeight="1" thickBot="1" x14ac:dyDescent="0.3">
      <c r="B2498" s="221" t="s">
        <v>5996</v>
      </c>
      <c r="C2498" s="221" t="s">
        <v>5916</v>
      </c>
      <c r="D2498" s="221" t="s">
        <v>5997</v>
      </c>
      <c r="E2498" s="221" t="s">
        <v>7537</v>
      </c>
      <c r="F2498" s="221" t="s">
        <v>5998</v>
      </c>
      <c r="G2498" s="221" t="s">
        <v>84</v>
      </c>
    </row>
    <row r="2499" spans="2:7" ht="30" customHeight="1" thickBot="1" x14ac:dyDescent="0.3">
      <c r="B2499" s="221"/>
      <c r="C2499" s="221"/>
      <c r="D2499" s="221"/>
      <c r="E2499" s="221"/>
      <c r="F2499" s="221"/>
      <c r="G2499" s="221"/>
    </row>
    <row r="2500" spans="2:7" ht="57.75" customHeight="1" thickBot="1" x14ac:dyDescent="0.3">
      <c r="B2500" s="221" t="s">
        <v>5999</v>
      </c>
      <c r="C2500" s="221" t="s">
        <v>5916</v>
      </c>
      <c r="D2500" s="223" t="s">
        <v>6000</v>
      </c>
      <c r="E2500" s="221" t="s">
        <v>9196</v>
      </c>
      <c r="F2500" s="223" t="s">
        <v>6001</v>
      </c>
      <c r="G2500" s="221" t="s">
        <v>84</v>
      </c>
    </row>
    <row r="2501" spans="2:7" ht="96.75" customHeight="1" thickBot="1" x14ac:dyDescent="0.3">
      <c r="B2501" s="221"/>
      <c r="C2501" s="221"/>
      <c r="D2501" s="223" t="s">
        <v>6002</v>
      </c>
      <c r="E2501" s="221"/>
      <c r="F2501" s="223"/>
      <c r="G2501" s="221"/>
    </row>
    <row r="2502" spans="2:7" ht="12.75" customHeight="1" thickBot="1" x14ac:dyDescent="0.3">
      <c r="B2502" s="221"/>
      <c r="C2502" s="221"/>
      <c r="D2502" s="223" t="s">
        <v>6003</v>
      </c>
      <c r="E2502" s="221"/>
      <c r="F2502" s="223"/>
      <c r="G2502" s="221"/>
    </row>
    <row r="2503" spans="2:7" ht="159" customHeight="1" thickBot="1" x14ac:dyDescent="0.3">
      <c r="B2503" s="221"/>
      <c r="C2503" s="221"/>
      <c r="D2503" s="223"/>
      <c r="E2503" s="221"/>
      <c r="F2503" s="223" t="s">
        <v>6004</v>
      </c>
      <c r="G2503" s="221"/>
    </row>
    <row r="2504" spans="2:7" ht="30" customHeight="1" thickBot="1" x14ac:dyDescent="0.3">
      <c r="B2504" s="221" t="s">
        <v>6005</v>
      </c>
      <c r="C2504" s="221" t="s">
        <v>5916</v>
      </c>
      <c r="D2504" s="223" t="s">
        <v>6006</v>
      </c>
      <c r="E2504" s="221" t="s">
        <v>6007</v>
      </c>
      <c r="F2504" s="221" t="s">
        <v>6008</v>
      </c>
      <c r="G2504" s="221" t="s">
        <v>84</v>
      </c>
    </row>
    <row r="2505" spans="2:7" ht="30" customHeight="1" thickBot="1" x14ac:dyDescent="0.3">
      <c r="B2505" s="221"/>
      <c r="C2505" s="221"/>
      <c r="D2505" s="223" t="s">
        <v>5983</v>
      </c>
      <c r="E2505" s="221"/>
      <c r="F2505" s="221"/>
      <c r="G2505" s="221"/>
    </row>
    <row r="2506" spans="2:7" ht="30" customHeight="1" thickBot="1" x14ac:dyDescent="0.3">
      <c r="B2506" s="221"/>
      <c r="C2506" s="221"/>
      <c r="D2506" s="223"/>
      <c r="E2506" s="221"/>
      <c r="F2506" s="221"/>
      <c r="G2506" s="221"/>
    </row>
    <row r="2507" spans="2:7" ht="30" customHeight="1" thickBot="1" x14ac:dyDescent="0.3">
      <c r="B2507" s="221"/>
      <c r="C2507" s="221"/>
      <c r="D2507" s="223" t="s">
        <v>6009</v>
      </c>
      <c r="E2507" s="221"/>
      <c r="F2507" s="221"/>
      <c r="G2507" s="221"/>
    </row>
    <row r="2508" spans="2:7" ht="30" customHeight="1" thickBot="1" x14ac:dyDescent="0.3">
      <c r="B2508" s="221"/>
      <c r="C2508" s="221"/>
      <c r="D2508" s="223"/>
      <c r="E2508" s="221"/>
      <c r="F2508" s="221"/>
      <c r="G2508" s="221"/>
    </row>
    <row r="2509" spans="2:7" ht="30" customHeight="1" thickBot="1" x14ac:dyDescent="0.3">
      <c r="B2509" s="221" t="s">
        <v>6010</v>
      </c>
      <c r="C2509" s="221" t="s">
        <v>5916</v>
      </c>
      <c r="D2509" s="221" t="s">
        <v>6011</v>
      </c>
      <c r="E2509" s="221" t="s">
        <v>349</v>
      </c>
      <c r="F2509" s="221" t="s">
        <v>6012</v>
      </c>
      <c r="G2509" s="221" t="s">
        <v>74</v>
      </c>
    </row>
    <row r="2510" spans="2:7" ht="30" customHeight="1" thickBot="1" x14ac:dyDescent="0.3">
      <c r="B2510" s="221"/>
      <c r="C2510" s="221"/>
      <c r="D2510" s="221"/>
      <c r="E2510" s="221"/>
      <c r="F2510" s="221"/>
      <c r="G2510" s="221"/>
    </row>
    <row r="2511" spans="2:7" ht="30" customHeight="1" thickBot="1" x14ac:dyDescent="0.3">
      <c r="B2511" s="221"/>
      <c r="C2511" s="221"/>
      <c r="D2511" s="221"/>
      <c r="E2511" s="221"/>
      <c r="F2511" s="221"/>
      <c r="G2511" s="221"/>
    </row>
    <row r="2512" spans="2:7" ht="30" customHeight="1" thickBot="1" x14ac:dyDescent="0.3">
      <c r="B2512" s="221"/>
      <c r="C2512" s="221"/>
      <c r="D2512" s="221"/>
      <c r="E2512" s="221"/>
      <c r="F2512" s="221"/>
      <c r="G2512" s="221"/>
    </row>
    <row r="2513" spans="2:7" ht="30" customHeight="1" thickBot="1" x14ac:dyDescent="0.3">
      <c r="B2513" s="221"/>
      <c r="C2513" s="221"/>
      <c r="D2513" s="221"/>
      <c r="E2513" s="221"/>
      <c r="F2513" s="221"/>
      <c r="G2513" s="221"/>
    </row>
    <row r="2514" spans="2:7" ht="30" customHeight="1" thickBot="1" x14ac:dyDescent="0.3">
      <c r="B2514" s="221"/>
      <c r="C2514" s="221"/>
      <c r="D2514" s="221"/>
      <c r="E2514" s="221"/>
      <c r="F2514" s="221"/>
      <c r="G2514" s="221"/>
    </row>
    <row r="2515" spans="2:7" ht="30" customHeight="1" thickBot="1" x14ac:dyDescent="0.3">
      <c r="B2515" s="221"/>
      <c r="C2515" s="221"/>
      <c r="D2515" s="221"/>
      <c r="E2515" s="221"/>
      <c r="F2515" s="221"/>
      <c r="G2515" s="221"/>
    </row>
    <row r="2516" spans="2:7" ht="30" customHeight="1" thickBot="1" x14ac:dyDescent="0.3">
      <c r="B2516" s="221"/>
      <c r="C2516" s="221"/>
      <c r="D2516" s="221"/>
      <c r="E2516" s="221"/>
      <c r="F2516" s="221"/>
      <c r="G2516" s="221"/>
    </row>
  </sheetData>
  <autoFilter ref="B12:G2516" xr:uid="{00000000-0009-0000-0000-000002000000}"/>
  <mergeCells count="1477">
    <mergeCell ref="B10:F10"/>
    <mergeCell ref="B6:G6"/>
    <mergeCell ref="C8:G8"/>
    <mergeCell ref="B9:G9"/>
    <mergeCell ref="B28:B33"/>
    <mergeCell ref="C28:C33"/>
    <mergeCell ref="E28:E33"/>
    <mergeCell ref="B2:G2"/>
    <mergeCell ref="B3:C5"/>
    <mergeCell ref="D3:F3"/>
    <mergeCell ref="E4:F4"/>
    <mergeCell ref="E5:F5"/>
    <mergeCell ref="B47:B60"/>
    <mergeCell ref="C47:C60"/>
    <mergeCell ref="E47:E60"/>
    <mergeCell ref="G47:G60"/>
    <mergeCell ref="B34:B46"/>
    <mergeCell ref="C34:C46"/>
    <mergeCell ref="E34:E46"/>
    <mergeCell ref="G34:G46"/>
    <mergeCell ref="B74:B83"/>
    <mergeCell ref="C74:C83"/>
    <mergeCell ref="E74:E83"/>
    <mergeCell ref="F74:F83"/>
    <mergeCell ref="G74:G83"/>
    <mergeCell ref="B65:B73"/>
    <mergeCell ref="C65:C73"/>
    <mergeCell ref="E65:E73"/>
    <mergeCell ref="G65:G73"/>
    <mergeCell ref="B61:B64"/>
    <mergeCell ref="C61:C64"/>
    <mergeCell ref="E61:E64"/>
    <mergeCell ref="G61:G64"/>
    <mergeCell ref="B95:B113"/>
    <mergeCell ref="C95:C113"/>
    <mergeCell ref="E95:E113"/>
    <mergeCell ref="G95:G113"/>
    <mergeCell ref="B84:B94"/>
    <mergeCell ref="C84:C94"/>
    <mergeCell ref="E84:E94"/>
    <mergeCell ref="G84:G94"/>
    <mergeCell ref="B133:B147"/>
    <mergeCell ref="C133:C147"/>
    <mergeCell ref="E133:E147"/>
    <mergeCell ref="F133:F147"/>
    <mergeCell ref="G133:G147"/>
    <mergeCell ref="B126:B132"/>
    <mergeCell ref="C126:C132"/>
    <mergeCell ref="E126:E132"/>
    <mergeCell ref="G126:G132"/>
    <mergeCell ref="B114:B125"/>
    <mergeCell ref="C114:C125"/>
    <mergeCell ref="E114:E125"/>
    <mergeCell ref="G114:G125"/>
    <mergeCell ref="B171:B177"/>
    <mergeCell ref="C171:C177"/>
    <mergeCell ref="E171:E177"/>
    <mergeCell ref="F171:F177"/>
    <mergeCell ref="G171:G177"/>
    <mergeCell ref="B148:B170"/>
    <mergeCell ref="C148:C170"/>
    <mergeCell ref="E148:E170"/>
    <mergeCell ref="G148:G170"/>
    <mergeCell ref="B189:B202"/>
    <mergeCell ref="C189:C202"/>
    <mergeCell ref="E189:E202"/>
    <mergeCell ref="G189:G202"/>
    <mergeCell ref="B178:B188"/>
    <mergeCell ref="C178:C188"/>
    <mergeCell ref="E178:E188"/>
    <mergeCell ref="F178:F188"/>
    <mergeCell ref="G178:G188"/>
    <mergeCell ref="B215:B217"/>
    <mergeCell ref="C215:C217"/>
    <mergeCell ref="E215:E217"/>
    <mergeCell ref="F215:F217"/>
    <mergeCell ref="G215:G217"/>
    <mergeCell ref="B203:B214"/>
    <mergeCell ref="C203:C214"/>
    <mergeCell ref="E203:E214"/>
    <mergeCell ref="F203:F214"/>
    <mergeCell ref="G203:G214"/>
    <mergeCell ref="B231:B239"/>
    <mergeCell ref="C231:C239"/>
    <mergeCell ref="E231:E239"/>
    <mergeCell ref="G231:G239"/>
    <mergeCell ref="B223:B230"/>
    <mergeCell ref="C223:C230"/>
    <mergeCell ref="E223:E230"/>
    <mergeCell ref="F223:F230"/>
    <mergeCell ref="G223:G230"/>
    <mergeCell ref="B218:B222"/>
    <mergeCell ref="C218:C222"/>
    <mergeCell ref="E218:E222"/>
    <mergeCell ref="G218:G222"/>
    <mergeCell ref="B257:B259"/>
    <mergeCell ref="C257:C259"/>
    <mergeCell ref="E257:E259"/>
    <mergeCell ref="F257:F259"/>
    <mergeCell ref="G257:G259"/>
    <mergeCell ref="B240:B256"/>
    <mergeCell ref="C240:C256"/>
    <mergeCell ref="E240:E256"/>
    <mergeCell ref="F240:F256"/>
    <mergeCell ref="G240:G256"/>
    <mergeCell ref="B265:B268"/>
    <mergeCell ref="C265:C268"/>
    <mergeCell ref="E265:E268"/>
    <mergeCell ref="G265:G268"/>
    <mergeCell ref="B260:B264"/>
    <mergeCell ref="C260:C264"/>
    <mergeCell ref="E260:E264"/>
    <mergeCell ref="F260:F264"/>
    <mergeCell ref="G260:G264"/>
    <mergeCell ref="B280:B284"/>
    <mergeCell ref="C280:C284"/>
    <mergeCell ref="E280:E284"/>
    <mergeCell ref="G280:G284"/>
    <mergeCell ref="B269:B279"/>
    <mergeCell ref="C269:C279"/>
    <mergeCell ref="E269:E279"/>
    <mergeCell ref="G269:G279"/>
    <mergeCell ref="B296:B298"/>
    <mergeCell ref="C296:C298"/>
    <mergeCell ref="E296:E298"/>
    <mergeCell ref="G296:G298"/>
    <mergeCell ref="B292:B295"/>
    <mergeCell ref="C292:C295"/>
    <mergeCell ref="E292:E295"/>
    <mergeCell ref="G292:G295"/>
    <mergeCell ref="B285:B291"/>
    <mergeCell ref="C285:C291"/>
    <mergeCell ref="E285:E291"/>
    <mergeCell ref="G285:G291"/>
    <mergeCell ref="B305:B320"/>
    <mergeCell ref="C305:C320"/>
    <mergeCell ref="E305:E320"/>
    <mergeCell ref="G305:G320"/>
    <mergeCell ref="B302:B304"/>
    <mergeCell ref="C302:C304"/>
    <mergeCell ref="E302:E304"/>
    <mergeCell ref="G302:G304"/>
    <mergeCell ref="B299:B301"/>
    <mergeCell ref="C299:C301"/>
    <mergeCell ref="E299:E301"/>
    <mergeCell ref="G299:G301"/>
    <mergeCell ref="B326:B333"/>
    <mergeCell ref="C326:C333"/>
    <mergeCell ref="E326:E333"/>
    <mergeCell ref="F326:F333"/>
    <mergeCell ref="G326:G333"/>
    <mergeCell ref="B321:B325"/>
    <mergeCell ref="C321:C325"/>
    <mergeCell ref="E321:E325"/>
    <mergeCell ref="G321:G325"/>
    <mergeCell ref="B337:B339"/>
    <mergeCell ref="C337:C339"/>
    <mergeCell ref="E337:E339"/>
    <mergeCell ref="F337:F339"/>
    <mergeCell ref="G337:G339"/>
    <mergeCell ref="B334:B336"/>
    <mergeCell ref="C334:C336"/>
    <mergeCell ref="E334:E336"/>
    <mergeCell ref="F334:F336"/>
    <mergeCell ref="G334:G336"/>
    <mergeCell ref="B343:B345"/>
    <mergeCell ref="C343:C345"/>
    <mergeCell ref="E343:E345"/>
    <mergeCell ref="F343:F345"/>
    <mergeCell ref="G343:G345"/>
    <mergeCell ref="B340:B342"/>
    <mergeCell ref="C340:C342"/>
    <mergeCell ref="E340:E342"/>
    <mergeCell ref="F340:F342"/>
    <mergeCell ref="G340:G342"/>
    <mergeCell ref="B349:B355"/>
    <mergeCell ref="C349:C355"/>
    <mergeCell ref="E349:E355"/>
    <mergeCell ref="F349:F355"/>
    <mergeCell ref="G349:G355"/>
    <mergeCell ref="B346:B348"/>
    <mergeCell ref="C346:C348"/>
    <mergeCell ref="E346:E348"/>
    <mergeCell ref="F346:F348"/>
    <mergeCell ref="G346:G348"/>
    <mergeCell ref="B365:B369"/>
    <mergeCell ref="C365:C369"/>
    <mergeCell ref="E365:E369"/>
    <mergeCell ref="F365:F369"/>
    <mergeCell ref="G365:G369"/>
    <mergeCell ref="B356:B364"/>
    <mergeCell ref="C356:C364"/>
    <mergeCell ref="E356:E364"/>
    <mergeCell ref="F356:F364"/>
    <mergeCell ref="G356:G364"/>
    <mergeCell ref="B373:B375"/>
    <mergeCell ref="C373:C375"/>
    <mergeCell ref="E373:E375"/>
    <mergeCell ref="F373:F375"/>
    <mergeCell ref="G373:G375"/>
    <mergeCell ref="B370:B372"/>
    <mergeCell ref="C370:C372"/>
    <mergeCell ref="E370:E372"/>
    <mergeCell ref="F370:F372"/>
    <mergeCell ref="G370:G372"/>
    <mergeCell ref="B380:B383"/>
    <mergeCell ref="C380:C383"/>
    <mergeCell ref="E380:E383"/>
    <mergeCell ref="F380:F383"/>
    <mergeCell ref="G380:G383"/>
    <mergeCell ref="B376:B379"/>
    <mergeCell ref="C376:C379"/>
    <mergeCell ref="E376:E379"/>
    <mergeCell ref="F376:F379"/>
    <mergeCell ref="G376:G379"/>
    <mergeCell ref="B387:B390"/>
    <mergeCell ref="C387:C390"/>
    <mergeCell ref="E387:E390"/>
    <mergeCell ref="F387:F390"/>
    <mergeCell ref="G387:G390"/>
    <mergeCell ref="B384:B386"/>
    <mergeCell ref="C384:C386"/>
    <mergeCell ref="E384:E386"/>
    <mergeCell ref="F384:F386"/>
    <mergeCell ref="G384:G386"/>
    <mergeCell ref="B394:B400"/>
    <mergeCell ref="C394:C400"/>
    <mergeCell ref="E394:E400"/>
    <mergeCell ref="F394:F400"/>
    <mergeCell ref="B391:B393"/>
    <mergeCell ref="C391:C393"/>
    <mergeCell ref="E391:E393"/>
    <mergeCell ref="F391:F393"/>
    <mergeCell ref="G391:G393"/>
    <mergeCell ref="B407:B418"/>
    <mergeCell ref="C407:C418"/>
    <mergeCell ref="E407:E418"/>
    <mergeCell ref="F407:F418"/>
    <mergeCell ref="G407:G418"/>
    <mergeCell ref="B404:B406"/>
    <mergeCell ref="C404:C406"/>
    <mergeCell ref="E404:E406"/>
    <mergeCell ref="F404:F406"/>
    <mergeCell ref="G404:G406"/>
    <mergeCell ref="B401:B403"/>
    <mergeCell ref="C401:C403"/>
    <mergeCell ref="E401:E403"/>
    <mergeCell ref="F401:F403"/>
    <mergeCell ref="G401:G403"/>
    <mergeCell ref="B610:B611"/>
    <mergeCell ref="C610:C611"/>
    <mergeCell ref="D610:D611"/>
    <mergeCell ref="E610:E611"/>
    <mergeCell ref="F610:F611"/>
    <mergeCell ref="G610:G611"/>
    <mergeCell ref="B607:B608"/>
    <mergeCell ref="C607:C608"/>
    <mergeCell ref="E607:E608"/>
    <mergeCell ref="F607:F608"/>
    <mergeCell ref="G607:G608"/>
    <mergeCell ref="B419:B430"/>
    <mergeCell ref="E419:E430"/>
    <mergeCell ref="B626:B628"/>
    <mergeCell ref="C626:C628"/>
    <mergeCell ref="E626:E628"/>
    <mergeCell ref="F626:F628"/>
    <mergeCell ref="G626:G628"/>
    <mergeCell ref="B613:B618"/>
    <mergeCell ref="C613:C618"/>
    <mergeCell ref="E613:E618"/>
    <mergeCell ref="F613:F618"/>
    <mergeCell ref="G613:G618"/>
    <mergeCell ref="G638:G639"/>
    <mergeCell ref="B638:B639"/>
    <mergeCell ref="C638:C639"/>
    <mergeCell ref="D638:D639"/>
    <mergeCell ref="E638:E639"/>
    <mergeCell ref="F638:F639"/>
    <mergeCell ref="B630:B636"/>
    <mergeCell ref="C630:C636"/>
    <mergeCell ref="E630:E636"/>
    <mergeCell ref="F630:F636"/>
    <mergeCell ref="G630:G636"/>
    <mergeCell ref="B656:B658"/>
    <mergeCell ref="C656:C658"/>
    <mergeCell ref="E656:E658"/>
    <mergeCell ref="F656:F658"/>
    <mergeCell ref="G656:G658"/>
    <mergeCell ref="B643:B647"/>
    <mergeCell ref="C643:C647"/>
    <mergeCell ref="E643:E647"/>
    <mergeCell ref="F643:F647"/>
    <mergeCell ref="G643:G647"/>
    <mergeCell ref="B640:B642"/>
    <mergeCell ref="C640:C642"/>
    <mergeCell ref="E640:E642"/>
    <mergeCell ref="F640:F642"/>
    <mergeCell ref="G640:G642"/>
    <mergeCell ref="B668:B670"/>
    <mergeCell ref="C668:C670"/>
    <mergeCell ref="E668:E670"/>
    <mergeCell ref="F668:F670"/>
    <mergeCell ref="G668:G670"/>
    <mergeCell ref="B661:B666"/>
    <mergeCell ref="C661:C666"/>
    <mergeCell ref="E661:E666"/>
    <mergeCell ref="F661:F666"/>
    <mergeCell ref="G661:G666"/>
    <mergeCell ref="B684:B686"/>
    <mergeCell ref="C684:C686"/>
    <mergeCell ref="E684:E686"/>
    <mergeCell ref="F684:F686"/>
    <mergeCell ref="G684:G686"/>
    <mergeCell ref="B679:B682"/>
    <mergeCell ref="C679:C682"/>
    <mergeCell ref="E679:E682"/>
    <mergeCell ref="F679:F682"/>
    <mergeCell ref="G679:G682"/>
    <mergeCell ref="B695:B697"/>
    <mergeCell ref="C695:C697"/>
    <mergeCell ref="E695:E697"/>
    <mergeCell ref="F695:F697"/>
    <mergeCell ref="G695:G697"/>
    <mergeCell ref="B687:B691"/>
    <mergeCell ref="C687:C691"/>
    <mergeCell ref="E687:E691"/>
    <mergeCell ref="F687:F691"/>
    <mergeCell ref="G687:G691"/>
    <mergeCell ref="B701:B703"/>
    <mergeCell ref="C701:C703"/>
    <mergeCell ref="E701:E703"/>
    <mergeCell ref="F701:F703"/>
    <mergeCell ref="G701:G703"/>
    <mergeCell ref="B698:B700"/>
    <mergeCell ref="C698:C700"/>
    <mergeCell ref="E698:E700"/>
    <mergeCell ref="F698:F700"/>
    <mergeCell ref="G698:G700"/>
    <mergeCell ref="B712:B716"/>
    <mergeCell ref="C712:C716"/>
    <mergeCell ref="D712:D716"/>
    <mergeCell ref="E712:E716"/>
    <mergeCell ref="G712:G716"/>
    <mergeCell ref="B705:B711"/>
    <mergeCell ref="C705:C711"/>
    <mergeCell ref="E705:E711"/>
    <mergeCell ref="G705:G711"/>
    <mergeCell ref="B719:B724"/>
    <mergeCell ref="C719:C724"/>
    <mergeCell ref="E719:E724"/>
    <mergeCell ref="G719:G724"/>
    <mergeCell ref="B717:B718"/>
    <mergeCell ref="C717:C718"/>
    <mergeCell ref="D717:D718"/>
    <mergeCell ref="E717:E718"/>
    <mergeCell ref="G717:G718"/>
    <mergeCell ref="B729:B735"/>
    <mergeCell ref="C729:C735"/>
    <mergeCell ref="E729:E735"/>
    <mergeCell ref="F729:F735"/>
    <mergeCell ref="G729:G735"/>
    <mergeCell ref="B725:B728"/>
    <mergeCell ref="C725:C728"/>
    <mergeCell ref="E725:E728"/>
    <mergeCell ref="G725:G728"/>
    <mergeCell ref="D730:D732"/>
    <mergeCell ref="D733:D735"/>
    <mergeCell ref="B978:B979"/>
    <mergeCell ref="C978:C979"/>
    <mergeCell ref="E978:E979"/>
    <mergeCell ref="F978:F979"/>
    <mergeCell ref="G978:G979"/>
    <mergeCell ref="B751:B752"/>
    <mergeCell ref="E751:E752"/>
    <mergeCell ref="F751:F752"/>
    <mergeCell ref="G751:G752"/>
    <mergeCell ref="B736:B750"/>
    <mergeCell ref="C736:C750"/>
    <mergeCell ref="E736:E750"/>
    <mergeCell ref="G736:G750"/>
    <mergeCell ref="B984:B985"/>
    <mergeCell ref="C984:C985"/>
    <mergeCell ref="E984:E985"/>
    <mergeCell ref="F984:F985"/>
    <mergeCell ref="G984:G985"/>
    <mergeCell ref="B980:B983"/>
    <mergeCell ref="C980:C983"/>
    <mergeCell ref="E980:E983"/>
    <mergeCell ref="F980:F983"/>
    <mergeCell ref="G980:G983"/>
    <mergeCell ref="B994:B995"/>
    <mergeCell ref="C994:C995"/>
    <mergeCell ref="E994:E995"/>
    <mergeCell ref="F994:F995"/>
    <mergeCell ref="G994:G995"/>
    <mergeCell ref="B986:B993"/>
    <mergeCell ref="C986:C993"/>
    <mergeCell ref="E986:E993"/>
    <mergeCell ref="F986:F993"/>
    <mergeCell ref="G986:G993"/>
    <mergeCell ref="B998:B999"/>
    <mergeCell ref="C998:C999"/>
    <mergeCell ref="E998:E999"/>
    <mergeCell ref="F998:F999"/>
    <mergeCell ref="G998:G999"/>
    <mergeCell ref="B996:B997"/>
    <mergeCell ref="C996:C997"/>
    <mergeCell ref="E996:E997"/>
    <mergeCell ref="F996:F997"/>
    <mergeCell ref="G996:G997"/>
    <mergeCell ref="B1004:B1005"/>
    <mergeCell ref="C1004:C1005"/>
    <mergeCell ref="E1004:E1005"/>
    <mergeCell ref="F1004:F1005"/>
    <mergeCell ref="G1004:G1005"/>
    <mergeCell ref="B1000:B1003"/>
    <mergeCell ref="C1000:C1003"/>
    <mergeCell ref="E1000:E1003"/>
    <mergeCell ref="F1000:F1003"/>
    <mergeCell ref="G1000:G1003"/>
    <mergeCell ref="B1010:B1011"/>
    <mergeCell ref="C1010:C1011"/>
    <mergeCell ref="E1010:E1011"/>
    <mergeCell ref="F1010:F1011"/>
    <mergeCell ref="G1010:G1011"/>
    <mergeCell ref="B1006:B1009"/>
    <mergeCell ref="C1006:C1009"/>
    <mergeCell ref="E1006:E1009"/>
    <mergeCell ref="F1006:F1009"/>
    <mergeCell ref="G1006:G1009"/>
    <mergeCell ref="B1017:B1018"/>
    <mergeCell ref="C1017:C1018"/>
    <mergeCell ref="E1017:E1018"/>
    <mergeCell ref="F1017:F1018"/>
    <mergeCell ref="G1017:G1018"/>
    <mergeCell ref="B1012:B1016"/>
    <mergeCell ref="C1012:C1016"/>
    <mergeCell ref="E1012:E1016"/>
    <mergeCell ref="F1012:F1016"/>
    <mergeCell ref="G1012:G1016"/>
    <mergeCell ref="B1023:B1025"/>
    <mergeCell ref="C1023:C1025"/>
    <mergeCell ref="E1023:E1025"/>
    <mergeCell ref="F1023:F1025"/>
    <mergeCell ref="G1023:G1025"/>
    <mergeCell ref="B1019:B1022"/>
    <mergeCell ref="C1019:C1022"/>
    <mergeCell ref="E1019:E1022"/>
    <mergeCell ref="F1019:F1022"/>
    <mergeCell ref="G1019:G1022"/>
    <mergeCell ref="B1032:B1036"/>
    <mergeCell ref="C1032:C1036"/>
    <mergeCell ref="E1032:E1036"/>
    <mergeCell ref="F1032:F1036"/>
    <mergeCell ref="G1032:G1036"/>
    <mergeCell ref="B1026:B1027"/>
    <mergeCell ref="C1026:C1027"/>
    <mergeCell ref="E1026:E1027"/>
    <mergeCell ref="F1026:F1027"/>
    <mergeCell ref="G1026:G1027"/>
    <mergeCell ref="B1050:B1051"/>
    <mergeCell ref="C1050:C1051"/>
    <mergeCell ref="E1050:E1051"/>
    <mergeCell ref="F1050:F1051"/>
    <mergeCell ref="G1050:G1051"/>
    <mergeCell ref="B1037:B1041"/>
    <mergeCell ref="C1037:C1041"/>
    <mergeCell ref="E1037:E1041"/>
    <mergeCell ref="F1037:F1041"/>
    <mergeCell ref="G1037:G1041"/>
    <mergeCell ref="B1054:B1055"/>
    <mergeCell ref="C1054:C1055"/>
    <mergeCell ref="E1054:E1055"/>
    <mergeCell ref="F1054:F1055"/>
    <mergeCell ref="G1054:G1055"/>
    <mergeCell ref="B1052:B1053"/>
    <mergeCell ref="C1052:C1053"/>
    <mergeCell ref="E1052:E1053"/>
    <mergeCell ref="F1052:F1053"/>
    <mergeCell ref="G1052:G1053"/>
    <mergeCell ref="B1062:B1063"/>
    <mergeCell ref="C1062:C1063"/>
    <mergeCell ref="E1062:E1063"/>
    <mergeCell ref="F1062:F1063"/>
    <mergeCell ref="G1062:G1063"/>
    <mergeCell ref="B1057:B1058"/>
    <mergeCell ref="C1057:C1058"/>
    <mergeCell ref="E1057:E1058"/>
    <mergeCell ref="F1057:F1058"/>
    <mergeCell ref="G1057:G1058"/>
    <mergeCell ref="B1066:B1068"/>
    <mergeCell ref="C1066:C1068"/>
    <mergeCell ref="E1066:E1068"/>
    <mergeCell ref="F1066:F1068"/>
    <mergeCell ref="G1066:G1068"/>
    <mergeCell ref="B1064:B1065"/>
    <mergeCell ref="C1064:C1065"/>
    <mergeCell ref="E1064:E1065"/>
    <mergeCell ref="F1064:F1065"/>
    <mergeCell ref="G1064:G1065"/>
    <mergeCell ref="B1071:B1074"/>
    <mergeCell ref="C1071:C1074"/>
    <mergeCell ref="E1071:E1074"/>
    <mergeCell ref="F1071:F1074"/>
    <mergeCell ref="G1071:G1074"/>
    <mergeCell ref="B1069:B1070"/>
    <mergeCell ref="C1069:C1070"/>
    <mergeCell ref="E1069:E1070"/>
    <mergeCell ref="F1069:F1070"/>
    <mergeCell ref="G1069:G1070"/>
    <mergeCell ref="B1084:B1085"/>
    <mergeCell ref="C1084:C1085"/>
    <mergeCell ref="E1084:E1085"/>
    <mergeCell ref="F1084:F1085"/>
    <mergeCell ref="G1084:G1085"/>
    <mergeCell ref="B1076:B1082"/>
    <mergeCell ref="C1076:C1082"/>
    <mergeCell ref="E1076:E1082"/>
    <mergeCell ref="F1076:F1082"/>
    <mergeCell ref="G1076:G1082"/>
    <mergeCell ref="B1114:B1115"/>
    <mergeCell ref="C1114:C1115"/>
    <mergeCell ref="E1114:E1115"/>
    <mergeCell ref="F1114:F1115"/>
    <mergeCell ref="G1114:G1115"/>
    <mergeCell ref="B1106:B1107"/>
    <mergeCell ref="C1106:C1107"/>
    <mergeCell ref="E1106:E1107"/>
    <mergeCell ref="F1106:F1107"/>
    <mergeCell ref="G1106:G1107"/>
    <mergeCell ref="B1124:B1125"/>
    <mergeCell ref="C1124:C1125"/>
    <mergeCell ref="E1124:E1125"/>
    <mergeCell ref="F1124:F1125"/>
    <mergeCell ref="G1124:G1125"/>
    <mergeCell ref="B1122:B1123"/>
    <mergeCell ref="C1122:C1123"/>
    <mergeCell ref="E1122:E1123"/>
    <mergeCell ref="F1122:F1123"/>
    <mergeCell ref="G1122:G1123"/>
    <mergeCell ref="B1135:B1141"/>
    <mergeCell ref="C1135:C1141"/>
    <mergeCell ref="E1135:E1141"/>
    <mergeCell ref="F1135:F1141"/>
    <mergeCell ref="G1135:G1141"/>
    <mergeCell ref="B1126:B1134"/>
    <mergeCell ref="C1126:C1134"/>
    <mergeCell ref="E1126:E1134"/>
    <mergeCell ref="F1126:F1134"/>
    <mergeCell ref="G1126:G1134"/>
    <mergeCell ref="B1144:B1147"/>
    <mergeCell ref="C1144:C1147"/>
    <mergeCell ref="E1144:E1147"/>
    <mergeCell ref="F1144:F1147"/>
    <mergeCell ref="G1144:G1147"/>
    <mergeCell ref="B1142:B1143"/>
    <mergeCell ref="C1142:C1143"/>
    <mergeCell ref="E1142:E1143"/>
    <mergeCell ref="F1142:F1143"/>
    <mergeCell ref="G1142:G1143"/>
    <mergeCell ref="B1154:B1156"/>
    <mergeCell ref="C1154:C1156"/>
    <mergeCell ref="E1154:E1156"/>
    <mergeCell ref="F1154:F1156"/>
    <mergeCell ref="G1154:G1156"/>
    <mergeCell ref="B1148:B1150"/>
    <mergeCell ref="C1148:C1150"/>
    <mergeCell ref="E1148:E1150"/>
    <mergeCell ref="F1148:F1150"/>
    <mergeCell ref="G1148:G1150"/>
    <mergeCell ref="B1167:B1168"/>
    <mergeCell ref="C1167:C1168"/>
    <mergeCell ref="E1167:E1168"/>
    <mergeCell ref="F1167:F1168"/>
    <mergeCell ref="G1167:G1168"/>
    <mergeCell ref="B1158:B1164"/>
    <mergeCell ref="C1158:C1164"/>
    <mergeCell ref="E1158:E1164"/>
    <mergeCell ref="F1158:F1164"/>
    <mergeCell ref="G1158:G1164"/>
    <mergeCell ref="B1174:B1175"/>
    <mergeCell ref="C1174:C1175"/>
    <mergeCell ref="E1174:E1175"/>
    <mergeCell ref="F1174:F1175"/>
    <mergeCell ref="G1174:G1175"/>
    <mergeCell ref="B1169:B1173"/>
    <mergeCell ref="C1169:C1173"/>
    <mergeCell ref="E1169:E1173"/>
    <mergeCell ref="F1169:F1173"/>
    <mergeCell ref="G1169:G1173"/>
    <mergeCell ref="B1178:B1179"/>
    <mergeCell ref="C1178:C1179"/>
    <mergeCell ref="E1178:E1179"/>
    <mergeCell ref="F1178:F1179"/>
    <mergeCell ref="G1178:G1179"/>
    <mergeCell ref="B1176:B1177"/>
    <mergeCell ref="C1176:C1177"/>
    <mergeCell ref="E1176:E1177"/>
    <mergeCell ref="F1176:F1177"/>
    <mergeCell ref="G1176:G1177"/>
    <mergeCell ref="B1189:B1197"/>
    <mergeCell ref="C1189:C1197"/>
    <mergeCell ref="E1189:E1197"/>
    <mergeCell ref="F1189:F1197"/>
    <mergeCell ref="G1189:G1197"/>
    <mergeCell ref="B1186:B1187"/>
    <mergeCell ref="C1186:C1187"/>
    <mergeCell ref="E1186:E1187"/>
    <mergeCell ref="F1186:F1187"/>
    <mergeCell ref="G1186:G1187"/>
    <mergeCell ref="B1211:B1212"/>
    <mergeCell ref="C1211:C1212"/>
    <mergeCell ref="D1211:D1212"/>
    <mergeCell ref="E1211:E1212"/>
    <mergeCell ref="G1211:G1212"/>
    <mergeCell ref="B1207:B1210"/>
    <mergeCell ref="C1207:C1210"/>
    <mergeCell ref="E1207:E1210"/>
    <mergeCell ref="G1207:G1210"/>
    <mergeCell ref="B1222:B1223"/>
    <mergeCell ref="C1222:C1223"/>
    <mergeCell ref="E1222:E1223"/>
    <mergeCell ref="F1222:F1223"/>
    <mergeCell ref="G1222:G1223"/>
    <mergeCell ref="B1219:B1221"/>
    <mergeCell ref="C1219:C1221"/>
    <mergeCell ref="E1219:E1221"/>
    <mergeCell ref="F1219:F1221"/>
    <mergeCell ref="G1219:G1221"/>
    <mergeCell ref="B1234:B1235"/>
    <mergeCell ref="C1234:C1235"/>
    <mergeCell ref="E1234:E1235"/>
    <mergeCell ref="F1234:F1235"/>
    <mergeCell ref="G1234:G1235"/>
    <mergeCell ref="B1232:B1233"/>
    <mergeCell ref="C1232:C1233"/>
    <mergeCell ref="E1232:E1233"/>
    <mergeCell ref="F1232:F1233"/>
    <mergeCell ref="G1232:G1233"/>
    <mergeCell ref="B1241:B1242"/>
    <mergeCell ref="C1241:C1242"/>
    <mergeCell ref="E1241:E1242"/>
    <mergeCell ref="F1241:F1242"/>
    <mergeCell ref="G1241:G1242"/>
    <mergeCell ref="B1238:B1239"/>
    <mergeCell ref="C1238:C1239"/>
    <mergeCell ref="E1238:E1239"/>
    <mergeCell ref="F1238:F1239"/>
    <mergeCell ref="G1238:G1239"/>
    <mergeCell ref="B1245:B1246"/>
    <mergeCell ref="C1245:C1246"/>
    <mergeCell ref="E1245:E1246"/>
    <mergeCell ref="F1245:F1246"/>
    <mergeCell ref="G1245:G1246"/>
    <mergeCell ref="B1243:B1244"/>
    <mergeCell ref="C1243:C1244"/>
    <mergeCell ref="E1243:E1244"/>
    <mergeCell ref="F1243:F1244"/>
    <mergeCell ref="G1243:G1244"/>
    <mergeCell ref="B1266:B1271"/>
    <mergeCell ref="C1266:C1271"/>
    <mergeCell ref="E1266:E1271"/>
    <mergeCell ref="B1249:B1250"/>
    <mergeCell ref="C1249:C1250"/>
    <mergeCell ref="E1249:E1250"/>
    <mergeCell ref="F1249:F1250"/>
    <mergeCell ref="G1249:G1250"/>
    <mergeCell ref="G1266:G1271"/>
    <mergeCell ref="B1319:B1344"/>
    <mergeCell ref="C1319:C1344"/>
    <mergeCell ref="E1319:E1344"/>
    <mergeCell ref="B1345:B1361"/>
    <mergeCell ref="C1345:C1361"/>
    <mergeCell ref="E1345:E1361"/>
    <mergeCell ref="B1272:B1291"/>
    <mergeCell ref="C1272:C1291"/>
    <mergeCell ref="E1272:E1291"/>
    <mergeCell ref="B1292:B1318"/>
    <mergeCell ref="C1292:C1318"/>
    <mergeCell ref="E1292:E1318"/>
    <mergeCell ref="G1272:G1291"/>
    <mergeCell ref="G1292:G1318"/>
    <mergeCell ref="G1319:G1344"/>
    <mergeCell ref="G1345:G1361"/>
    <mergeCell ref="B1381:B1393"/>
    <mergeCell ref="C1381:C1393"/>
    <mergeCell ref="E1381:E1393"/>
    <mergeCell ref="B1394:B1425"/>
    <mergeCell ref="C1394:C1425"/>
    <mergeCell ref="E1394:E1425"/>
    <mergeCell ref="G1394:G1425"/>
    <mergeCell ref="B1362:B1371"/>
    <mergeCell ref="C1362:C1371"/>
    <mergeCell ref="E1362:E1371"/>
    <mergeCell ref="B1372:B1380"/>
    <mergeCell ref="C1372:C1380"/>
    <mergeCell ref="E1372:E1380"/>
    <mergeCell ref="G1362:G1371"/>
    <mergeCell ref="G1372:G1380"/>
    <mergeCell ref="G1381:G1393"/>
    <mergeCell ref="B1441:B1461"/>
    <mergeCell ref="C1441:C1461"/>
    <mergeCell ref="E1441:E1461"/>
    <mergeCell ref="B1462:B1471"/>
    <mergeCell ref="C1462:C1471"/>
    <mergeCell ref="E1462:E1471"/>
    <mergeCell ref="G1462:G1471"/>
    <mergeCell ref="B1426:B1440"/>
    <mergeCell ref="C1426:C1440"/>
    <mergeCell ref="E1426:E1440"/>
    <mergeCell ref="G1426:G1440"/>
    <mergeCell ref="G1441:G1461"/>
    <mergeCell ref="B1479:B1488"/>
    <mergeCell ref="C1479:C1488"/>
    <mergeCell ref="E1479:E1488"/>
    <mergeCell ref="B1489:B1503"/>
    <mergeCell ref="C1489:C1503"/>
    <mergeCell ref="E1489:E1503"/>
    <mergeCell ref="B1472:B1478"/>
    <mergeCell ref="C1472:C1478"/>
    <mergeCell ref="E1472:E1478"/>
    <mergeCell ref="G1472:G1478"/>
    <mergeCell ref="G1479:G1488"/>
    <mergeCell ref="G1489:G1503"/>
    <mergeCell ref="B1532:B1538"/>
    <mergeCell ref="C1532:C1538"/>
    <mergeCell ref="E1532:E1538"/>
    <mergeCell ref="B1539:B1541"/>
    <mergeCell ref="C1539:C1541"/>
    <mergeCell ref="F1539:F1541"/>
    <mergeCell ref="G1539:G1541"/>
    <mergeCell ref="B1504:B1515"/>
    <mergeCell ref="C1504:C1515"/>
    <mergeCell ref="E1504:E1515"/>
    <mergeCell ref="B1516:B1531"/>
    <mergeCell ref="C1516:C1531"/>
    <mergeCell ref="E1516:E1531"/>
    <mergeCell ref="G1504:G1515"/>
    <mergeCell ref="G1516:G1531"/>
    <mergeCell ref="E1539:E1541"/>
    <mergeCell ref="G1600:G1601"/>
    <mergeCell ref="B1600:B1601"/>
    <mergeCell ref="C1600:C1601"/>
    <mergeCell ref="D1600:D1601"/>
    <mergeCell ref="E1600:E1601"/>
    <mergeCell ref="F1600:F1601"/>
    <mergeCell ref="B1594:B1599"/>
    <mergeCell ref="C1594:C1599"/>
    <mergeCell ref="D1594:D1599"/>
    <mergeCell ref="E1594:E1599"/>
    <mergeCell ref="F1594:F1599"/>
    <mergeCell ref="G1594:G1599"/>
    <mergeCell ref="B1632:B1634"/>
    <mergeCell ref="C1632:C1634"/>
    <mergeCell ref="E1632:E1634"/>
    <mergeCell ref="G1632:G1634"/>
    <mergeCell ref="B1629:B1631"/>
    <mergeCell ref="C1629:C1631"/>
    <mergeCell ref="E1629:E1631"/>
    <mergeCell ref="G1629:G1631"/>
    <mergeCell ref="B1626:B1628"/>
    <mergeCell ref="C1626:C1628"/>
    <mergeCell ref="E1626:E1628"/>
    <mergeCell ref="G1626:G1628"/>
    <mergeCell ref="B1641:B1643"/>
    <mergeCell ref="C1641:C1643"/>
    <mergeCell ref="E1641:E1643"/>
    <mergeCell ref="G1641:G1643"/>
    <mergeCell ref="B1638:B1640"/>
    <mergeCell ref="C1638:C1640"/>
    <mergeCell ref="E1638:E1640"/>
    <mergeCell ref="G1638:G1640"/>
    <mergeCell ref="B1635:B1637"/>
    <mergeCell ref="C1635:C1637"/>
    <mergeCell ref="E1635:E1637"/>
    <mergeCell ref="G1635:G1637"/>
    <mergeCell ref="B1649:B1651"/>
    <mergeCell ref="C1649:C1651"/>
    <mergeCell ref="E1649:E1651"/>
    <mergeCell ref="G1649:G1651"/>
    <mergeCell ref="B1644:B1648"/>
    <mergeCell ref="C1644:C1648"/>
    <mergeCell ref="E1644:E1648"/>
    <mergeCell ref="G1644:G1648"/>
    <mergeCell ref="B1658:B1660"/>
    <mergeCell ref="C1658:C1660"/>
    <mergeCell ref="E1658:E1660"/>
    <mergeCell ref="G1658:G1660"/>
    <mergeCell ref="B1655:B1657"/>
    <mergeCell ref="C1655:C1657"/>
    <mergeCell ref="E1655:E1657"/>
    <mergeCell ref="G1655:G1657"/>
    <mergeCell ref="B1652:B1654"/>
    <mergeCell ref="C1652:C1654"/>
    <mergeCell ref="E1652:E1654"/>
    <mergeCell ref="G1652:G1654"/>
    <mergeCell ref="B1667:B1669"/>
    <mergeCell ref="C1667:C1669"/>
    <mergeCell ref="E1667:E1669"/>
    <mergeCell ref="G1667:G1669"/>
    <mergeCell ref="B1664:B1666"/>
    <mergeCell ref="C1664:C1666"/>
    <mergeCell ref="E1664:E1666"/>
    <mergeCell ref="G1664:G1666"/>
    <mergeCell ref="B1661:B1663"/>
    <mergeCell ref="C1661:C1663"/>
    <mergeCell ref="E1661:E1663"/>
    <mergeCell ref="G1661:G1663"/>
    <mergeCell ref="B1673:B1675"/>
    <mergeCell ref="C1673:C1675"/>
    <mergeCell ref="E1673:E1675"/>
    <mergeCell ref="G1673:G1675"/>
    <mergeCell ref="B1670:B1672"/>
    <mergeCell ref="C1670:C1672"/>
    <mergeCell ref="E1670:E1672"/>
    <mergeCell ref="G1670:G1672"/>
    <mergeCell ref="B1682:B1684"/>
    <mergeCell ref="C1682:C1684"/>
    <mergeCell ref="E1682:E1684"/>
    <mergeCell ref="G1682:G1684"/>
    <mergeCell ref="B1679:B1681"/>
    <mergeCell ref="C1679:C1681"/>
    <mergeCell ref="E1679:E1681"/>
    <mergeCell ref="G1679:G1681"/>
    <mergeCell ref="B1676:B1678"/>
    <mergeCell ref="C1676:C1678"/>
    <mergeCell ref="E1676:E1678"/>
    <mergeCell ref="G1676:G1678"/>
    <mergeCell ref="B1695:B1697"/>
    <mergeCell ref="C1695:C1697"/>
    <mergeCell ref="E1695:E1697"/>
    <mergeCell ref="G1695:G1697"/>
    <mergeCell ref="B1690:B1694"/>
    <mergeCell ref="C1690:C1694"/>
    <mergeCell ref="E1690:E1694"/>
    <mergeCell ref="G1690:G1694"/>
    <mergeCell ref="B1685:B1689"/>
    <mergeCell ref="C1685:C1689"/>
    <mergeCell ref="E1685:E1689"/>
    <mergeCell ref="G1685:G1689"/>
    <mergeCell ref="B1701:B1703"/>
    <mergeCell ref="C1701:C1703"/>
    <mergeCell ref="E1701:E1703"/>
    <mergeCell ref="G1701:G1703"/>
    <mergeCell ref="B1698:B1700"/>
    <mergeCell ref="C1698:C1700"/>
    <mergeCell ref="E1698:E1700"/>
    <mergeCell ref="G1698:G1700"/>
    <mergeCell ref="B1710:B1714"/>
    <mergeCell ref="C1710:C1714"/>
    <mergeCell ref="E1710:E1714"/>
    <mergeCell ref="G1710:G1714"/>
    <mergeCell ref="B1707:B1709"/>
    <mergeCell ref="C1707:C1709"/>
    <mergeCell ref="E1707:E1709"/>
    <mergeCell ref="G1707:G1709"/>
    <mergeCell ref="B1704:B1706"/>
    <mergeCell ref="C1704:C1706"/>
    <mergeCell ref="E1704:E1706"/>
    <mergeCell ref="G1704:G1706"/>
    <mergeCell ref="B1721:B1723"/>
    <mergeCell ref="C1721:C1723"/>
    <mergeCell ref="E1721:E1723"/>
    <mergeCell ref="G1721:G1723"/>
    <mergeCell ref="B1718:B1720"/>
    <mergeCell ref="C1718:C1720"/>
    <mergeCell ref="E1718:E1720"/>
    <mergeCell ref="G1718:G1720"/>
    <mergeCell ref="B1715:B1717"/>
    <mergeCell ref="C1715:C1717"/>
    <mergeCell ref="E1715:E1717"/>
    <mergeCell ref="G1715:G1717"/>
    <mergeCell ref="B1727:B1729"/>
    <mergeCell ref="C1727:C1729"/>
    <mergeCell ref="E1727:E1729"/>
    <mergeCell ref="G1727:G1729"/>
    <mergeCell ref="B1724:B1726"/>
    <mergeCell ref="C1724:C1726"/>
    <mergeCell ref="E1724:E1726"/>
    <mergeCell ref="G1724:G1726"/>
    <mergeCell ref="B1736:B1740"/>
    <mergeCell ref="C1736:C1740"/>
    <mergeCell ref="E1736:E1740"/>
    <mergeCell ref="G1736:G1740"/>
    <mergeCell ref="B1733:B1735"/>
    <mergeCell ref="C1733:C1735"/>
    <mergeCell ref="E1733:E1735"/>
    <mergeCell ref="G1733:G1735"/>
    <mergeCell ref="B1730:B1732"/>
    <mergeCell ref="C1730:C1732"/>
    <mergeCell ref="E1730:E1732"/>
    <mergeCell ref="G1730:G1732"/>
    <mergeCell ref="B1747:B1749"/>
    <mergeCell ref="C1747:C1749"/>
    <mergeCell ref="E1747:E1749"/>
    <mergeCell ref="G1747:G1749"/>
    <mergeCell ref="B1744:B1746"/>
    <mergeCell ref="C1744:C1746"/>
    <mergeCell ref="E1744:E1746"/>
    <mergeCell ref="G1744:G1746"/>
    <mergeCell ref="B1741:B1743"/>
    <mergeCell ref="C1741:C1743"/>
    <mergeCell ref="E1741:E1743"/>
    <mergeCell ref="G1741:G1743"/>
    <mergeCell ref="B1753:B1755"/>
    <mergeCell ref="C1753:C1755"/>
    <mergeCell ref="E1753:E1755"/>
    <mergeCell ref="G1753:G1755"/>
    <mergeCell ref="B1750:B1752"/>
    <mergeCell ref="C1750:C1752"/>
    <mergeCell ref="E1750:E1752"/>
    <mergeCell ref="G1750:G1752"/>
    <mergeCell ref="B1762:B1764"/>
    <mergeCell ref="C1762:C1764"/>
    <mergeCell ref="E1762:E1764"/>
    <mergeCell ref="G1762:G1764"/>
    <mergeCell ref="B1759:B1761"/>
    <mergeCell ref="C1759:C1761"/>
    <mergeCell ref="E1759:E1761"/>
    <mergeCell ref="G1759:G1761"/>
    <mergeCell ref="B1756:B1758"/>
    <mergeCell ref="C1756:C1758"/>
    <mergeCell ref="E1756:E1758"/>
    <mergeCell ref="G1756:G1758"/>
    <mergeCell ref="B1771:B1773"/>
    <mergeCell ref="C1771:C1773"/>
    <mergeCell ref="E1771:E1773"/>
    <mergeCell ref="G1771:G1773"/>
    <mergeCell ref="B1768:B1770"/>
    <mergeCell ref="C1768:C1770"/>
    <mergeCell ref="E1768:E1770"/>
    <mergeCell ref="G1768:G1770"/>
    <mergeCell ref="B1765:B1767"/>
    <mergeCell ref="C1765:C1767"/>
    <mergeCell ref="E1765:E1767"/>
    <mergeCell ref="G1765:G1767"/>
    <mergeCell ref="B1777:B1781"/>
    <mergeCell ref="C1777:C1781"/>
    <mergeCell ref="E1777:E1781"/>
    <mergeCell ref="F1777:F1781"/>
    <mergeCell ref="G1777:G1781"/>
    <mergeCell ref="B1774:B1776"/>
    <mergeCell ref="C1774:C1776"/>
    <mergeCell ref="E1774:E1776"/>
    <mergeCell ref="G1774:G1776"/>
    <mergeCell ref="B1787:B1791"/>
    <mergeCell ref="C1787:C1791"/>
    <mergeCell ref="E1787:E1791"/>
    <mergeCell ref="F1787:F1791"/>
    <mergeCell ref="G1787:G1791"/>
    <mergeCell ref="B1782:B1786"/>
    <mergeCell ref="C1782:C1786"/>
    <mergeCell ref="E1782:E1786"/>
    <mergeCell ref="F1782:F1786"/>
    <mergeCell ref="G1782:G1786"/>
    <mergeCell ref="B1799:B1801"/>
    <mergeCell ref="C1799:C1801"/>
    <mergeCell ref="E1799:E1801"/>
    <mergeCell ref="F1799:F1801"/>
    <mergeCell ref="G1799:G1801"/>
    <mergeCell ref="B1794:B1798"/>
    <mergeCell ref="C1794:C1798"/>
    <mergeCell ref="E1794:E1798"/>
    <mergeCell ref="F1794:F1798"/>
    <mergeCell ref="G1794:G1798"/>
    <mergeCell ref="B1805:B1806"/>
    <mergeCell ref="C1805:C1806"/>
    <mergeCell ref="D1805:D1806"/>
    <mergeCell ref="E1805:E1806"/>
    <mergeCell ref="F1805:F1806"/>
    <mergeCell ref="G1805:G1806"/>
    <mergeCell ref="B1802:B1804"/>
    <mergeCell ref="C1802:C1804"/>
    <mergeCell ref="D1802:D1804"/>
    <mergeCell ref="E1802:E1804"/>
    <mergeCell ref="F1802:F1804"/>
    <mergeCell ref="G1802:G1804"/>
    <mergeCell ref="B1810:B1811"/>
    <mergeCell ref="C1810:C1811"/>
    <mergeCell ref="D1810:D1811"/>
    <mergeCell ref="E1810:E1811"/>
    <mergeCell ref="G1810:G1811"/>
    <mergeCell ref="B1808:B1809"/>
    <mergeCell ref="C1808:C1809"/>
    <mergeCell ref="D1808:D1809"/>
    <mergeCell ref="E1808:E1809"/>
    <mergeCell ref="G1808:G1809"/>
    <mergeCell ref="B1814:B1815"/>
    <mergeCell ref="C1814:C1815"/>
    <mergeCell ref="D1814:D1815"/>
    <mergeCell ref="E1814:E1815"/>
    <mergeCell ref="G1814:G1815"/>
    <mergeCell ref="B1812:B1813"/>
    <mergeCell ref="C1812:C1813"/>
    <mergeCell ref="E1812:E1813"/>
    <mergeCell ref="G1812:G1813"/>
    <mergeCell ref="B1818:B1819"/>
    <mergeCell ref="C1818:C1819"/>
    <mergeCell ref="E1818:E1819"/>
    <mergeCell ref="G1818:G1819"/>
    <mergeCell ref="B1816:B1817"/>
    <mergeCell ref="C1816:C1817"/>
    <mergeCell ref="D1816:D1817"/>
    <mergeCell ref="E1816:E1817"/>
    <mergeCell ref="G1816:G1817"/>
    <mergeCell ref="B1822:B1823"/>
    <mergeCell ref="C1822:C1823"/>
    <mergeCell ref="E1822:E1823"/>
    <mergeCell ref="F1822:F1823"/>
    <mergeCell ref="G1822:G1823"/>
    <mergeCell ref="B1820:B1821"/>
    <mergeCell ref="C1820:C1821"/>
    <mergeCell ref="D1820:D1821"/>
    <mergeCell ref="E1820:E1821"/>
    <mergeCell ref="G1820:G1821"/>
    <mergeCell ref="B1830:B1831"/>
    <mergeCell ref="C1830:C1831"/>
    <mergeCell ref="D1830:D1831"/>
    <mergeCell ref="E1830:E1831"/>
    <mergeCell ref="F1830:F1831"/>
    <mergeCell ref="G1830:G1831"/>
    <mergeCell ref="B1826:B1827"/>
    <mergeCell ref="C1826:C1827"/>
    <mergeCell ref="E1826:E1827"/>
    <mergeCell ref="F1826:F1827"/>
    <mergeCell ref="G1826:G1827"/>
    <mergeCell ref="B1838:B1839"/>
    <mergeCell ref="C1838:C1839"/>
    <mergeCell ref="E1838:E1839"/>
    <mergeCell ref="F1838:F1839"/>
    <mergeCell ref="G1838:G1839"/>
    <mergeCell ref="B1836:B1837"/>
    <mergeCell ref="C1836:C1837"/>
    <mergeCell ref="E1836:E1837"/>
    <mergeCell ref="F1836:F1837"/>
    <mergeCell ref="G1836:G1837"/>
    <mergeCell ref="B1846:B1851"/>
    <mergeCell ref="C1846:C1851"/>
    <mergeCell ref="E1846:E1851"/>
    <mergeCell ref="F1846:F1851"/>
    <mergeCell ref="G1846:G1851"/>
    <mergeCell ref="B1841:B1843"/>
    <mergeCell ref="C1841:C1843"/>
    <mergeCell ref="E1841:E1843"/>
    <mergeCell ref="F1841:F1843"/>
    <mergeCell ref="G1841:G1843"/>
    <mergeCell ref="B1854:B1855"/>
    <mergeCell ref="C1854:C1855"/>
    <mergeCell ref="E1854:E1855"/>
    <mergeCell ref="F1854:F1855"/>
    <mergeCell ref="G1854:G1855"/>
    <mergeCell ref="B1852:B1853"/>
    <mergeCell ref="C1852:C1853"/>
    <mergeCell ref="D1852:D1853"/>
    <mergeCell ref="E1852:E1853"/>
    <mergeCell ref="F1852:F1853"/>
    <mergeCell ref="G1852:G1853"/>
    <mergeCell ref="B1859:B1862"/>
    <mergeCell ref="C1859:C1862"/>
    <mergeCell ref="E1859:E1862"/>
    <mergeCell ref="F1859:F1862"/>
    <mergeCell ref="G1859:G1862"/>
    <mergeCell ref="B1856:B1858"/>
    <mergeCell ref="C1856:C1858"/>
    <mergeCell ref="E1856:E1858"/>
    <mergeCell ref="F1856:F1858"/>
    <mergeCell ref="G1856:G1858"/>
    <mergeCell ref="B1865:B1867"/>
    <mergeCell ref="C1865:C1867"/>
    <mergeCell ref="E1865:E1867"/>
    <mergeCell ref="F1865:F1867"/>
    <mergeCell ref="B1863:B1864"/>
    <mergeCell ref="C1863:C1864"/>
    <mergeCell ref="E1863:E1864"/>
    <mergeCell ref="F1863:F1864"/>
    <mergeCell ref="G1863:G1864"/>
    <mergeCell ref="B1876:B1878"/>
    <mergeCell ref="C1876:C1878"/>
    <mergeCell ref="E1876:E1878"/>
    <mergeCell ref="F1876:F1878"/>
    <mergeCell ref="G1876:G1878"/>
    <mergeCell ref="B1874:B1875"/>
    <mergeCell ref="C1874:C1875"/>
    <mergeCell ref="D1874:D1875"/>
    <mergeCell ref="E1874:E1875"/>
    <mergeCell ref="F1874:F1875"/>
    <mergeCell ref="G1874:G1875"/>
    <mergeCell ref="B1869:B1870"/>
    <mergeCell ref="C1869:C1870"/>
    <mergeCell ref="D1869:D1870"/>
    <mergeCell ref="E1869:E1870"/>
    <mergeCell ref="F1869:F1870"/>
    <mergeCell ref="B1883:B1884"/>
    <mergeCell ref="C1883:C1884"/>
    <mergeCell ref="D1883:D1884"/>
    <mergeCell ref="E1883:E1884"/>
    <mergeCell ref="F1883:F1884"/>
    <mergeCell ref="B1881:B1882"/>
    <mergeCell ref="C1881:C1882"/>
    <mergeCell ref="D1881:D1882"/>
    <mergeCell ref="E1881:E1882"/>
    <mergeCell ref="F1881:F1882"/>
    <mergeCell ref="G1881:G1882"/>
    <mergeCell ref="B1891:B1892"/>
    <mergeCell ref="C1891:C1892"/>
    <mergeCell ref="D1891:D1892"/>
    <mergeCell ref="E1891:E1892"/>
    <mergeCell ref="F1891:F1892"/>
    <mergeCell ref="G1891:G1892"/>
    <mergeCell ref="B1889:B1890"/>
    <mergeCell ref="C1889:C1890"/>
    <mergeCell ref="E1889:E1890"/>
    <mergeCell ref="F1889:F1890"/>
    <mergeCell ref="G1889:G1890"/>
    <mergeCell ref="B1887:B1888"/>
    <mergeCell ref="C1887:C1888"/>
    <mergeCell ref="E1887:E1888"/>
    <mergeCell ref="F1887:F1888"/>
    <mergeCell ref="G1887:G1888"/>
    <mergeCell ref="B1898:B1899"/>
    <mergeCell ref="C1898:C1899"/>
    <mergeCell ref="D1898:D1899"/>
    <mergeCell ref="E1898:E1899"/>
    <mergeCell ref="F1898:F1899"/>
    <mergeCell ref="B1894:B1896"/>
    <mergeCell ref="C1894:C1896"/>
    <mergeCell ref="E1894:E1896"/>
    <mergeCell ref="F1894:F1896"/>
    <mergeCell ref="G1894:G1896"/>
    <mergeCell ref="B1905:B1906"/>
    <mergeCell ref="C1905:C1906"/>
    <mergeCell ref="E1905:E1906"/>
    <mergeCell ref="F1905:F1906"/>
    <mergeCell ref="G1905:G1906"/>
    <mergeCell ref="B1900:B1903"/>
    <mergeCell ref="C1900:C1903"/>
    <mergeCell ref="E1900:E1903"/>
    <mergeCell ref="F1900:F1903"/>
    <mergeCell ref="G1900:G1903"/>
    <mergeCell ref="G1898:G1899"/>
    <mergeCell ref="B1909:B1910"/>
    <mergeCell ref="C1909:C1910"/>
    <mergeCell ref="E1909:E1910"/>
    <mergeCell ref="F1909:F1910"/>
    <mergeCell ref="G1909:G1910"/>
    <mergeCell ref="B1907:B1908"/>
    <mergeCell ref="C1907:C1908"/>
    <mergeCell ref="D1907:D1908"/>
    <mergeCell ref="E1907:E1908"/>
    <mergeCell ref="F1907:F1908"/>
    <mergeCell ref="G1907:G1908"/>
    <mergeCell ref="B1918:B1922"/>
    <mergeCell ref="C1918:C1922"/>
    <mergeCell ref="E1918:E1922"/>
    <mergeCell ref="F1918:F1922"/>
    <mergeCell ref="G1912:G1915"/>
    <mergeCell ref="B1912:B1915"/>
    <mergeCell ref="C1912:C1915"/>
    <mergeCell ref="D1912:D1915"/>
    <mergeCell ref="E1912:E1915"/>
    <mergeCell ref="F1912:F1915"/>
    <mergeCell ref="B1927:B1928"/>
    <mergeCell ref="C1927:C1928"/>
    <mergeCell ref="D1927:D1928"/>
    <mergeCell ref="E1927:E1928"/>
    <mergeCell ref="F1927:F1928"/>
    <mergeCell ref="G1927:G1928"/>
    <mergeCell ref="B1925:B1926"/>
    <mergeCell ref="C1925:C1926"/>
    <mergeCell ref="E1925:E1926"/>
    <mergeCell ref="F1925:F1926"/>
    <mergeCell ref="G1925:G1926"/>
    <mergeCell ref="B1923:B1924"/>
    <mergeCell ref="C1923:C1924"/>
    <mergeCell ref="D1923:D1924"/>
    <mergeCell ref="E1923:E1924"/>
    <mergeCell ref="F1923:F1924"/>
    <mergeCell ref="B1935:B1937"/>
    <mergeCell ref="C1935:C1937"/>
    <mergeCell ref="E1935:E1937"/>
    <mergeCell ref="F1935:F1937"/>
    <mergeCell ref="G1935:G1937"/>
    <mergeCell ref="B1933:B1934"/>
    <mergeCell ref="C1933:C1934"/>
    <mergeCell ref="D1933:D1934"/>
    <mergeCell ref="E1933:E1934"/>
    <mergeCell ref="F1933:F1934"/>
    <mergeCell ref="G1933:G1934"/>
    <mergeCell ref="B1930:B1932"/>
    <mergeCell ref="C1930:C1932"/>
    <mergeCell ref="E1930:E1932"/>
    <mergeCell ref="F1930:F1932"/>
    <mergeCell ref="B1940:B1941"/>
    <mergeCell ref="C1940:C1941"/>
    <mergeCell ref="D1940:D1941"/>
    <mergeCell ref="E1940:E1941"/>
    <mergeCell ref="F1940:F1941"/>
    <mergeCell ref="B1938:B1939"/>
    <mergeCell ref="C1938:C1939"/>
    <mergeCell ref="E1938:E1939"/>
    <mergeCell ref="F1938:F1939"/>
    <mergeCell ref="B1954:B1955"/>
    <mergeCell ref="C1954:C1955"/>
    <mergeCell ref="E1954:E1955"/>
    <mergeCell ref="G1954:G1955"/>
    <mergeCell ref="B1950:B1953"/>
    <mergeCell ref="C1950:C1953"/>
    <mergeCell ref="E1950:E1953"/>
    <mergeCell ref="G1950:G1953"/>
    <mergeCell ref="B1944:B1949"/>
    <mergeCell ref="C1944:C1949"/>
    <mergeCell ref="E1944:E1949"/>
    <mergeCell ref="G1944:G1949"/>
    <mergeCell ref="B1942:B1943"/>
    <mergeCell ref="C1942:C1943"/>
    <mergeCell ref="D1942:D1943"/>
    <mergeCell ref="E1942:E1943"/>
    <mergeCell ref="F1942:F1943"/>
    <mergeCell ref="B1958:B1960"/>
    <mergeCell ref="C1958:C1960"/>
    <mergeCell ref="E1958:E1960"/>
    <mergeCell ref="G1958:G1960"/>
    <mergeCell ref="B1956:B1957"/>
    <mergeCell ref="C1956:C1957"/>
    <mergeCell ref="E1956:E1957"/>
    <mergeCell ref="G1956:G1957"/>
    <mergeCell ref="B1966:B1967"/>
    <mergeCell ref="C1966:C1967"/>
    <mergeCell ref="D1966:D1967"/>
    <mergeCell ref="E1966:E1967"/>
    <mergeCell ref="G1966:G1967"/>
    <mergeCell ref="B1964:B1965"/>
    <mergeCell ref="C1964:C1965"/>
    <mergeCell ref="D1964:D1965"/>
    <mergeCell ref="E1964:E1965"/>
    <mergeCell ref="G1964:G1965"/>
    <mergeCell ref="B1961:B1963"/>
    <mergeCell ref="C1961:C1963"/>
    <mergeCell ref="E1961:E1963"/>
    <mergeCell ref="G1961:G1963"/>
    <mergeCell ref="B1970:B1973"/>
    <mergeCell ref="C1970:C1973"/>
    <mergeCell ref="D1970:D1973"/>
    <mergeCell ref="E1970:E1973"/>
    <mergeCell ref="G1970:G1973"/>
    <mergeCell ref="B1968:B1969"/>
    <mergeCell ref="C1968:C1969"/>
    <mergeCell ref="D1968:D1969"/>
    <mergeCell ref="E1968:E1969"/>
    <mergeCell ref="G1968:G1969"/>
    <mergeCell ref="B1976:B1977"/>
    <mergeCell ref="C1976:C1977"/>
    <mergeCell ref="E1976:E1977"/>
    <mergeCell ref="G1976:G1977"/>
    <mergeCell ref="B1974:B1975"/>
    <mergeCell ref="C1974:C1975"/>
    <mergeCell ref="E1974:E1975"/>
    <mergeCell ref="G1974:G1975"/>
    <mergeCell ref="B1982:B1983"/>
    <mergeCell ref="C1982:C1983"/>
    <mergeCell ref="E1982:E1983"/>
    <mergeCell ref="G1982:G1983"/>
    <mergeCell ref="B1980:B1981"/>
    <mergeCell ref="C1980:C1981"/>
    <mergeCell ref="E1980:E1981"/>
    <mergeCell ref="G1980:G1981"/>
    <mergeCell ref="B1978:B1979"/>
    <mergeCell ref="C1978:C1979"/>
    <mergeCell ref="E1978:E1979"/>
    <mergeCell ref="G1978:G1979"/>
    <mergeCell ref="B1997:B1998"/>
    <mergeCell ref="C1997:C1998"/>
    <mergeCell ref="E1997:E1998"/>
    <mergeCell ref="F1997:F1998"/>
    <mergeCell ref="G1997:G1998"/>
    <mergeCell ref="B1984:B1987"/>
    <mergeCell ref="C1984:C1987"/>
    <mergeCell ref="E1984:E1987"/>
    <mergeCell ref="G1984:G1987"/>
    <mergeCell ref="B2005:B2007"/>
    <mergeCell ref="C2005:C2007"/>
    <mergeCell ref="D2005:D2007"/>
    <mergeCell ref="E2005:E2007"/>
    <mergeCell ref="B2001:B2004"/>
    <mergeCell ref="C2001:C2004"/>
    <mergeCell ref="E2001:E2004"/>
    <mergeCell ref="F2001:F2004"/>
    <mergeCell ref="G2001:G2004"/>
    <mergeCell ref="B2017:B2022"/>
    <mergeCell ref="C2017:C2022"/>
    <mergeCell ref="E2017:E2022"/>
    <mergeCell ref="B2011:B2016"/>
    <mergeCell ref="C2011:C2016"/>
    <mergeCell ref="D2011:D2016"/>
    <mergeCell ref="E2011:E2016"/>
    <mergeCell ref="G2011:G2016"/>
    <mergeCell ref="B2008:B2010"/>
    <mergeCell ref="C2008:C2010"/>
    <mergeCell ref="E2008:E2010"/>
    <mergeCell ref="G2008:G2010"/>
    <mergeCell ref="B2030:B2034"/>
    <mergeCell ref="C2030:C2034"/>
    <mergeCell ref="D2030:D2034"/>
    <mergeCell ref="E2030:E2034"/>
    <mergeCell ref="G2030:G2034"/>
    <mergeCell ref="B2027:B2029"/>
    <mergeCell ref="C2027:C2029"/>
    <mergeCell ref="D2027:D2029"/>
    <mergeCell ref="E2027:E2029"/>
    <mergeCell ref="G2027:G2029"/>
    <mergeCell ref="B2023:B2026"/>
    <mergeCell ref="C2023:C2026"/>
    <mergeCell ref="E2023:E2026"/>
    <mergeCell ref="G2023:G2026"/>
    <mergeCell ref="B2040:B2043"/>
    <mergeCell ref="C2040:C2043"/>
    <mergeCell ref="E2040:E2043"/>
    <mergeCell ref="G2040:G2043"/>
    <mergeCell ref="B2035:B2039"/>
    <mergeCell ref="C2035:C2039"/>
    <mergeCell ref="E2035:E2039"/>
    <mergeCell ref="G2035:G2039"/>
    <mergeCell ref="B2053:B2055"/>
    <mergeCell ref="C2053:C2055"/>
    <mergeCell ref="D2053:D2055"/>
    <mergeCell ref="E2053:E2055"/>
    <mergeCell ref="G2053:G2055"/>
    <mergeCell ref="B2048:B2052"/>
    <mergeCell ref="C2048:C2052"/>
    <mergeCell ref="E2048:E2052"/>
    <mergeCell ref="F2048:F2052"/>
    <mergeCell ref="G2048:G2052"/>
    <mergeCell ref="B2044:B2047"/>
    <mergeCell ref="C2044:C2047"/>
    <mergeCell ref="E2044:E2047"/>
    <mergeCell ref="G2044:G2047"/>
    <mergeCell ref="B2090:B2097"/>
    <mergeCell ref="C2090:C2097"/>
    <mergeCell ref="E2090:E2097"/>
    <mergeCell ref="F2090:F2097"/>
    <mergeCell ref="G2090:G2097"/>
    <mergeCell ref="B2081:B2089"/>
    <mergeCell ref="C2081:C2089"/>
    <mergeCell ref="E2081:E2089"/>
    <mergeCell ref="F2081:F2089"/>
    <mergeCell ref="G2081:G2089"/>
    <mergeCell ref="B2100:B2101"/>
    <mergeCell ref="C2100:C2101"/>
    <mergeCell ref="E2100:E2101"/>
    <mergeCell ref="F2100:F2101"/>
    <mergeCell ref="G2100:G2101"/>
    <mergeCell ref="B2098:B2099"/>
    <mergeCell ref="C2098:C2099"/>
    <mergeCell ref="E2098:E2099"/>
    <mergeCell ref="F2098:F2099"/>
    <mergeCell ref="G2098:G2099"/>
    <mergeCell ref="B2104:B2105"/>
    <mergeCell ref="C2104:C2105"/>
    <mergeCell ref="D2104:D2105"/>
    <mergeCell ref="E2104:E2105"/>
    <mergeCell ref="G2104:G2105"/>
    <mergeCell ref="B2102:B2103"/>
    <mergeCell ref="C2102:C2103"/>
    <mergeCell ref="D2102:D2103"/>
    <mergeCell ref="E2102:E2103"/>
    <mergeCell ref="G2102:G2103"/>
    <mergeCell ref="B2110:B2111"/>
    <mergeCell ref="C2110:C2111"/>
    <mergeCell ref="D2110:D2111"/>
    <mergeCell ref="E2110:E2111"/>
    <mergeCell ref="G2110:G2111"/>
    <mergeCell ref="B2107:B2109"/>
    <mergeCell ref="C2107:C2109"/>
    <mergeCell ref="D2107:D2109"/>
    <mergeCell ref="E2107:E2109"/>
    <mergeCell ref="G2107:G2109"/>
    <mergeCell ref="B2114:B2115"/>
    <mergeCell ref="C2114:C2115"/>
    <mergeCell ref="D2114:D2115"/>
    <mergeCell ref="E2114:E2115"/>
    <mergeCell ref="G2114:G2115"/>
    <mergeCell ref="B2112:B2113"/>
    <mergeCell ref="C2112:C2113"/>
    <mergeCell ref="D2112:D2113"/>
    <mergeCell ref="E2112:E2113"/>
    <mergeCell ref="G2112:G2113"/>
    <mergeCell ref="B2122:B2123"/>
    <mergeCell ref="C2122:C2123"/>
    <mergeCell ref="D2122:D2123"/>
    <mergeCell ref="E2122:E2123"/>
    <mergeCell ref="G2122:G2123"/>
    <mergeCell ref="B2117:B2121"/>
    <mergeCell ref="C2117:C2121"/>
    <mergeCell ref="D2117:D2121"/>
    <mergeCell ref="E2117:E2121"/>
    <mergeCell ref="G2117:G2121"/>
    <mergeCell ref="B2132:B2133"/>
    <mergeCell ref="C2132:C2133"/>
    <mergeCell ref="D2132:D2133"/>
    <mergeCell ref="E2132:E2133"/>
    <mergeCell ref="G2132:G2133"/>
    <mergeCell ref="B2125:B2130"/>
    <mergeCell ref="C2125:C2130"/>
    <mergeCell ref="E2125:E2130"/>
    <mergeCell ref="G2125:G2130"/>
    <mergeCell ref="B2464:B2465"/>
    <mergeCell ref="C2464:C2465"/>
    <mergeCell ref="D2464:D2465"/>
    <mergeCell ref="E2464:E2465"/>
    <mergeCell ref="F2464:F2465"/>
    <mergeCell ref="G2464:G2465"/>
    <mergeCell ref="B2134:B2135"/>
    <mergeCell ref="C2134:C2135"/>
    <mergeCell ref="D2134:D2135"/>
    <mergeCell ref="E2134:E2135"/>
    <mergeCell ref="G2134:G2135"/>
    <mergeCell ref="B2468:B2469"/>
    <mergeCell ref="C2468:C2469"/>
    <mergeCell ref="D2468:D2469"/>
    <mergeCell ref="E2468:E2469"/>
    <mergeCell ref="F2468:F2469"/>
    <mergeCell ref="B2466:B2467"/>
    <mergeCell ref="C2466:C2467"/>
    <mergeCell ref="D2466:D2467"/>
    <mergeCell ref="E2466:E2467"/>
    <mergeCell ref="F2466:F2467"/>
    <mergeCell ref="G2466:G2467"/>
    <mergeCell ref="B2476:B2477"/>
    <mergeCell ref="C2476:C2477"/>
    <mergeCell ref="D2476:D2477"/>
    <mergeCell ref="E2476:E2477"/>
    <mergeCell ref="F2476:F2477"/>
    <mergeCell ref="B2473:B2474"/>
    <mergeCell ref="C2473:C2474"/>
    <mergeCell ref="D2473:D2474"/>
    <mergeCell ref="E2473:E2474"/>
    <mergeCell ref="F2473:F2474"/>
    <mergeCell ref="G2473:G2474"/>
    <mergeCell ref="G2468:G2469"/>
    <mergeCell ref="B2485:B2486"/>
    <mergeCell ref="C2485:C2486"/>
    <mergeCell ref="D2485:D2486"/>
    <mergeCell ref="E2485:E2486"/>
    <mergeCell ref="F2485:F2486"/>
    <mergeCell ref="G2485:G2486"/>
    <mergeCell ref="B2478:B2484"/>
    <mergeCell ref="C2478:C2484"/>
    <mergeCell ref="E2478:E2484"/>
    <mergeCell ref="F2478:F2484"/>
    <mergeCell ref="G2478:G2484"/>
    <mergeCell ref="G2476:G2477"/>
    <mergeCell ref="G2498:G2499"/>
    <mergeCell ref="B2498:B2499"/>
    <mergeCell ref="C2498:C2499"/>
    <mergeCell ref="D2498:D2499"/>
    <mergeCell ref="E2498:E2499"/>
    <mergeCell ref="F2498:F2499"/>
    <mergeCell ref="B2487:B2497"/>
    <mergeCell ref="C2487:C2497"/>
    <mergeCell ref="E2487:E2497"/>
    <mergeCell ref="F2487:F2497"/>
    <mergeCell ref="G2487:G2497"/>
    <mergeCell ref="B2509:B2516"/>
    <mergeCell ref="C2509:C2516"/>
    <mergeCell ref="D2509:D2516"/>
    <mergeCell ref="E2509:E2516"/>
    <mergeCell ref="F2509:F2516"/>
    <mergeCell ref="G2509:G2516"/>
    <mergeCell ref="B2504:B2508"/>
    <mergeCell ref="C2504:C2508"/>
    <mergeCell ref="E2504:E2508"/>
    <mergeCell ref="F2504:F2508"/>
    <mergeCell ref="G2504:G2508"/>
    <mergeCell ref="B2500:B2503"/>
    <mergeCell ref="C2500:C2503"/>
    <mergeCell ref="E2500:E2503"/>
    <mergeCell ref="G2500:G2503"/>
  </mergeCells>
  <pageMargins left="0.7" right="0.7" top="0.75" bottom="0.75" header="0.3" footer="0.3"/>
  <pageSetup paperSize="143" scale="6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259"/>
  <sheetViews>
    <sheetView showGridLines="0" tabSelected="1" zoomScale="60" zoomScaleNormal="60" workbookViewId="0">
      <selection activeCell="B11" sqref="B11:F11"/>
    </sheetView>
  </sheetViews>
  <sheetFormatPr baseColWidth="10" defaultColWidth="9.140625" defaultRowHeight="65.25" customHeight="1" x14ac:dyDescent="0.2"/>
  <cols>
    <col min="1" max="1" width="9.42578125" style="315" customWidth="1"/>
    <col min="2" max="2" width="16.140625" style="238" customWidth="1"/>
    <col min="3" max="3" width="62.140625" style="238" customWidth="1"/>
    <col min="4" max="4" width="85.140625" style="239" customWidth="1"/>
    <col min="5" max="5" width="31.7109375" style="239" hidden="1" customWidth="1"/>
    <col min="6" max="6" width="31.7109375" style="240" customWidth="1"/>
    <col min="7" max="7" width="18.7109375" style="238" hidden="1" customWidth="1"/>
    <col min="8" max="251" width="9.140625" style="238"/>
    <col min="252" max="252" width="50.42578125" style="238" customWidth="1"/>
    <col min="253" max="253" width="33.28515625" style="238" customWidth="1"/>
    <col min="254" max="254" width="31.42578125" style="238" customWidth="1"/>
    <col min="255" max="256" width="28.7109375" style="238" customWidth="1"/>
    <col min="257" max="257" width="35.140625" style="238" customWidth="1"/>
    <col min="258" max="258" width="28.7109375" style="238" customWidth="1"/>
    <col min="259" max="507" width="9.140625" style="238"/>
    <col min="508" max="508" width="50.42578125" style="238" customWidth="1"/>
    <col min="509" max="509" width="33.28515625" style="238" customWidth="1"/>
    <col min="510" max="510" width="31.42578125" style="238" customWidth="1"/>
    <col min="511" max="512" width="28.7109375" style="238" customWidth="1"/>
    <col min="513" max="513" width="35.140625" style="238" customWidth="1"/>
    <col min="514" max="514" width="28.7109375" style="238" customWidth="1"/>
    <col min="515" max="763" width="9.140625" style="238"/>
    <col min="764" max="764" width="50.42578125" style="238" customWidth="1"/>
    <col min="765" max="765" width="33.28515625" style="238" customWidth="1"/>
    <col min="766" max="766" width="31.42578125" style="238" customWidth="1"/>
    <col min="767" max="768" width="28.7109375" style="238" customWidth="1"/>
    <col min="769" max="769" width="35.140625" style="238" customWidth="1"/>
    <col min="770" max="770" width="28.7109375" style="238" customWidth="1"/>
    <col min="771" max="1019" width="9.140625" style="238"/>
    <col min="1020" max="1020" width="50.42578125" style="238" customWidth="1"/>
    <col min="1021" max="1021" width="33.28515625" style="238" customWidth="1"/>
    <col min="1022" max="1022" width="31.42578125" style="238" customWidth="1"/>
    <col min="1023" max="1024" width="28.7109375" style="238" customWidth="1"/>
    <col min="1025" max="1025" width="35.140625" style="238" customWidth="1"/>
    <col min="1026" max="1026" width="28.7109375" style="238" customWidth="1"/>
    <col min="1027" max="1275" width="9.140625" style="238"/>
    <col min="1276" max="1276" width="50.42578125" style="238" customWidth="1"/>
    <col min="1277" max="1277" width="33.28515625" style="238" customWidth="1"/>
    <col min="1278" max="1278" width="31.42578125" style="238" customWidth="1"/>
    <col min="1279" max="1280" width="28.7109375" style="238" customWidth="1"/>
    <col min="1281" max="1281" width="35.140625" style="238" customWidth="1"/>
    <col min="1282" max="1282" width="28.7109375" style="238" customWidth="1"/>
    <col min="1283" max="1531" width="9.140625" style="238"/>
    <col min="1532" max="1532" width="50.42578125" style="238" customWidth="1"/>
    <col min="1533" max="1533" width="33.28515625" style="238" customWidth="1"/>
    <col min="1534" max="1534" width="31.42578125" style="238" customWidth="1"/>
    <col min="1535" max="1536" width="28.7109375" style="238" customWidth="1"/>
    <col min="1537" max="1537" width="35.140625" style="238" customWidth="1"/>
    <col min="1538" max="1538" width="28.7109375" style="238" customWidth="1"/>
    <col min="1539" max="1787" width="9.140625" style="238"/>
    <col min="1788" max="1788" width="50.42578125" style="238" customWidth="1"/>
    <col min="1789" max="1789" width="33.28515625" style="238" customWidth="1"/>
    <col min="1790" max="1790" width="31.42578125" style="238" customWidth="1"/>
    <col min="1791" max="1792" width="28.7109375" style="238" customWidth="1"/>
    <col min="1793" max="1793" width="35.140625" style="238" customWidth="1"/>
    <col min="1794" max="1794" width="28.7109375" style="238" customWidth="1"/>
    <col min="1795" max="2043" width="9.140625" style="238"/>
    <col min="2044" max="2044" width="50.42578125" style="238" customWidth="1"/>
    <col min="2045" max="2045" width="33.28515625" style="238" customWidth="1"/>
    <col min="2046" max="2046" width="31.42578125" style="238" customWidth="1"/>
    <col min="2047" max="2048" width="28.7109375" style="238" customWidth="1"/>
    <col min="2049" max="2049" width="35.140625" style="238" customWidth="1"/>
    <col min="2050" max="2050" width="28.7109375" style="238" customWidth="1"/>
    <col min="2051" max="2299" width="9.140625" style="238"/>
    <col min="2300" max="2300" width="50.42578125" style="238" customWidth="1"/>
    <col min="2301" max="2301" width="33.28515625" style="238" customWidth="1"/>
    <col min="2302" max="2302" width="31.42578125" style="238" customWidth="1"/>
    <col min="2303" max="2304" width="28.7109375" style="238" customWidth="1"/>
    <col min="2305" max="2305" width="35.140625" style="238" customWidth="1"/>
    <col min="2306" max="2306" width="28.7109375" style="238" customWidth="1"/>
    <col min="2307" max="2555" width="9.140625" style="238"/>
    <col min="2556" max="2556" width="50.42578125" style="238" customWidth="1"/>
    <col min="2557" max="2557" width="33.28515625" style="238" customWidth="1"/>
    <col min="2558" max="2558" width="31.42578125" style="238" customWidth="1"/>
    <col min="2559" max="2560" width="28.7109375" style="238" customWidth="1"/>
    <col min="2561" max="2561" width="35.140625" style="238" customWidth="1"/>
    <col min="2562" max="2562" width="28.7109375" style="238" customWidth="1"/>
    <col min="2563" max="2811" width="9.140625" style="238"/>
    <col min="2812" max="2812" width="50.42578125" style="238" customWidth="1"/>
    <col min="2813" max="2813" width="33.28515625" style="238" customWidth="1"/>
    <col min="2814" max="2814" width="31.42578125" style="238" customWidth="1"/>
    <col min="2815" max="2816" width="28.7109375" style="238" customWidth="1"/>
    <col min="2817" max="2817" width="35.140625" style="238" customWidth="1"/>
    <col min="2818" max="2818" width="28.7109375" style="238" customWidth="1"/>
    <col min="2819" max="3067" width="9.140625" style="238"/>
    <col min="3068" max="3068" width="50.42578125" style="238" customWidth="1"/>
    <col min="3069" max="3069" width="33.28515625" style="238" customWidth="1"/>
    <col min="3070" max="3070" width="31.42578125" style="238" customWidth="1"/>
    <col min="3071" max="3072" width="28.7109375" style="238" customWidth="1"/>
    <col min="3073" max="3073" width="35.140625" style="238" customWidth="1"/>
    <col min="3074" max="3074" width="28.7109375" style="238" customWidth="1"/>
    <col min="3075" max="3323" width="9.140625" style="238"/>
    <col min="3324" max="3324" width="50.42578125" style="238" customWidth="1"/>
    <col min="3325" max="3325" width="33.28515625" style="238" customWidth="1"/>
    <col min="3326" max="3326" width="31.42578125" style="238" customWidth="1"/>
    <col min="3327" max="3328" width="28.7109375" style="238" customWidth="1"/>
    <col min="3329" max="3329" width="35.140625" style="238" customWidth="1"/>
    <col min="3330" max="3330" width="28.7109375" style="238" customWidth="1"/>
    <col min="3331" max="3579" width="9.140625" style="238"/>
    <col min="3580" max="3580" width="50.42578125" style="238" customWidth="1"/>
    <col min="3581" max="3581" width="33.28515625" style="238" customWidth="1"/>
    <col min="3582" max="3582" width="31.42578125" style="238" customWidth="1"/>
    <col min="3583" max="3584" width="28.7109375" style="238" customWidth="1"/>
    <col min="3585" max="3585" width="35.140625" style="238" customWidth="1"/>
    <col min="3586" max="3586" width="28.7109375" style="238" customWidth="1"/>
    <col min="3587" max="3835" width="9.140625" style="238"/>
    <col min="3836" max="3836" width="50.42578125" style="238" customWidth="1"/>
    <col min="3837" max="3837" width="33.28515625" style="238" customWidth="1"/>
    <col min="3838" max="3838" width="31.42578125" style="238" customWidth="1"/>
    <col min="3839" max="3840" width="28.7109375" style="238" customWidth="1"/>
    <col min="3841" max="3841" width="35.140625" style="238" customWidth="1"/>
    <col min="3842" max="3842" width="28.7109375" style="238" customWidth="1"/>
    <col min="3843" max="4091" width="9.140625" style="238"/>
    <col min="4092" max="4092" width="50.42578125" style="238" customWidth="1"/>
    <col min="4093" max="4093" width="33.28515625" style="238" customWidth="1"/>
    <col min="4094" max="4094" width="31.42578125" style="238" customWidth="1"/>
    <col min="4095" max="4096" width="28.7109375" style="238" customWidth="1"/>
    <col min="4097" max="4097" width="35.140625" style="238" customWidth="1"/>
    <col min="4098" max="4098" width="28.7109375" style="238" customWidth="1"/>
    <col min="4099" max="4347" width="9.140625" style="238"/>
    <col min="4348" max="4348" width="50.42578125" style="238" customWidth="1"/>
    <col min="4349" max="4349" width="33.28515625" style="238" customWidth="1"/>
    <col min="4350" max="4350" width="31.42578125" style="238" customWidth="1"/>
    <col min="4351" max="4352" width="28.7109375" style="238" customWidth="1"/>
    <col min="4353" max="4353" width="35.140625" style="238" customWidth="1"/>
    <col min="4354" max="4354" width="28.7109375" style="238" customWidth="1"/>
    <col min="4355" max="4603" width="9.140625" style="238"/>
    <col min="4604" max="4604" width="50.42578125" style="238" customWidth="1"/>
    <col min="4605" max="4605" width="33.28515625" style="238" customWidth="1"/>
    <col min="4606" max="4606" width="31.42578125" style="238" customWidth="1"/>
    <col min="4607" max="4608" width="28.7109375" style="238" customWidth="1"/>
    <col min="4609" max="4609" width="35.140625" style="238" customWidth="1"/>
    <col min="4610" max="4610" width="28.7109375" style="238" customWidth="1"/>
    <col min="4611" max="4859" width="9.140625" style="238"/>
    <col min="4860" max="4860" width="50.42578125" style="238" customWidth="1"/>
    <col min="4861" max="4861" width="33.28515625" style="238" customWidth="1"/>
    <col min="4862" max="4862" width="31.42578125" style="238" customWidth="1"/>
    <col min="4863" max="4864" width="28.7109375" style="238" customWidth="1"/>
    <col min="4865" max="4865" width="35.140625" style="238" customWidth="1"/>
    <col min="4866" max="4866" width="28.7109375" style="238" customWidth="1"/>
    <col min="4867" max="5115" width="9.140625" style="238"/>
    <col min="5116" max="5116" width="50.42578125" style="238" customWidth="1"/>
    <col min="5117" max="5117" width="33.28515625" style="238" customWidth="1"/>
    <col min="5118" max="5118" width="31.42578125" style="238" customWidth="1"/>
    <col min="5119" max="5120" width="28.7109375" style="238" customWidth="1"/>
    <col min="5121" max="5121" width="35.140625" style="238" customWidth="1"/>
    <col min="5122" max="5122" width="28.7109375" style="238" customWidth="1"/>
    <col min="5123" max="5371" width="9.140625" style="238"/>
    <col min="5372" max="5372" width="50.42578125" style="238" customWidth="1"/>
    <col min="5373" max="5373" width="33.28515625" style="238" customWidth="1"/>
    <col min="5374" max="5374" width="31.42578125" style="238" customWidth="1"/>
    <col min="5375" max="5376" width="28.7109375" style="238" customWidth="1"/>
    <col min="5377" max="5377" width="35.140625" style="238" customWidth="1"/>
    <col min="5378" max="5378" width="28.7109375" style="238" customWidth="1"/>
    <col min="5379" max="5627" width="9.140625" style="238"/>
    <col min="5628" max="5628" width="50.42578125" style="238" customWidth="1"/>
    <col min="5629" max="5629" width="33.28515625" style="238" customWidth="1"/>
    <col min="5630" max="5630" width="31.42578125" style="238" customWidth="1"/>
    <col min="5631" max="5632" width="28.7109375" style="238" customWidth="1"/>
    <col min="5633" max="5633" width="35.140625" style="238" customWidth="1"/>
    <col min="5634" max="5634" width="28.7109375" style="238" customWidth="1"/>
    <col min="5635" max="5883" width="9.140625" style="238"/>
    <col min="5884" max="5884" width="50.42578125" style="238" customWidth="1"/>
    <col min="5885" max="5885" width="33.28515625" style="238" customWidth="1"/>
    <col min="5886" max="5886" width="31.42578125" style="238" customWidth="1"/>
    <col min="5887" max="5888" width="28.7109375" style="238" customWidth="1"/>
    <col min="5889" max="5889" width="35.140625" style="238" customWidth="1"/>
    <col min="5890" max="5890" width="28.7109375" style="238" customWidth="1"/>
    <col min="5891" max="6139" width="9.140625" style="238"/>
    <col min="6140" max="6140" width="50.42578125" style="238" customWidth="1"/>
    <col min="6141" max="6141" width="33.28515625" style="238" customWidth="1"/>
    <col min="6142" max="6142" width="31.42578125" style="238" customWidth="1"/>
    <col min="6143" max="6144" width="28.7109375" style="238" customWidth="1"/>
    <col min="6145" max="6145" width="35.140625" style="238" customWidth="1"/>
    <col min="6146" max="6146" width="28.7109375" style="238" customWidth="1"/>
    <col min="6147" max="6395" width="9.140625" style="238"/>
    <col min="6396" max="6396" width="50.42578125" style="238" customWidth="1"/>
    <col min="6397" max="6397" width="33.28515625" style="238" customWidth="1"/>
    <col min="6398" max="6398" width="31.42578125" style="238" customWidth="1"/>
    <col min="6399" max="6400" width="28.7109375" style="238" customWidth="1"/>
    <col min="6401" max="6401" width="35.140625" style="238" customWidth="1"/>
    <col min="6402" max="6402" width="28.7109375" style="238" customWidth="1"/>
    <col min="6403" max="6651" width="9.140625" style="238"/>
    <col min="6652" max="6652" width="50.42578125" style="238" customWidth="1"/>
    <col min="6653" max="6653" width="33.28515625" style="238" customWidth="1"/>
    <col min="6654" max="6654" width="31.42578125" style="238" customWidth="1"/>
    <col min="6655" max="6656" width="28.7109375" style="238" customWidth="1"/>
    <col min="6657" max="6657" width="35.140625" style="238" customWidth="1"/>
    <col min="6658" max="6658" width="28.7109375" style="238" customWidth="1"/>
    <col min="6659" max="6907" width="9.140625" style="238"/>
    <col min="6908" max="6908" width="50.42578125" style="238" customWidth="1"/>
    <col min="6909" max="6909" width="33.28515625" style="238" customWidth="1"/>
    <col min="6910" max="6910" width="31.42578125" style="238" customWidth="1"/>
    <col min="6911" max="6912" width="28.7109375" style="238" customWidth="1"/>
    <col min="6913" max="6913" width="35.140625" style="238" customWidth="1"/>
    <col min="6914" max="6914" width="28.7109375" style="238" customWidth="1"/>
    <col min="6915" max="7163" width="9.140625" style="238"/>
    <col min="7164" max="7164" width="50.42578125" style="238" customWidth="1"/>
    <col min="7165" max="7165" width="33.28515625" style="238" customWidth="1"/>
    <col min="7166" max="7166" width="31.42578125" style="238" customWidth="1"/>
    <col min="7167" max="7168" width="28.7109375" style="238" customWidth="1"/>
    <col min="7169" max="7169" width="35.140625" style="238" customWidth="1"/>
    <col min="7170" max="7170" width="28.7109375" style="238" customWidth="1"/>
    <col min="7171" max="7419" width="9.140625" style="238"/>
    <col min="7420" max="7420" width="50.42578125" style="238" customWidth="1"/>
    <col min="7421" max="7421" width="33.28515625" style="238" customWidth="1"/>
    <col min="7422" max="7422" width="31.42578125" style="238" customWidth="1"/>
    <col min="7423" max="7424" width="28.7109375" style="238" customWidth="1"/>
    <col min="7425" max="7425" width="35.140625" style="238" customWidth="1"/>
    <col min="7426" max="7426" width="28.7109375" style="238" customWidth="1"/>
    <col min="7427" max="7675" width="9.140625" style="238"/>
    <col min="7676" max="7676" width="50.42578125" style="238" customWidth="1"/>
    <col min="7677" max="7677" width="33.28515625" style="238" customWidth="1"/>
    <col min="7678" max="7678" width="31.42578125" style="238" customWidth="1"/>
    <col min="7679" max="7680" width="28.7109375" style="238" customWidth="1"/>
    <col min="7681" max="7681" width="35.140625" style="238" customWidth="1"/>
    <col min="7682" max="7682" width="28.7109375" style="238" customWidth="1"/>
    <col min="7683" max="7931" width="9.140625" style="238"/>
    <col min="7932" max="7932" width="50.42578125" style="238" customWidth="1"/>
    <col min="7933" max="7933" width="33.28515625" style="238" customWidth="1"/>
    <col min="7934" max="7934" width="31.42578125" style="238" customWidth="1"/>
    <col min="7935" max="7936" width="28.7109375" style="238" customWidth="1"/>
    <col min="7937" max="7937" width="35.140625" style="238" customWidth="1"/>
    <col min="7938" max="7938" width="28.7109375" style="238" customWidth="1"/>
    <col min="7939" max="8187" width="9.140625" style="238"/>
    <col min="8188" max="8188" width="50.42578125" style="238" customWidth="1"/>
    <col min="8189" max="8189" width="33.28515625" style="238" customWidth="1"/>
    <col min="8190" max="8190" width="31.42578125" style="238" customWidth="1"/>
    <col min="8191" max="8192" width="28.7109375" style="238" customWidth="1"/>
    <col min="8193" max="8193" width="35.140625" style="238" customWidth="1"/>
    <col min="8194" max="8194" width="28.7109375" style="238" customWidth="1"/>
    <col min="8195" max="8443" width="9.140625" style="238"/>
    <col min="8444" max="8444" width="50.42578125" style="238" customWidth="1"/>
    <col min="8445" max="8445" width="33.28515625" style="238" customWidth="1"/>
    <col min="8446" max="8446" width="31.42578125" style="238" customWidth="1"/>
    <col min="8447" max="8448" width="28.7109375" style="238" customWidth="1"/>
    <col min="8449" max="8449" width="35.140625" style="238" customWidth="1"/>
    <col min="8450" max="8450" width="28.7109375" style="238" customWidth="1"/>
    <col min="8451" max="8699" width="9.140625" style="238"/>
    <col min="8700" max="8700" width="50.42578125" style="238" customWidth="1"/>
    <col min="8701" max="8701" width="33.28515625" style="238" customWidth="1"/>
    <col min="8702" max="8702" width="31.42578125" style="238" customWidth="1"/>
    <col min="8703" max="8704" width="28.7109375" style="238" customWidth="1"/>
    <col min="8705" max="8705" width="35.140625" style="238" customWidth="1"/>
    <col min="8706" max="8706" width="28.7109375" style="238" customWidth="1"/>
    <col min="8707" max="8955" width="9.140625" style="238"/>
    <col min="8956" max="8956" width="50.42578125" style="238" customWidth="1"/>
    <col min="8957" max="8957" width="33.28515625" style="238" customWidth="1"/>
    <col min="8958" max="8958" width="31.42578125" style="238" customWidth="1"/>
    <col min="8959" max="8960" width="28.7109375" style="238" customWidth="1"/>
    <col min="8961" max="8961" width="35.140625" style="238" customWidth="1"/>
    <col min="8962" max="8962" width="28.7109375" style="238" customWidth="1"/>
    <col min="8963" max="9211" width="9.140625" style="238"/>
    <col min="9212" max="9212" width="50.42578125" style="238" customWidth="1"/>
    <col min="9213" max="9213" width="33.28515625" style="238" customWidth="1"/>
    <col min="9214" max="9214" width="31.42578125" style="238" customWidth="1"/>
    <col min="9215" max="9216" width="28.7109375" style="238" customWidth="1"/>
    <col min="9217" max="9217" width="35.140625" style="238" customWidth="1"/>
    <col min="9218" max="9218" width="28.7109375" style="238" customWidth="1"/>
    <col min="9219" max="9467" width="9.140625" style="238"/>
    <col min="9468" max="9468" width="50.42578125" style="238" customWidth="1"/>
    <col min="9469" max="9469" width="33.28515625" style="238" customWidth="1"/>
    <col min="9470" max="9470" width="31.42578125" style="238" customWidth="1"/>
    <col min="9471" max="9472" width="28.7109375" style="238" customWidth="1"/>
    <col min="9473" max="9473" width="35.140625" style="238" customWidth="1"/>
    <col min="9474" max="9474" width="28.7109375" style="238" customWidth="1"/>
    <col min="9475" max="9723" width="9.140625" style="238"/>
    <col min="9724" max="9724" width="50.42578125" style="238" customWidth="1"/>
    <col min="9725" max="9725" width="33.28515625" style="238" customWidth="1"/>
    <col min="9726" max="9726" width="31.42578125" style="238" customWidth="1"/>
    <col min="9727" max="9728" width="28.7109375" style="238" customWidth="1"/>
    <col min="9729" max="9729" width="35.140625" style="238" customWidth="1"/>
    <col min="9730" max="9730" width="28.7109375" style="238" customWidth="1"/>
    <col min="9731" max="9979" width="9.140625" style="238"/>
    <col min="9980" max="9980" width="50.42578125" style="238" customWidth="1"/>
    <col min="9981" max="9981" width="33.28515625" style="238" customWidth="1"/>
    <col min="9982" max="9982" width="31.42578125" style="238" customWidth="1"/>
    <col min="9983" max="9984" width="28.7109375" style="238" customWidth="1"/>
    <col min="9985" max="9985" width="35.140625" style="238" customWidth="1"/>
    <col min="9986" max="9986" width="28.7109375" style="238" customWidth="1"/>
    <col min="9987" max="10235" width="9.140625" style="238"/>
    <col min="10236" max="10236" width="50.42578125" style="238" customWidth="1"/>
    <col min="10237" max="10237" width="33.28515625" style="238" customWidth="1"/>
    <col min="10238" max="10238" width="31.42578125" style="238" customWidth="1"/>
    <col min="10239" max="10240" width="28.7109375" style="238" customWidth="1"/>
    <col min="10241" max="10241" width="35.140625" style="238" customWidth="1"/>
    <col min="10242" max="10242" width="28.7109375" style="238" customWidth="1"/>
    <col min="10243" max="10491" width="9.140625" style="238"/>
    <col min="10492" max="10492" width="50.42578125" style="238" customWidth="1"/>
    <col min="10493" max="10493" width="33.28515625" style="238" customWidth="1"/>
    <col min="10494" max="10494" width="31.42578125" style="238" customWidth="1"/>
    <col min="10495" max="10496" width="28.7109375" style="238" customWidth="1"/>
    <col min="10497" max="10497" width="35.140625" style="238" customWidth="1"/>
    <col min="10498" max="10498" width="28.7109375" style="238" customWidth="1"/>
    <col min="10499" max="10747" width="9.140625" style="238"/>
    <col min="10748" max="10748" width="50.42578125" style="238" customWidth="1"/>
    <col min="10749" max="10749" width="33.28515625" style="238" customWidth="1"/>
    <col min="10750" max="10750" width="31.42578125" style="238" customWidth="1"/>
    <col min="10751" max="10752" width="28.7109375" style="238" customWidth="1"/>
    <col min="10753" max="10753" width="35.140625" style="238" customWidth="1"/>
    <col min="10754" max="10754" width="28.7109375" style="238" customWidth="1"/>
    <col min="10755" max="11003" width="9.140625" style="238"/>
    <col min="11004" max="11004" width="50.42578125" style="238" customWidth="1"/>
    <col min="11005" max="11005" width="33.28515625" style="238" customWidth="1"/>
    <col min="11006" max="11006" width="31.42578125" style="238" customWidth="1"/>
    <col min="11007" max="11008" width="28.7109375" style="238" customWidth="1"/>
    <col min="11009" max="11009" width="35.140625" style="238" customWidth="1"/>
    <col min="11010" max="11010" width="28.7109375" style="238" customWidth="1"/>
    <col min="11011" max="11259" width="9.140625" style="238"/>
    <col min="11260" max="11260" width="50.42578125" style="238" customWidth="1"/>
    <col min="11261" max="11261" width="33.28515625" style="238" customWidth="1"/>
    <col min="11262" max="11262" width="31.42578125" style="238" customWidth="1"/>
    <col min="11263" max="11264" width="28.7109375" style="238" customWidth="1"/>
    <col min="11265" max="11265" width="35.140625" style="238" customWidth="1"/>
    <col min="11266" max="11266" width="28.7109375" style="238" customWidth="1"/>
    <col min="11267" max="11515" width="9.140625" style="238"/>
    <col min="11516" max="11516" width="50.42578125" style="238" customWidth="1"/>
    <col min="11517" max="11517" width="33.28515625" style="238" customWidth="1"/>
    <col min="11518" max="11518" width="31.42578125" style="238" customWidth="1"/>
    <col min="11519" max="11520" width="28.7109375" style="238" customWidth="1"/>
    <col min="11521" max="11521" width="35.140625" style="238" customWidth="1"/>
    <col min="11522" max="11522" width="28.7109375" style="238" customWidth="1"/>
    <col min="11523" max="11771" width="9.140625" style="238"/>
    <col min="11772" max="11772" width="50.42578125" style="238" customWidth="1"/>
    <col min="11773" max="11773" width="33.28515625" style="238" customWidth="1"/>
    <col min="11774" max="11774" width="31.42578125" style="238" customWidth="1"/>
    <col min="11775" max="11776" width="28.7109375" style="238" customWidth="1"/>
    <col min="11777" max="11777" width="35.140625" style="238" customWidth="1"/>
    <col min="11778" max="11778" width="28.7109375" style="238" customWidth="1"/>
    <col min="11779" max="12027" width="9.140625" style="238"/>
    <col min="12028" max="12028" width="50.42578125" style="238" customWidth="1"/>
    <col min="12029" max="12029" width="33.28515625" style="238" customWidth="1"/>
    <col min="12030" max="12030" width="31.42578125" style="238" customWidth="1"/>
    <col min="12031" max="12032" width="28.7109375" style="238" customWidth="1"/>
    <col min="12033" max="12033" width="35.140625" style="238" customWidth="1"/>
    <col min="12034" max="12034" width="28.7109375" style="238" customWidth="1"/>
    <col min="12035" max="12283" width="9.140625" style="238"/>
    <col min="12284" max="12284" width="50.42578125" style="238" customWidth="1"/>
    <col min="12285" max="12285" width="33.28515625" style="238" customWidth="1"/>
    <col min="12286" max="12286" width="31.42578125" style="238" customWidth="1"/>
    <col min="12287" max="12288" width="28.7109375" style="238" customWidth="1"/>
    <col min="12289" max="12289" width="35.140625" style="238" customWidth="1"/>
    <col min="12290" max="12290" width="28.7109375" style="238" customWidth="1"/>
    <col min="12291" max="12539" width="9.140625" style="238"/>
    <col min="12540" max="12540" width="50.42578125" style="238" customWidth="1"/>
    <col min="12541" max="12541" width="33.28515625" style="238" customWidth="1"/>
    <col min="12542" max="12542" width="31.42578125" style="238" customWidth="1"/>
    <col min="12543" max="12544" width="28.7109375" style="238" customWidth="1"/>
    <col min="12545" max="12545" width="35.140625" style="238" customWidth="1"/>
    <col min="12546" max="12546" width="28.7109375" style="238" customWidth="1"/>
    <col min="12547" max="12795" width="9.140625" style="238"/>
    <col min="12796" max="12796" width="50.42578125" style="238" customWidth="1"/>
    <col min="12797" max="12797" width="33.28515625" style="238" customWidth="1"/>
    <col min="12798" max="12798" width="31.42578125" style="238" customWidth="1"/>
    <col min="12799" max="12800" width="28.7109375" style="238" customWidth="1"/>
    <col min="12801" max="12801" width="35.140625" style="238" customWidth="1"/>
    <col min="12802" max="12802" width="28.7109375" style="238" customWidth="1"/>
    <col min="12803" max="13051" width="9.140625" style="238"/>
    <col min="13052" max="13052" width="50.42578125" style="238" customWidth="1"/>
    <col min="13053" max="13053" width="33.28515625" style="238" customWidth="1"/>
    <col min="13054" max="13054" width="31.42578125" style="238" customWidth="1"/>
    <col min="13055" max="13056" width="28.7109375" style="238" customWidth="1"/>
    <col min="13057" max="13057" width="35.140625" style="238" customWidth="1"/>
    <col min="13058" max="13058" width="28.7109375" style="238" customWidth="1"/>
    <col min="13059" max="13307" width="9.140625" style="238"/>
    <col min="13308" max="13308" width="50.42578125" style="238" customWidth="1"/>
    <col min="13309" max="13309" width="33.28515625" style="238" customWidth="1"/>
    <col min="13310" max="13310" width="31.42578125" style="238" customWidth="1"/>
    <col min="13311" max="13312" width="28.7109375" style="238" customWidth="1"/>
    <col min="13313" max="13313" width="35.140625" style="238" customWidth="1"/>
    <col min="13314" max="13314" width="28.7109375" style="238" customWidth="1"/>
    <col min="13315" max="13563" width="9.140625" style="238"/>
    <col min="13564" max="13564" width="50.42578125" style="238" customWidth="1"/>
    <col min="13565" max="13565" width="33.28515625" style="238" customWidth="1"/>
    <col min="13566" max="13566" width="31.42578125" style="238" customWidth="1"/>
    <col min="13567" max="13568" width="28.7109375" style="238" customWidth="1"/>
    <col min="13569" max="13569" width="35.140625" style="238" customWidth="1"/>
    <col min="13570" max="13570" width="28.7109375" style="238" customWidth="1"/>
    <col min="13571" max="13819" width="9.140625" style="238"/>
    <col min="13820" max="13820" width="50.42578125" style="238" customWidth="1"/>
    <col min="13821" max="13821" width="33.28515625" style="238" customWidth="1"/>
    <col min="13822" max="13822" width="31.42578125" style="238" customWidth="1"/>
    <col min="13823" max="13824" width="28.7109375" style="238" customWidth="1"/>
    <col min="13825" max="13825" width="35.140625" style="238" customWidth="1"/>
    <col min="13826" max="13826" width="28.7109375" style="238" customWidth="1"/>
    <col min="13827" max="14075" width="9.140625" style="238"/>
    <col min="14076" max="14076" width="50.42578125" style="238" customWidth="1"/>
    <col min="14077" max="14077" width="33.28515625" style="238" customWidth="1"/>
    <col min="14078" max="14078" width="31.42578125" style="238" customWidth="1"/>
    <col min="14079" max="14080" width="28.7109375" style="238" customWidth="1"/>
    <col min="14081" max="14081" width="35.140625" style="238" customWidth="1"/>
    <col min="14082" max="14082" width="28.7109375" style="238" customWidth="1"/>
    <col min="14083" max="14331" width="9.140625" style="238"/>
    <col min="14332" max="14332" width="50.42578125" style="238" customWidth="1"/>
    <col min="14333" max="14333" width="33.28515625" style="238" customWidth="1"/>
    <col min="14334" max="14334" width="31.42578125" style="238" customWidth="1"/>
    <col min="14335" max="14336" width="28.7109375" style="238" customWidth="1"/>
    <col min="14337" max="14337" width="35.140625" style="238" customWidth="1"/>
    <col min="14338" max="14338" width="28.7109375" style="238" customWidth="1"/>
    <col min="14339" max="14587" width="9.140625" style="238"/>
    <col min="14588" max="14588" width="50.42578125" style="238" customWidth="1"/>
    <col min="14589" max="14589" width="33.28515625" style="238" customWidth="1"/>
    <col min="14590" max="14590" width="31.42578125" style="238" customWidth="1"/>
    <col min="14591" max="14592" width="28.7109375" style="238" customWidth="1"/>
    <col min="14593" max="14593" width="35.140625" style="238" customWidth="1"/>
    <col min="14594" max="14594" width="28.7109375" style="238" customWidth="1"/>
    <col min="14595" max="14843" width="9.140625" style="238"/>
    <col min="14844" max="14844" width="50.42578125" style="238" customWidth="1"/>
    <col min="14845" max="14845" width="33.28515625" style="238" customWidth="1"/>
    <col min="14846" max="14846" width="31.42578125" style="238" customWidth="1"/>
    <col min="14847" max="14848" width="28.7109375" style="238" customWidth="1"/>
    <col min="14849" max="14849" width="35.140625" style="238" customWidth="1"/>
    <col min="14850" max="14850" width="28.7109375" style="238" customWidth="1"/>
    <col min="14851" max="15099" width="9.140625" style="238"/>
    <col min="15100" max="15100" width="50.42578125" style="238" customWidth="1"/>
    <col min="15101" max="15101" width="33.28515625" style="238" customWidth="1"/>
    <col min="15102" max="15102" width="31.42578125" style="238" customWidth="1"/>
    <col min="15103" max="15104" width="28.7109375" style="238" customWidth="1"/>
    <col min="15105" max="15105" width="35.140625" style="238" customWidth="1"/>
    <col min="15106" max="15106" width="28.7109375" style="238" customWidth="1"/>
    <col min="15107" max="15355" width="9.140625" style="238"/>
    <col min="15356" max="15356" width="50.42578125" style="238" customWidth="1"/>
    <col min="15357" max="15357" width="33.28515625" style="238" customWidth="1"/>
    <col min="15358" max="15358" width="31.42578125" style="238" customWidth="1"/>
    <col min="15359" max="15360" width="28.7109375" style="238" customWidth="1"/>
    <col min="15361" max="15361" width="35.140625" style="238" customWidth="1"/>
    <col min="15362" max="15362" width="28.7109375" style="238" customWidth="1"/>
    <col min="15363" max="15611" width="9.140625" style="238"/>
    <col min="15612" max="15612" width="50.42578125" style="238" customWidth="1"/>
    <col min="15613" max="15613" width="33.28515625" style="238" customWidth="1"/>
    <col min="15614" max="15614" width="31.42578125" style="238" customWidth="1"/>
    <col min="15615" max="15616" width="28.7109375" style="238" customWidth="1"/>
    <col min="15617" max="15617" width="35.140625" style="238" customWidth="1"/>
    <col min="15618" max="15618" width="28.7109375" style="238" customWidth="1"/>
    <col min="15619" max="15867" width="9.140625" style="238"/>
    <col min="15868" max="15868" width="50.42578125" style="238" customWidth="1"/>
    <col min="15869" max="15869" width="33.28515625" style="238" customWidth="1"/>
    <col min="15870" max="15870" width="31.42578125" style="238" customWidth="1"/>
    <col min="15871" max="15872" width="28.7109375" style="238" customWidth="1"/>
    <col min="15873" max="15873" width="35.140625" style="238" customWidth="1"/>
    <col min="15874" max="15874" width="28.7109375" style="238" customWidth="1"/>
    <col min="15875" max="16123" width="9.140625" style="238"/>
    <col min="16124" max="16124" width="50.42578125" style="238" customWidth="1"/>
    <col min="16125" max="16125" width="33.28515625" style="238" customWidth="1"/>
    <col min="16126" max="16126" width="31.42578125" style="238" customWidth="1"/>
    <col min="16127" max="16128" width="28.7109375" style="238" customWidth="1"/>
    <col min="16129" max="16129" width="35.140625" style="238" customWidth="1"/>
    <col min="16130" max="16130" width="28.7109375" style="238" customWidth="1"/>
    <col min="16131" max="16384" width="9.140625" style="238"/>
  </cols>
  <sheetData>
    <row r="1" spans="1:7" ht="15.75" x14ac:dyDescent="0.2"/>
    <row r="2" spans="1:7" ht="15.75" x14ac:dyDescent="0.2">
      <c r="A2" s="242"/>
      <c r="B2" s="242"/>
      <c r="C2" s="242"/>
      <c r="D2" s="242"/>
      <c r="E2" s="242"/>
      <c r="F2" s="242"/>
    </row>
    <row r="3" spans="1:7" ht="15.75" x14ac:dyDescent="0.2">
      <c r="A3" s="244"/>
      <c r="B3" s="244"/>
      <c r="C3" s="244" t="s">
        <v>2625</v>
      </c>
      <c r="D3" s="244"/>
      <c r="E3" s="244"/>
      <c r="F3" s="245" t="s">
        <v>9814</v>
      </c>
    </row>
    <row r="4" spans="1:7" ht="15.75" x14ac:dyDescent="0.2">
      <c r="A4" s="244"/>
      <c r="B4" s="244"/>
      <c r="C4" s="246" t="s">
        <v>2626</v>
      </c>
      <c r="D4" s="247" t="s">
        <v>2627</v>
      </c>
      <c r="E4" s="247"/>
      <c r="F4" s="245" t="s">
        <v>9815</v>
      </c>
    </row>
    <row r="5" spans="1:7" ht="15.75" x14ac:dyDescent="0.2">
      <c r="A5" s="244"/>
      <c r="B5" s="244"/>
      <c r="C5" s="246" t="s">
        <v>2628</v>
      </c>
      <c r="D5" s="247" t="s">
        <v>2629</v>
      </c>
      <c r="E5" s="247"/>
      <c r="F5" s="245" t="s">
        <v>9816</v>
      </c>
    </row>
    <row r="6" spans="1:7" ht="15.75" x14ac:dyDescent="0.2">
      <c r="A6" s="242"/>
      <c r="B6" s="242"/>
      <c r="C6" s="242"/>
      <c r="D6" s="242"/>
      <c r="E6" s="242"/>
      <c r="F6" s="242"/>
    </row>
    <row r="7" spans="1:7" ht="15.75" x14ac:dyDescent="0.2">
      <c r="C7" s="248"/>
      <c r="D7" s="249"/>
      <c r="E7" s="249"/>
      <c r="F7" s="250"/>
    </row>
    <row r="8" spans="1:7" ht="15.75" x14ac:dyDescent="0.2">
      <c r="A8" s="279"/>
      <c r="B8" s="251"/>
      <c r="C8" s="251"/>
      <c r="D8" s="252"/>
      <c r="E8" s="252"/>
    </row>
    <row r="9" spans="1:7" ht="15.75" x14ac:dyDescent="0.2">
      <c r="A9" s="416" t="s">
        <v>2630</v>
      </c>
      <c r="B9" s="416"/>
      <c r="C9" s="416"/>
      <c r="D9" s="416"/>
      <c r="E9" s="416"/>
      <c r="F9" s="416"/>
    </row>
    <row r="10" spans="1:7" ht="15.75" x14ac:dyDescent="0.2">
      <c r="A10" s="279"/>
      <c r="B10" s="251"/>
      <c r="C10" s="248"/>
      <c r="D10" s="249"/>
      <c r="E10" s="249"/>
      <c r="F10" s="250"/>
    </row>
    <row r="11" spans="1:7" ht="15.75" x14ac:dyDescent="0.2">
      <c r="A11" s="279"/>
      <c r="B11" s="417" t="s">
        <v>10278</v>
      </c>
      <c r="C11" s="417"/>
      <c r="D11" s="417"/>
      <c r="E11" s="417"/>
      <c r="F11" s="417"/>
    </row>
    <row r="12" spans="1:7" ht="42.75" customHeight="1" x14ac:dyDescent="0.2">
      <c r="A12" s="295" t="s">
        <v>10277</v>
      </c>
      <c r="B12" s="295"/>
      <c r="C12" s="295"/>
      <c r="D12" s="295"/>
      <c r="E12" s="295"/>
      <c r="F12" s="295"/>
    </row>
    <row r="13" spans="1:7" ht="15.75" x14ac:dyDescent="0.2">
      <c r="A13" s="415" t="s">
        <v>10276</v>
      </c>
      <c r="B13" s="415"/>
      <c r="C13" s="415"/>
      <c r="D13" s="415"/>
      <c r="F13" s="239"/>
    </row>
    <row r="14" spans="1:7" ht="15.75" x14ac:dyDescent="0.2">
      <c r="A14" s="415"/>
      <c r="B14" s="415"/>
      <c r="C14" s="415"/>
      <c r="D14" s="415"/>
      <c r="F14" s="239"/>
    </row>
    <row r="15" spans="1:7" ht="15.75" x14ac:dyDescent="0.2"/>
    <row r="16" spans="1:7" ht="65.25" customHeight="1" x14ac:dyDescent="0.2">
      <c r="A16" s="254" t="s">
        <v>2631</v>
      </c>
      <c r="B16" s="253" t="s">
        <v>2632</v>
      </c>
      <c r="C16" s="253" t="s">
        <v>1</v>
      </c>
      <c r="D16" s="253" t="s">
        <v>4</v>
      </c>
      <c r="E16" s="253" t="s">
        <v>2</v>
      </c>
      <c r="F16" s="254" t="s">
        <v>2633</v>
      </c>
      <c r="G16" s="238">
        <v>123</v>
      </c>
    </row>
    <row r="17" spans="1:7" ht="30" customHeight="1" x14ac:dyDescent="0.2">
      <c r="A17" s="347">
        <v>2127</v>
      </c>
      <c r="B17" s="255" t="s">
        <v>6043</v>
      </c>
      <c r="C17" s="255" t="s">
        <v>6044</v>
      </c>
      <c r="D17" s="255" t="s">
        <v>7316</v>
      </c>
      <c r="E17" s="255" t="s">
        <v>6045</v>
      </c>
      <c r="F17" s="271" t="s">
        <v>6046</v>
      </c>
      <c r="G17" s="271" t="s">
        <v>7276</v>
      </c>
    </row>
    <row r="18" spans="1:7" ht="30" customHeight="1" x14ac:dyDescent="0.2">
      <c r="A18" s="347">
        <v>2128</v>
      </c>
      <c r="B18" s="255" t="s">
        <v>6043</v>
      </c>
      <c r="C18" s="255" t="s">
        <v>10142</v>
      </c>
      <c r="D18" s="255" t="s">
        <v>7368</v>
      </c>
      <c r="E18" s="255" t="s">
        <v>6047</v>
      </c>
      <c r="F18" s="271" t="s">
        <v>6046</v>
      </c>
      <c r="G18" s="271" t="s">
        <v>7364</v>
      </c>
    </row>
    <row r="19" spans="1:7" ht="69.75" customHeight="1" x14ac:dyDescent="0.2">
      <c r="A19" s="347">
        <v>2129</v>
      </c>
      <c r="B19" s="255" t="s">
        <v>6043</v>
      </c>
      <c r="C19" s="255" t="s">
        <v>10143</v>
      </c>
      <c r="D19" s="255" t="s">
        <v>9227</v>
      </c>
      <c r="E19" s="255" t="s">
        <v>6047</v>
      </c>
      <c r="F19" s="271" t="s">
        <v>6046</v>
      </c>
      <c r="G19" s="271" t="s">
        <v>8412</v>
      </c>
    </row>
    <row r="20" spans="1:7" ht="30" customHeight="1" x14ac:dyDescent="0.2">
      <c r="A20" s="347">
        <v>2130</v>
      </c>
      <c r="B20" s="255" t="s">
        <v>6043</v>
      </c>
      <c r="C20" s="255" t="s">
        <v>10144</v>
      </c>
      <c r="D20" s="255" t="s">
        <v>8441</v>
      </c>
      <c r="E20" s="255" t="s">
        <v>6048</v>
      </c>
      <c r="F20" s="271" t="s">
        <v>6046</v>
      </c>
      <c r="G20" s="271" t="s">
        <v>8412</v>
      </c>
    </row>
    <row r="21" spans="1:7" ht="30" customHeight="1" x14ac:dyDescent="0.2">
      <c r="A21" s="347">
        <v>2131</v>
      </c>
      <c r="B21" s="255" t="s">
        <v>6043</v>
      </c>
      <c r="C21" s="255" t="s">
        <v>10145</v>
      </c>
      <c r="D21" s="255" t="s">
        <v>8442</v>
      </c>
      <c r="E21" s="255" t="s">
        <v>6049</v>
      </c>
      <c r="F21" s="271" t="s">
        <v>6046</v>
      </c>
      <c r="G21" s="271" t="s">
        <v>8412</v>
      </c>
    </row>
    <row r="22" spans="1:7" ht="30" customHeight="1" x14ac:dyDescent="0.2">
      <c r="A22" s="347">
        <v>2132</v>
      </c>
      <c r="B22" s="255" t="s">
        <v>6043</v>
      </c>
      <c r="C22" s="255" t="s">
        <v>10146</v>
      </c>
      <c r="D22" s="255" t="s">
        <v>8441</v>
      </c>
      <c r="E22" s="255" t="s">
        <v>6050</v>
      </c>
      <c r="F22" s="271" t="s">
        <v>6046</v>
      </c>
      <c r="G22" s="271" t="s">
        <v>8412</v>
      </c>
    </row>
    <row r="23" spans="1:7" ht="30" customHeight="1" x14ac:dyDescent="0.2">
      <c r="A23" s="347">
        <v>2133</v>
      </c>
      <c r="B23" s="255" t="s">
        <v>6043</v>
      </c>
      <c r="C23" s="255" t="s">
        <v>6051</v>
      </c>
      <c r="D23" s="255" t="s">
        <v>7352</v>
      </c>
      <c r="E23" s="255" t="s">
        <v>6052</v>
      </c>
      <c r="F23" s="271" t="s">
        <v>6046</v>
      </c>
      <c r="G23" s="271" t="s">
        <v>7346</v>
      </c>
    </row>
    <row r="24" spans="1:7" ht="30" customHeight="1" x14ac:dyDescent="0.2">
      <c r="A24" s="347">
        <v>2134</v>
      </c>
      <c r="B24" s="255" t="s">
        <v>6043</v>
      </c>
      <c r="C24" s="255" t="s">
        <v>10147</v>
      </c>
      <c r="D24" s="255" t="s">
        <v>7353</v>
      </c>
      <c r="E24" s="255" t="s">
        <v>6053</v>
      </c>
      <c r="F24" s="271" t="s">
        <v>6046</v>
      </c>
      <c r="G24" s="271" t="s">
        <v>7346</v>
      </c>
    </row>
    <row r="25" spans="1:7" ht="30" customHeight="1" x14ac:dyDescent="0.2">
      <c r="A25" s="316">
        <v>2135</v>
      </c>
      <c r="B25" s="255" t="s">
        <v>6054</v>
      </c>
      <c r="C25" s="255" t="s">
        <v>9153</v>
      </c>
      <c r="D25" s="255" t="s">
        <v>8115</v>
      </c>
      <c r="E25" s="255" t="s">
        <v>6055</v>
      </c>
      <c r="F25" s="271" t="s">
        <v>565</v>
      </c>
      <c r="G25" s="271" t="s">
        <v>8076</v>
      </c>
    </row>
    <row r="26" spans="1:7" ht="30" customHeight="1" x14ac:dyDescent="0.2">
      <c r="A26" s="316">
        <v>2136</v>
      </c>
      <c r="B26" s="255" t="s">
        <v>6054</v>
      </c>
      <c r="C26" s="255" t="s">
        <v>6056</v>
      </c>
      <c r="D26" s="255" t="s">
        <v>7404</v>
      </c>
      <c r="E26" s="255" t="s">
        <v>6057</v>
      </c>
      <c r="F26" s="271" t="s">
        <v>565</v>
      </c>
      <c r="G26" s="271" t="s">
        <v>7405</v>
      </c>
    </row>
    <row r="27" spans="1:7" ht="30" customHeight="1" x14ac:dyDescent="0.2">
      <c r="A27" s="316">
        <v>2137</v>
      </c>
      <c r="B27" s="255" t="s">
        <v>6054</v>
      </c>
      <c r="C27" s="255" t="s">
        <v>6058</v>
      </c>
      <c r="D27" s="255" t="s">
        <v>7316</v>
      </c>
      <c r="E27" s="255" t="s">
        <v>6059</v>
      </c>
      <c r="F27" s="271" t="s">
        <v>84</v>
      </c>
      <c r="G27" s="271" t="s">
        <v>7276</v>
      </c>
    </row>
    <row r="28" spans="1:7" ht="30" customHeight="1" x14ac:dyDescent="0.2">
      <c r="A28" s="316">
        <v>2138</v>
      </c>
      <c r="B28" s="255" t="s">
        <v>6054</v>
      </c>
      <c r="C28" s="255" t="s">
        <v>6060</v>
      </c>
      <c r="D28" s="255" t="s">
        <v>8611</v>
      </c>
      <c r="E28" s="255" t="s">
        <v>6061</v>
      </c>
      <c r="F28" s="271" t="s">
        <v>84</v>
      </c>
      <c r="G28" s="271" t="s">
        <v>8577</v>
      </c>
    </row>
    <row r="29" spans="1:7" ht="30" customHeight="1" x14ac:dyDescent="0.2">
      <c r="A29" s="316">
        <v>2139</v>
      </c>
      <c r="B29" s="255" t="s">
        <v>6062</v>
      </c>
      <c r="C29" s="255" t="s">
        <v>10148</v>
      </c>
      <c r="D29" s="255" t="s">
        <v>8443</v>
      </c>
      <c r="E29" s="255" t="s">
        <v>6063</v>
      </c>
      <c r="F29" s="271" t="s">
        <v>322</v>
      </c>
      <c r="G29" s="271" t="s">
        <v>8412</v>
      </c>
    </row>
    <row r="30" spans="1:7" ht="30" customHeight="1" x14ac:dyDescent="0.2">
      <c r="A30" s="316">
        <v>2140</v>
      </c>
      <c r="B30" s="255" t="s">
        <v>6062</v>
      </c>
      <c r="C30" s="255" t="s">
        <v>10149</v>
      </c>
      <c r="D30" s="255" t="s">
        <v>7389</v>
      </c>
      <c r="E30" s="255"/>
      <c r="F30" s="271" t="s">
        <v>322</v>
      </c>
      <c r="G30" s="271" t="s">
        <v>7364</v>
      </c>
    </row>
    <row r="31" spans="1:7" ht="30" customHeight="1" x14ac:dyDescent="0.2">
      <c r="A31" s="316">
        <v>2141</v>
      </c>
      <c r="B31" s="255" t="s">
        <v>6062</v>
      </c>
      <c r="C31" s="255" t="s">
        <v>10150</v>
      </c>
      <c r="D31" s="255" t="s">
        <v>9327</v>
      </c>
      <c r="E31" s="255" t="s">
        <v>6064</v>
      </c>
      <c r="F31" s="271" t="s">
        <v>565</v>
      </c>
      <c r="G31" s="271" t="s">
        <v>8984</v>
      </c>
    </row>
    <row r="32" spans="1:7" ht="96" customHeight="1" x14ac:dyDescent="0.2">
      <c r="A32" s="316">
        <v>2142</v>
      </c>
      <c r="B32" s="255" t="s">
        <v>6062</v>
      </c>
      <c r="C32" s="255" t="s">
        <v>10151</v>
      </c>
      <c r="D32" s="255" t="s">
        <v>8089</v>
      </c>
      <c r="E32" s="255"/>
      <c r="F32" s="271" t="s">
        <v>322</v>
      </c>
      <c r="G32" s="271" t="s">
        <v>8090</v>
      </c>
    </row>
    <row r="33" spans="1:7" ht="30" customHeight="1" x14ac:dyDescent="0.2">
      <c r="A33" s="316">
        <v>2143</v>
      </c>
      <c r="B33" s="255" t="s">
        <v>6062</v>
      </c>
      <c r="C33" s="255" t="s">
        <v>6065</v>
      </c>
      <c r="D33" s="255" t="s">
        <v>359</v>
      </c>
      <c r="E33" s="255" t="s">
        <v>6066</v>
      </c>
      <c r="F33" s="271" t="s">
        <v>6067</v>
      </c>
      <c r="G33" s="271" t="s">
        <v>7346</v>
      </c>
    </row>
    <row r="34" spans="1:7" ht="30" customHeight="1" x14ac:dyDescent="0.2">
      <c r="A34" s="316">
        <v>2144</v>
      </c>
      <c r="B34" s="255" t="s">
        <v>6062</v>
      </c>
      <c r="C34" s="255" t="s">
        <v>10152</v>
      </c>
      <c r="D34" s="255" t="s">
        <v>8628</v>
      </c>
      <c r="E34" s="255" t="s">
        <v>6068</v>
      </c>
      <c r="F34" s="271" t="s">
        <v>84</v>
      </c>
      <c r="G34" s="271" t="s">
        <v>8577</v>
      </c>
    </row>
    <row r="35" spans="1:7" ht="30" customHeight="1" x14ac:dyDescent="0.2">
      <c r="A35" s="316">
        <v>2145</v>
      </c>
      <c r="B35" s="255" t="s">
        <v>6062</v>
      </c>
      <c r="C35" s="255" t="s">
        <v>6069</v>
      </c>
      <c r="D35" s="255" t="s">
        <v>9103</v>
      </c>
      <c r="E35" s="255" t="s">
        <v>6070</v>
      </c>
      <c r="F35" s="271" t="s">
        <v>84</v>
      </c>
      <c r="G35" s="271" t="s">
        <v>8890</v>
      </c>
    </row>
    <row r="36" spans="1:7" ht="30" customHeight="1" x14ac:dyDescent="0.2">
      <c r="A36" s="316">
        <v>2146</v>
      </c>
      <c r="B36" s="255" t="s">
        <v>6062</v>
      </c>
      <c r="C36" s="255" t="s">
        <v>10153</v>
      </c>
      <c r="D36" s="255" t="s">
        <v>7282</v>
      </c>
      <c r="E36" s="255" t="s">
        <v>6071</v>
      </c>
      <c r="F36" s="271" t="s">
        <v>84</v>
      </c>
      <c r="G36" s="271" t="s">
        <v>7276</v>
      </c>
    </row>
    <row r="37" spans="1:7" ht="30" customHeight="1" x14ac:dyDescent="0.2">
      <c r="A37" s="316">
        <v>2147</v>
      </c>
      <c r="B37" s="255" t="s">
        <v>6062</v>
      </c>
      <c r="C37" s="255" t="s">
        <v>10154</v>
      </c>
      <c r="D37" s="255" t="s">
        <v>7369</v>
      </c>
      <c r="E37" s="255" t="s">
        <v>6072</v>
      </c>
      <c r="F37" s="271" t="s">
        <v>3171</v>
      </c>
      <c r="G37" s="271" t="s">
        <v>7364</v>
      </c>
    </row>
    <row r="38" spans="1:7" ht="30" customHeight="1" x14ac:dyDescent="0.25">
      <c r="A38" s="316">
        <v>2148</v>
      </c>
      <c r="B38" s="255" t="s">
        <v>6062</v>
      </c>
      <c r="C38" s="255" t="s">
        <v>10155</v>
      </c>
      <c r="D38" s="348" t="s">
        <v>8091</v>
      </c>
      <c r="E38" s="255" t="s">
        <v>6073</v>
      </c>
      <c r="F38" s="271" t="s">
        <v>3171</v>
      </c>
      <c r="G38" s="271" t="s">
        <v>8090</v>
      </c>
    </row>
    <row r="39" spans="1:7" ht="30" customHeight="1" x14ac:dyDescent="0.2">
      <c r="A39" s="316">
        <v>2149</v>
      </c>
      <c r="B39" s="255" t="s">
        <v>6062</v>
      </c>
      <c r="C39" s="255" t="s">
        <v>10156</v>
      </c>
      <c r="D39" s="255" t="s">
        <v>8444</v>
      </c>
      <c r="E39" s="255" t="s">
        <v>6074</v>
      </c>
      <c r="F39" s="271" t="s">
        <v>322</v>
      </c>
      <c r="G39" s="271" t="s">
        <v>8412</v>
      </c>
    </row>
    <row r="40" spans="1:7" ht="30" customHeight="1" x14ac:dyDescent="0.2">
      <c r="A40" s="316">
        <v>2150</v>
      </c>
      <c r="B40" s="255" t="s">
        <v>6062</v>
      </c>
      <c r="C40" s="255" t="s">
        <v>10157</v>
      </c>
      <c r="D40" s="255" t="s">
        <v>7913</v>
      </c>
      <c r="E40" s="255" t="s">
        <v>6075</v>
      </c>
      <c r="F40" s="271" t="s">
        <v>565</v>
      </c>
      <c r="G40" s="271" t="s">
        <v>7906</v>
      </c>
    </row>
    <row r="41" spans="1:7" ht="30" customHeight="1" x14ac:dyDescent="0.2">
      <c r="A41" s="316">
        <v>2151</v>
      </c>
      <c r="B41" s="255" t="s">
        <v>6062</v>
      </c>
      <c r="C41" s="255" t="s">
        <v>10158</v>
      </c>
      <c r="D41" s="255" t="s">
        <v>7914</v>
      </c>
      <c r="E41" s="255" t="s">
        <v>6076</v>
      </c>
      <c r="F41" s="271" t="s">
        <v>565</v>
      </c>
      <c r="G41" s="271" t="s">
        <v>7906</v>
      </c>
    </row>
    <row r="42" spans="1:7" ht="78" customHeight="1" x14ac:dyDescent="0.2">
      <c r="A42" s="316">
        <v>2152</v>
      </c>
      <c r="B42" s="255" t="s">
        <v>6062</v>
      </c>
      <c r="C42" s="255" t="s">
        <v>10159</v>
      </c>
      <c r="D42" s="255" t="s">
        <v>9238</v>
      </c>
      <c r="E42" s="255" t="s">
        <v>6077</v>
      </c>
      <c r="F42" s="271" t="s">
        <v>6078</v>
      </c>
      <c r="G42" s="271" t="s">
        <v>8577</v>
      </c>
    </row>
    <row r="43" spans="1:7" ht="58.5" customHeight="1" x14ac:dyDescent="0.2">
      <c r="A43" s="316">
        <v>2153</v>
      </c>
      <c r="B43" s="255" t="s">
        <v>6062</v>
      </c>
      <c r="C43" s="255" t="s">
        <v>10160</v>
      </c>
      <c r="D43" s="255" t="s">
        <v>9239</v>
      </c>
      <c r="E43" s="255" t="s">
        <v>6079</v>
      </c>
      <c r="F43" s="271" t="s">
        <v>6078</v>
      </c>
      <c r="G43" s="271" t="s">
        <v>8577</v>
      </c>
    </row>
    <row r="44" spans="1:7" ht="30" customHeight="1" x14ac:dyDescent="0.2">
      <c r="A44" s="316">
        <v>2154</v>
      </c>
      <c r="B44" s="255" t="s">
        <v>6080</v>
      </c>
      <c r="C44" s="255" t="s">
        <v>6081</v>
      </c>
      <c r="D44" s="255" t="s">
        <v>7406</v>
      </c>
      <c r="E44" s="255"/>
      <c r="F44" s="256" t="s">
        <v>565</v>
      </c>
      <c r="G44" s="256" t="s">
        <v>7405</v>
      </c>
    </row>
    <row r="45" spans="1:7" ht="30" customHeight="1" x14ac:dyDescent="0.2">
      <c r="A45" s="316">
        <v>2155</v>
      </c>
      <c r="B45" s="280" t="s">
        <v>6082</v>
      </c>
      <c r="C45" s="255" t="s">
        <v>10161</v>
      </c>
      <c r="D45" s="255" t="s">
        <v>7317</v>
      </c>
      <c r="E45" s="255" t="s">
        <v>1173</v>
      </c>
      <c r="F45" s="271" t="s">
        <v>6046</v>
      </c>
      <c r="G45" s="271" t="s">
        <v>7276</v>
      </c>
    </row>
    <row r="46" spans="1:7" ht="30" customHeight="1" x14ac:dyDescent="0.2">
      <c r="A46" s="316">
        <v>2156</v>
      </c>
      <c r="B46" s="255" t="s">
        <v>6082</v>
      </c>
      <c r="C46" s="255" t="s">
        <v>6083</v>
      </c>
      <c r="D46" s="255" t="s">
        <v>8852</v>
      </c>
      <c r="E46" s="255" t="s">
        <v>6084</v>
      </c>
      <c r="F46" s="271" t="s">
        <v>74</v>
      </c>
      <c r="G46" s="271" t="s">
        <v>8668</v>
      </c>
    </row>
    <row r="47" spans="1:7" ht="30" customHeight="1" x14ac:dyDescent="0.2">
      <c r="A47" s="316">
        <v>2157</v>
      </c>
      <c r="B47" s="255" t="s">
        <v>6082</v>
      </c>
      <c r="C47" s="255" t="s">
        <v>6085</v>
      </c>
      <c r="D47" s="255" t="s">
        <v>7283</v>
      </c>
      <c r="E47" s="255" t="s">
        <v>1679</v>
      </c>
      <c r="F47" s="271" t="s">
        <v>84</v>
      </c>
      <c r="G47" s="271" t="s">
        <v>7276</v>
      </c>
    </row>
    <row r="48" spans="1:7" ht="30" customHeight="1" x14ac:dyDescent="0.2">
      <c r="A48" s="316">
        <v>2158</v>
      </c>
      <c r="B48" s="255" t="s">
        <v>6082</v>
      </c>
      <c r="C48" s="255" t="s">
        <v>10162</v>
      </c>
      <c r="D48" s="255" t="s">
        <v>7284</v>
      </c>
      <c r="E48" s="255" t="s">
        <v>1022</v>
      </c>
      <c r="F48" s="271" t="s">
        <v>84</v>
      </c>
      <c r="G48" s="271" t="s">
        <v>7276</v>
      </c>
    </row>
    <row r="49" spans="1:7" ht="30" customHeight="1" x14ac:dyDescent="0.2">
      <c r="A49" s="316">
        <v>2159</v>
      </c>
      <c r="B49" s="255" t="s">
        <v>6082</v>
      </c>
      <c r="C49" s="255" t="s">
        <v>6086</v>
      </c>
      <c r="D49" s="255" t="s">
        <v>7285</v>
      </c>
      <c r="E49" s="255" t="s">
        <v>1022</v>
      </c>
      <c r="F49" s="271" t="s">
        <v>84</v>
      </c>
      <c r="G49" s="271" t="s">
        <v>7276</v>
      </c>
    </row>
    <row r="50" spans="1:7" ht="30" customHeight="1" x14ac:dyDescent="0.2">
      <c r="A50" s="316">
        <v>2160</v>
      </c>
      <c r="B50" s="255" t="s">
        <v>6082</v>
      </c>
      <c r="C50" s="255" t="s">
        <v>6087</v>
      </c>
      <c r="D50" s="255" t="s">
        <v>7286</v>
      </c>
      <c r="E50" s="255" t="s">
        <v>1022</v>
      </c>
      <c r="F50" s="271" t="s">
        <v>84</v>
      </c>
      <c r="G50" s="271" t="s">
        <v>7276</v>
      </c>
    </row>
    <row r="51" spans="1:7" ht="30" customHeight="1" x14ac:dyDescent="0.2">
      <c r="A51" s="316">
        <v>2161</v>
      </c>
      <c r="B51" s="255" t="s">
        <v>6088</v>
      </c>
      <c r="C51" s="255" t="s">
        <v>6089</v>
      </c>
      <c r="D51" s="255" t="s">
        <v>7318</v>
      </c>
      <c r="E51" s="255" t="s">
        <v>1083</v>
      </c>
      <c r="F51" s="271" t="s">
        <v>84</v>
      </c>
      <c r="G51" s="271" t="s">
        <v>7276</v>
      </c>
    </row>
    <row r="52" spans="1:7" ht="30" customHeight="1" x14ac:dyDescent="0.2">
      <c r="A52" s="316">
        <v>2162</v>
      </c>
      <c r="B52" s="255" t="s">
        <v>6090</v>
      </c>
      <c r="C52" s="255" t="s">
        <v>10163</v>
      </c>
      <c r="D52" s="253" t="s">
        <v>7407</v>
      </c>
      <c r="E52" s="255" t="s">
        <v>6091</v>
      </c>
      <c r="F52" s="256" t="s">
        <v>565</v>
      </c>
      <c r="G52" s="256" t="s">
        <v>7405</v>
      </c>
    </row>
    <row r="53" spans="1:7" ht="30" customHeight="1" x14ac:dyDescent="0.2">
      <c r="A53" s="316">
        <v>2163</v>
      </c>
      <c r="B53" s="255" t="s">
        <v>6090</v>
      </c>
      <c r="C53" s="255" t="s">
        <v>6092</v>
      </c>
      <c r="D53" s="253" t="s">
        <v>8116</v>
      </c>
      <c r="E53" s="255" t="s">
        <v>6091</v>
      </c>
      <c r="F53" s="256" t="s">
        <v>565</v>
      </c>
      <c r="G53" s="256" t="s">
        <v>8076</v>
      </c>
    </row>
    <row r="54" spans="1:7" ht="30" customHeight="1" x14ac:dyDescent="0.2">
      <c r="A54" s="316">
        <v>2164</v>
      </c>
      <c r="B54" s="255" t="s">
        <v>6090</v>
      </c>
      <c r="C54" s="255" t="s">
        <v>10164</v>
      </c>
      <c r="D54" s="349" t="s">
        <v>7408</v>
      </c>
      <c r="E54" s="255" t="s">
        <v>6091</v>
      </c>
      <c r="F54" s="256" t="s">
        <v>565</v>
      </c>
      <c r="G54" s="256" t="s">
        <v>7405</v>
      </c>
    </row>
    <row r="55" spans="1:7" ht="30" customHeight="1" x14ac:dyDescent="0.2">
      <c r="A55" s="316">
        <v>2165</v>
      </c>
      <c r="B55" s="255" t="s">
        <v>6090</v>
      </c>
      <c r="C55" s="255" t="s">
        <v>10165</v>
      </c>
      <c r="D55" s="349" t="s">
        <v>7409</v>
      </c>
      <c r="E55" s="255" t="s">
        <v>6091</v>
      </c>
      <c r="F55" s="256" t="s">
        <v>565</v>
      </c>
      <c r="G55" s="256" t="s">
        <v>7405</v>
      </c>
    </row>
    <row r="56" spans="1:7" ht="30" customHeight="1" x14ac:dyDescent="0.2">
      <c r="A56" s="316">
        <v>2166</v>
      </c>
      <c r="B56" s="255" t="s">
        <v>6090</v>
      </c>
      <c r="C56" s="255" t="s">
        <v>6093</v>
      </c>
      <c r="D56" s="349" t="s">
        <v>7410</v>
      </c>
      <c r="E56" s="255" t="s">
        <v>6091</v>
      </c>
      <c r="F56" s="256" t="s">
        <v>565</v>
      </c>
      <c r="G56" s="256" t="s">
        <v>7405</v>
      </c>
    </row>
    <row r="57" spans="1:7" ht="30" customHeight="1" x14ac:dyDescent="0.2">
      <c r="A57" s="316">
        <v>2167</v>
      </c>
      <c r="B57" s="255" t="s">
        <v>6090</v>
      </c>
      <c r="C57" s="255" t="s">
        <v>10166</v>
      </c>
      <c r="D57" s="349" t="s">
        <v>7411</v>
      </c>
      <c r="E57" s="255" t="s">
        <v>6094</v>
      </c>
      <c r="F57" s="256" t="s">
        <v>565</v>
      </c>
      <c r="G57" s="256" t="s">
        <v>7405</v>
      </c>
    </row>
    <row r="58" spans="1:7" ht="30" customHeight="1" x14ac:dyDescent="0.2">
      <c r="A58" s="316">
        <v>2168</v>
      </c>
      <c r="B58" s="255" t="s">
        <v>6090</v>
      </c>
      <c r="C58" s="255" t="s">
        <v>6095</v>
      </c>
      <c r="D58" s="349" t="s">
        <v>7412</v>
      </c>
      <c r="E58" s="255" t="s">
        <v>6091</v>
      </c>
      <c r="F58" s="256" t="s">
        <v>565</v>
      </c>
      <c r="G58" s="256" t="s">
        <v>7405</v>
      </c>
    </row>
    <row r="59" spans="1:7" ht="30" customHeight="1" x14ac:dyDescent="0.2">
      <c r="A59" s="316">
        <v>2169</v>
      </c>
      <c r="B59" s="255" t="s">
        <v>6090</v>
      </c>
      <c r="C59" s="255" t="s">
        <v>6096</v>
      </c>
      <c r="D59" s="349" t="s">
        <v>7413</v>
      </c>
      <c r="E59" s="255" t="s">
        <v>6091</v>
      </c>
      <c r="F59" s="256" t="s">
        <v>565</v>
      </c>
      <c r="G59" s="256" t="s">
        <v>7405</v>
      </c>
    </row>
    <row r="60" spans="1:7" ht="30" customHeight="1" x14ac:dyDescent="0.2">
      <c r="A60" s="316">
        <v>2170</v>
      </c>
      <c r="B60" s="255" t="s">
        <v>6097</v>
      </c>
      <c r="C60" s="255" t="s">
        <v>6098</v>
      </c>
      <c r="D60" s="255" t="s">
        <v>7414</v>
      </c>
      <c r="E60" s="255" t="s">
        <v>3445</v>
      </c>
      <c r="F60" s="256" t="s">
        <v>565</v>
      </c>
      <c r="G60" s="256" t="s">
        <v>7405</v>
      </c>
    </row>
    <row r="61" spans="1:7" ht="30" customHeight="1" x14ac:dyDescent="0.2">
      <c r="A61" s="316">
        <v>2171</v>
      </c>
      <c r="B61" s="255" t="s">
        <v>6097</v>
      </c>
      <c r="C61" s="255" t="s">
        <v>6099</v>
      </c>
      <c r="D61" s="255" t="s">
        <v>7415</v>
      </c>
      <c r="E61" s="255" t="s">
        <v>3445</v>
      </c>
      <c r="F61" s="256" t="s">
        <v>565</v>
      </c>
      <c r="G61" s="256" t="s">
        <v>7405</v>
      </c>
    </row>
    <row r="62" spans="1:7" ht="30" customHeight="1" x14ac:dyDescent="0.2">
      <c r="A62" s="316">
        <v>2172</v>
      </c>
      <c r="B62" s="255" t="s">
        <v>6097</v>
      </c>
      <c r="C62" s="255" t="s">
        <v>6100</v>
      </c>
      <c r="D62" s="255" t="s">
        <v>7416</v>
      </c>
      <c r="E62" s="255" t="s">
        <v>3445</v>
      </c>
      <c r="F62" s="256" t="s">
        <v>565</v>
      </c>
      <c r="G62" s="256" t="s">
        <v>7405</v>
      </c>
    </row>
    <row r="63" spans="1:7" ht="30" customHeight="1" x14ac:dyDescent="0.2">
      <c r="A63" s="316">
        <v>2173</v>
      </c>
      <c r="B63" s="255" t="s">
        <v>6097</v>
      </c>
      <c r="C63" s="255" t="s">
        <v>6101</v>
      </c>
      <c r="D63" s="255" t="s">
        <v>7417</v>
      </c>
      <c r="E63" s="255" t="s">
        <v>6102</v>
      </c>
      <c r="F63" s="256" t="s">
        <v>565</v>
      </c>
      <c r="G63" s="256" t="s">
        <v>7405</v>
      </c>
    </row>
    <row r="64" spans="1:7" ht="30" customHeight="1" x14ac:dyDescent="0.2">
      <c r="A64" s="316">
        <v>2174</v>
      </c>
      <c r="B64" s="255" t="s">
        <v>6097</v>
      </c>
      <c r="C64" s="255" t="s">
        <v>6103</v>
      </c>
      <c r="D64" s="255" t="s">
        <v>7418</v>
      </c>
      <c r="E64" s="255" t="s">
        <v>6104</v>
      </c>
      <c r="F64" s="256" t="s">
        <v>565</v>
      </c>
      <c r="G64" s="256" t="s">
        <v>7405</v>
      </c>
    </row>
    <row r="65" spans="1:7" ht="30" customHeight="1" x14ac:dyDescent="0.2">
      <c r="A65" s="316">
        <v>2175</v>
      </c>
      <c r="B65" s="255" t="s">
        <v>6097</v>
      </c>
      <c r="C65" s="255" t="s">
        <v>6105</v>
      </c>
      <c r="D65" s="255" t="s">
        <v>7419</v>
      </c>
      <c r="E65" s="255" t="s">
        <v>1652</v>
      </c>
      <c r="F65" s="256" t="s">
        <v>565</v>
      </c>
      <c r="G65" s="256" t="s">
        <v>7405</v>
      </c>
    </row>
    <row r="66" spans="1:7" ht="30" customHeight="1" x14ac:dyDescent="0.2">
      <c r="A66" s="316">
        <v>2176</v>
      </c>
      <c r="B66" s="255" t="s">
        <v>6097</v>
      </c>
      <c r="C66" s="255" t="s">
        <v>6106</v>
      </c>
      <c r="D66" s="255" t="s">
        <v>7420</v>
      </c>
      <c r="E66" s="255" t="s">
        <v>1652</v>
      </c>
      <c r="F66" s="256" t="s">
        <v>565</v>
      </c>
      <c r="G66" s="256" t="s">
        <v>7405</v>
      </c>
    </row>
    <row r="67" spans="1:7" ht="30" customHeight="1" x14ac:dyDescent="0.2">
      <c r="A67" s="316">
        <v>2177</v>
      </c>
      <c r="B67" s="255" t="s">
        <v>6097</v>
      </c>
      <c r="C67" s="255" t="s">
        <v>6107</v>
      </c>
      <c r="D67" s="255" t="s">
        <v>7421</v>
      </c>
      <c r="E67" s="255" t="s">
        <v>3445</v>
      </c>
      <c r="F67" s="256" t="s">
        <v>565</v>
      </c>
      <c r="G67" s="256" t="s">
        <v>7405</v>
      </c>
    </row>
    <row r="68" spans="1:7" ht="30" customHeight="1" x14ac:dyDescent="0.2">
      <c r="A68" s="316">
        <v>2178</v>
      </c>
      <c r="B68" s="255" t="s">
        <v>6097</v>
      </c>
      <c r="C68" s="255" t="s">
        <v>6108</v>
      </c>
      <c r="D68" s="255" t="s">
        <v>8117</v>
      </c>
      <c r="E68" s="255" t="s">
        <v>6102</v>
      </c>
      <c r="F68" s="256" t="s">
        <v>565</v>
      </c>
      <c r="G68" s="256" t="s">
        <v>8076</v>
      </c>
    </row>
    <row r="69" spans="1:7" ht="30" customHeight="1" x14ac:dyDescent="0.2">
      <c r="A69" s="316">
        <v>2179</v>
      </c>
      <c r="B69" s="255" t="s">
        <v>6097</v>
      </c>
      <c r="C69" s="255" t="s">
        <v>6109</v>
      </c>
      <c r="D69" s="255" t="s">
        <v>7422</v>
      </c>
      <c r="E69" s="255" t="s">
        <v>3445</v>
      </c>
      <c r="F69" s="256" t="s">
        <v>565</v>
      </c>
      <c r="G69" s="256" t="s">
        <v>7405</v>
      </c>
    </row>
    <row r="70" spans="1:7" ht="30" customHeight="1" x14ac:dyDescent="0.2">
      <c r="A70" s="316">
        <v>2180</v>
      </c>
      <c r="B70" s="255" t="s">
        <v>6097</v>
      </c>
      <c r="C70" s="255" t="s">
        <v>6110</v>
      </c>
      <c r="D70" s="255" t="s">
        <v>8117</v>
      </c>
      <c r="E70" s="255" t="s">
        <v>6102</v>
      </c>
      <c r="F70" s="256" t="s">
        <v>565</v>
      </c>
      <c r="G70" s="256" t="s">
        <v>8076</v>
      </c>
    </row>
    <row r="71" spans="1:7" ht="30" customHeight="1" x14ac:dyDescent="0.2">
      <c r="A71" s="316">
        <v>2181</v>
      </c>
      <c r="B71" s="255" t="s">
        <v>6097</v>
      </c>
      <c r="C71" s="255" t="s">
        <v>6111</v>
      </c>
      <c r="D71" s="255" t="s">
        <v>8117</v>
      </c>
      <c r="E71" s="255" t="s">
        <v>6102</v>
      </c>
      <c r="F71" s="256" t="s">
        <v>565</v>
      </c>
      <c r="G71" s="256" t="s">
        <v>8076</v>
      </c>
    </row>
    <row r="72" spans="1:7" ht="30" customHeight="1" x14ac:dyDescent="0.2">
      <c r="A72" s="316">
        <v>2182</v>
      </c>
      <c r="B72" s="255" t="s">
        <v>6097</v>
      </c>
      <c r="C72" s="255" t="s">
        <v>6112</v>
      </c>
      <c r="D72" s="255" t="s">
        <v>8117</v>
      </c>
      <c r="E72" s="255" t="s">
        <v>6102</v>
      </c>
      <c r="F72" s="256" t="s">
        <v>565</v>
      </c>
      <c r="G72" s="256" t="s">
        <v>8076</v>
      </c>
    </row>
    <row r="73" spans="1:7" ht="30" customHeight="1" x14ac:dyDescent="0.2">
      <c r="A73" s="316">
        <v>2183</v>
      </c>
      <c r="B73" s="255" t="s">
        <v>6097</v>
      </c>
      <c r="C73" s="255" t="s">
        <v>6113</v>
      </c>
      <c r="D73" s="255" t="s">
        <v>7423</v>
      </c>
      <c r="E73" s="255" t="s">
        <v>3445</v>
      </c>
      <c r="F73" s="256" t="s">
        <v>565</v>
      </c>
      <c r="G73" s="256" t="s">
        <v>7405</v>
      </c>
    </row>
    <row r="74" spans="1:7" ht="30" customHeight="1" x14ac:dyDescent="0.2">
      <c r="A74" s="316">
        <v>2184</v>
      </c>
      <c r="B74" s="255" t="s">
        <v>6097</v>
      </c>
      <c r="C74" s="255" t="s">
        <v>6114</v>
      </c>
      <c r="D74" s="255" t="s">
        <v>8118</v>
      </c>
      <c r="E74" s="255" t="s">
        <v>3445</v>
      </c>
      <c r="F74" s="271" t="s">
        <v>565</v>
      </c>
      <c r="G74" s="271" t="s">
        <v>8076</v>
      </c>
    </row>
    <row r="75" spans="1:7" ht="30" customHeight="1" x14ac:dyDescent="0.2">
      <c r="A75" s="316">
        <v>2185</v>
      </c>
      <c r="B75" s="255" t="s">
        <v>6097</v>
      </c>
      <c r="C75" s="255" t="s">
        <v>6115</v>
      </c>
      <c r="D75" s="255" t="s">
        <v>7424</v>
      </c>
      <c r="E75" s="255" t="s">
        <v>6116</v>
      </c>
      <c r="F75" s="271" t="s">
        <v>565</v>
      </c>
      <c r="G75" s="271" t="s">
        <v>7405</v>
      </c>
    </row>
    <row r="76" spans="1:7" ht="30" customHeight="1" x14ac:dyDescent="0.2">
      <c r="A76" s="316">
        <v>2186</v>
      </c>
      <c r="B76" s="255" t="s">
        <v>6097</v>
      </c>
      <c r="C76" s="255" t="s">
        <v>6117</v>
      </c>
      <c r="D76" s="255" t="s">
        <v>7425</v>
      </c>
      <c r="E76" s="255" t="s">
        <v>6116</v>
      </c>
      <c r="F76" s="271" t="s">
        <v>565</v>
      </c>
      <c r="G76" s="271" t="s">
        <v>7405</v>
      </c>
    </row>
    <row r="77" spans="1:7" ht="30" customHeight="1" x14ac:dyDescent="0.2">
      <c r="A77" s="316">
        <v>2187</v>
      </c>
      <c r="B77" s="255" t="s">
        <v>6097</v>
      </c>
      <c r="C77" s="255" t="s">
        <v>10167</v>
      </c>
      <c r="D77" s="255" t="s">
        <v>7287</v>
      </c>
      <c r="E77" s="255" t="s">
        <v>1638</v>
      </c>
      <c r="F77" s="271" t="s">
        <v>84</v>
      </c>
      <c r="G77" s="271" t="s">
        <v>7276</v>
      </c>
    </row>
    <row r="78" spans="1:7" ht="30" customHeight="1" x14ac:dyDescent="0.2">
      <c r="A78" s="316">
        <v>2188</v>
      </c>
      <c r="B78" s="255" t="s">
        <v>6097</v>
      </c>
      <c r="C78" s="255" t="s">
        <v>6118</v>
      </c>
      <c r="D78" s="255" t="s">
        <v>7426</v>
      </c>
      <c r="E78" s="255" t="s">
        <v>6119</v>
      </c>
      <c r="F78" s="271" t="s">
        <v>565</v>
      </c>
      <c r="G78" s="271" t="s">
        <v>7405</v>
      </c>
    </row>
    <row r="79" spans="1:7" ht="30" customHeight="1" x14ac:dyDescent="0.2">
      <c r="A79" s="316">
        <v>2189</v>
      </c>
      <c r="B79" s="255" t="s">
        <v>6097</v>
      </c>
      <c r="C79" s="255" t="s">
        <v>6120</v>
      </c>
      <c r="D79" s="255" t="s">
        <v>8117</v>
      </c>
      <c r="E79" s="255" t="s">
        <v>6102</v>
      </c>
      <c r="F79" s="271" t="s">
        <v>565</v>
      </c>
      <c r="G79" s="271" t="s">
        <v>8076</v>
      </c>
    </row>
    <row r="80" spans="1:7" ht="30" customHeight="1" x14ac:dyDescent="0.2">
      <c r="A80" s="316">
        <v>2190</v>
      </c>
      <c r="B80" s="255" t="s">
        <v>6097</v>
      </c>
      <c r="C80" s="255" t="s">
        <v>6121</v>
      </c>
      <c r="D80" s="255" t="s">
        <v>8117</v>
      </c>
      <c r="E80" s="255" t="s">
        <v>6102</v>
      </c>
      <c r="F80" s="271" t="s">
        <v>565</v>
      </c>
      <c r="G80" s="271" t="s">
        <v>8076</v>
      </c>
    </row>
    <row r="81" spans="1:7" ht="30" customHeight="1" x14ac:dyDescent="0.2">
      <c r="A81" s="316">
        <v>2191</v>
      </c>
      <c r="B81" s="255" t="s">
        <v>6122</v>
      </c>
      <c r="C81" s="255" t="s">
        <v>6123</v>
      </c>
      <c r="D81" s="255" t="s">
        <v>8117</v>
      </c>
      <c r="E81" s="255" t="s">
        <v>2198</v>
      </c>
      <c r="F81" s="271" t="s">
        <v>565</v>
      </c>
      <c r="G81" s="271" t="s">
        <v>8076</v>
      </c>
    </row>
    <row r="82" spans="1:7" ht="30" customHeight="1" x14ac:dyDescent="0.2">
      <c r="A82" s="316">
        <v>2192</v>
      </c>
      <c r="B82" s="255" t="s">
        <v>6122</v>
      </c>
      <c r="C82" s="255" t="s">
        <v>6124</v>
      </c>
      <c r="D82" s="255" t="s">
        <v>8117</v>
      </c>
      <c r="E82" s="255" t="s">
        <v>2198</v>
      </c>
      <c r="F82" s="271" t="s">
        <v>565</v>
      </c>
      <c r="G82" s="271" t="s">
        <v>8076</v>
      </c>
    </row>
    <row r="83" spans="1:7" ht="30" customHeight="1" x14ac:dyDescent="0.2">
      <c r="A83" s="316">
        <v>2193</v>
      </c>
      <c r="B83" s="255" t="s">
        <v>6122</v>
      </c>
      <c r="C83" s="255" t="s">
        <v>6125</v>
      </c>
      <c r="D83" s="255" t="s">
        <v>8117</v>
      </c>
      <c r="E83" s="255" t="s">
        <v>2198</v>
      </c>
      <c r="F83" s="271" t="s">
        <v>565</v>
      </c>
      <c r="G83" s="271" t="s">
        <v>8076</v>
      </c>
    </row>
    <row r="84" spans="1:7" ht="30" customHeight="1" x14ac:dyDescent="0.2">
      <c r="A84" s="316">
        <v>2194</v>
      </c>
      <c r="B84" s="255" t="s">
        <v>6122</v>
      </c>
      <c r="C84" s="255" t="s">
        <v>6126</v>
      </c>
      <c r="D84" s="255" t="s">
        <v>7427</v>
      </c>
      <c r="E84" s="255" t="s">
        <v>6127</v>
      </c>
      <c r="F84" s="271" t="s">
        <v>565</v>
      </c>
      <c r="G84" s="271" t="s">
        <v>7405</v>
      </c>
    </row>
    <row r="85" spans="1:7" ht="30" customHeight="1" x14ac:dyDescent="0.2">
      <c r="A85" s="316">
        <v>2195</v>
      </c>
      <c r="B85" s="255" t="s">
        <v>6122</v>
      </c>
      <c r="C85" s="255" t="s">
        <v>6128</v>
      </c>
      <c r="D85" s="255" t="s">
        <v>7428</v>
      </c>
      <c r="E85" s="255" t="s">
        <v>6127</v>
      </c>
      <c r="F85" s="271" t="s">
        <v>565</v>
      </c>
      <c r="G85" s="271" t="s">
        <v>7405</v>
      </c>
    </row>
    <row r="86" spans="1:7" ht="30" customHeight="1" x14ac:dyDescent="0.2">
      <c r="A86" s="316">
        <v>2196</v>
      </c>
      <c r="B86" s="255" t="s">
        <v>6122</v>
      </c>
      <c r="C86" s="255" t="s">
        <v>10168</v>
      </c>
      <c r="D86" s="255" t="s">
        <v>7429</v>
      </c>
      <c r="E86" s="255" t="s">
        <v>6127</v>
      </c>
      <c r="F86" s="271" t="s">
        <v>565</v>
      </c>
      <c r="G86" s="271" t="s">
        <v>7405</v>
      </c>
    </row>
    <row r="87" spans="1:7" ht="30" customHeight="1" x14ac:dyDescent="0.2">
      <c r="A87" s="316">
        <v>2197</v>
      </c>
      <c r="B87" s="255" t="s">
        <v>6122</v>
      </c>
      <c r="C87" s="255" t="s">
        <v>6129</v>
      </c>
      <c r="D87" s="255" t="s">
        <v>9328</v>
      </c>
      <c r="E87" s="255" t="s">
        <v>6127</v>
      </c>
      <c r="F87" s="271" t="s">
        <v>565</v>
      </c>
      <c r="G87" s="271" t="s">
        <v>8984</v>
      </c>
    </row>
    <row r="88" spans="1:7" ht="30" customHeight="1" x14ac:dyDescent="0.2">
      <c r="A88" s="316">
        <v>2198</v>
      </c>
      <c r="B88" s="255" t="s">
        <v>6122</v>
      </c>
      <c r="C88" s="255" t="s">
        <v>6130</v>
      </c>
      <c r="D88" s="255" t="s">
        <v>8119</v>
      </c>
      <c r="E88" s="255" t="s">
        <v>6131</v>
      </c>
      <c r="F88" s="271" t="s">
        <v>565</v>
      </c>
      <c r="G88" s="271" t="s">
        <v>8076</v>
      </c>
    </row>
    <row r="89" spans="1:7" ht="30" customHeight="1" x14ac:dyDescent="0.2">
      <c r="A89" s="316">
        <v>2199</v>
      </c>
      <c r="B89" s="255" t="s">
        <v>6122</v>
      </c>
      <c r="C89" s="255" t="s">
        <v>6132</v>
      </c>
      <c r="D89" s="255" t="s">
        <v>8672</v>
      </c>
      <c r="E89" s="255" t="s">
        <v>6133</v>
      </c>
      <c r="F89" s="271" t="s">
        <v>6046</v>
      </c>
      <c r="G89" s="271" t="s">
        <v>8668</v>
      </c>
    </row>
    <row r="90" spans="1:7" ht="30" customHeight="1" x14ac:dyDescent="0.2">
      <c r="A90" s="316">
        <v>2200</v>
      </c>
      <c r="B90" s="255" t="s">
        <v>6122</v>
      </c>
      <c r="C90" s="255" t="s">
        <v>6134</v>
      </c>
      <c r="D90" s="255" t="s">
        <v>8099</v>
      </c>
      <c r="E90" s="255" t="s">
        <v>6135</v>
      </c>
      <c r="F90" s="256" t="s">
        <v>74</v>
      </c>
      <c r="G90" s="256" t="s">
        <v>8090</v>
      </c>
    </row>
    <row r="91" spans="1:7" ht="30" customHeight="1" x14ac:dyDescent="0.2">
      <c r="A91" s="316">
        <v>2201</v>
      </c>
      <c r="B91" s="255" t="s">
        <v>6122</v>
      </c>
      <c r="C91" s="255" t="s">
        <v>6136</v>
      </c>
      <c r="D91" s="255" t="s">
        <v>8100</v>
      </c>
      <c r="E91" s="255" t="s">
        <v>6137</v>
      </c>
      <c r="F91" s="256" t="s">
        <v>74</v>
      </c>
      <c r="G91" s="256" t="s">
        <v>8090</v>
      </c>
    </row>
    <row r="92" spans="1:7" ht="30" customHeight="1" x14ac:dyDescent="0.2">
      <c r="A92" s="316">
        <v>2202</v>
      </c>
      <c r="B92" s="255" t="s">
        <v>6122</v>
      </c>
      <c r="C92" s="255" t="s">
        <v>6138</v>
      </c>
      <c r="D92" s="255" t="s">
        <v>8101</v>
      </c>
      <c r="E92" s="255" t="s">
        <v>6139</v>
      </c>
      <c r="F92" s="256" t="s">
        <v>74</v>
      </c>
      <c r="G92" s="256" t="s">
        <v>8090</v>
      </c>
    </row>
    <row r="93" spans="1:7" ht="30" customHeight="1" x14ac:dyDescent="0.2">
      <c r="A93" s="316">
        <v>2203</v>
      </c>
      <c r="B93" s="255" t="s">
        <v>6122</v>
      </c>
      <c r="C93" s="255" t="s">
        <v>6140</v>
      </c>
      <c r="D93" s="255" t="s">
        <v>8853</v>
      </c>
      <c r="E93" s="255" t="s">
        <v>6141</v>
      </c>
      <c r="F93" s="271" t="s">
        <v>6046</v>
      </c>
      <c r="G93" s="271" t="s">
        <v>8668</v>
      </c>
    </row>
    <row r="94" spans="1:7" ht="30" customHeight="1" x14ac:dyDescent="0.2">
      <c r="A94" s="316">
        <v>2204</v>
      </c>
      <c r="B94" s="280" t="s">
        <v>6142</v>
      </c>
      <c r="C94" s="255" t="s">
        <v>6143</v>
      </c>
      <c r="D94" s="255" t="s">
        <v>8445</v>
      </c>
      <c r="E94" s="255" t="s">
        <v>6144</v>
      </c>
      <c r="F94" s="257" t="s">
        <v>322</v>
      </c>
      <c r="G94" s="258" t="s">
        <v>8412</v>
      </c>
    </row>
    <row r="95" spans="1:7" ht="30" customHeight="1" x14ac:dyDescent="0.2">
      <c r="A95" s="316">
        <v>2205</v>
      </c>
      <c r="B95" s="280" t="s">
        <v>6142</v>
      </c>
      <c r="C95" s="255" t="s">
        <v>6145</v>
      </c>
      <c r="D95" s="255" t="s">
        <v>8120</v>
      </c>
      <c r="E95" s="255" t="s">
        <v>6146</v>
      </c>
      <c r="F95" s="259" t="s">
        <v>6147</v>
      </c>
      <c r="G95" s="260" t="s">
        <v>8076</v>
      </c>
    </row>
    <row r="96" spans="1:7" ht="30" customHeight="1" x14ac:dyDescent="0.2">
      <c r="A96" s="316">
        <v>2206</v>
      </c>
      <c r="B96" s="280" t="s">
        <v>6142</v>
      </c>
      <c r="C96" s="255" t="s">
        <v>6148</v>
      </c>
      <c r="D96" s="255" t="s">
        <v>8237</v>
      </c>
      <c r="E96" s="255" t="s">
        <v>6149</v>
      </c>
      <c r="F96" s="256" t="s">
        <v>565</v>
      </c>
      <c r="G96" s="256" t="s">
        <v>8234</v>
      </c>
    </row>
    <row r="97" spans="1:7" ht="30" customHeight="1" x14ac:dyDescent="0.2">
      <c r="A97" s="316">
        <v>2207</v>
      </c>
      <c r="B97" s="280" t="s">
        <v>6142</v>
      </c>
      <c r="C97" s="255" t="s">
        <v>6150</v>
      </c>
      <c r="D97" s="255" t="s">
        <v>8089</v>
      </c>
      <c r="E97" s="255" t="s">
        <v>6151</v>
      </c>
      <c r="F97" s="256" t="s">
        <v>322</v>
      </c>
      <c r="G97" s="256" t="s">
        <v>8090</v>
      </c>
    </row>
    <row r="98" spans="1:7" ht="30" customHeight="1" x14ac:dyDescent="0.2">
      <c r="A98" s="316">
        <v>2208</v>
      </c>
      <c r="B98" s="280" t="s">
        <v>6142</v>
      </c>
      <c r="C98" s="255" t="s">
        <v>6152</v>
      </c>
      <c r="D98" s="255" t="s">
        <v>9104</v>
      </c>
      <c r="E98" s="255" t="s">
        <v>6153</v>
      </c>
      <c r="F98" s="256" t="s">
        <v>84</v>
      </c>
      <c r="G98" s="256" t="s">
        <v>8947</v>
      </c>
    </row>
    <row r="99" spans="1:7" ht="30" customHeight="1" x14ac:dyDescent="0.2">
      <c r="A99" s="316">
        <v>2209</v>
      </c>
      <c r="B99" s="280" t="s">
        <v>6142</v>
      </c>
      <c r="C99" s="255" t="s">
        <v>6154</v>
      </c>
      <c r="D99" s="255" t="s">
        <v>7288</v>
      </c>
      <c r="E99" s="255" t="s">
        <v>6155</v>
      </c>
      <c r="F99" s="256" t="s">
        <v>6078</v>
      </c>
      <c r="G99" s="256" t="s">
        <v>7276</v>
      </c>
    </row>
    <row r="100" spans="1:7" ht="30" customHeight="1" x14ac:dyDescent="0.2">
      <c r="A100" s="316">
        <v>2210</v>
      </c>
      <c r="B100" s="280" t="s">
        <v>6142</v>
      </c>
      <c r="C100" s="255" t="s">
        <v>6156</v>
      </c>
      <c r="D100" s="255" t="s">
        <v>8652</v>
      </c>
      <c r="E100" s="255" t="s">
        <v>6157</v>
      </c>
      <c r="F100" s="256" t="s">
        <v>84</v>
      </c>
      <c r="G100" s="256" t="s">
        <v>8577</v>
      </c>
    </row>
    <row r="101" spans="1:7" ht="30" customHeight="1" x14ac:dyDescent="0.2">
      <c r="A101" s="316">
        <v>2211</v>
      </c>
      <c r="B101" s="280" t="s">
        <v>6142</v>
      </c>
      <c r="C101" s="255" t="s">
        <v>6158</v>
      </c>
      <c r="D101" s="255" t="s">
        <v>8603</v>
      </c>
      <c r="E101" s="255"/>
      <c r="F101" s="256" t="s">
        <v>3171</v>
      </c>
      <c r="G101" s="256" t="s">
        <v>8577</v>
      </c>
    </row>
    <row r="102" spans="1:7" ht="48.75" customHeight="1" x14ac:dyDescent="0.2">
      <c r="A102" s="316">
        <v>2212</v>
      </c>
      <c r="B102" s="280" t="s">
        <v>6142</v>
      </c>
      <c r="C102" s="255" t="s">
        <v>6159</v>
      </c>
      <c r="D102" s="255" t="s">
        <v>9158</v>
      </c>
      <c r="E102" s="255"/>
      <c r="F102" s="256" t="s">
        <v>84</v>
      </c>
      <c r="G102" s="256" t="s">
        <v>9136</v>
      </c>
    </row>
    <row r="103" spans="1:7" ht="30" customHeight="1" x14ac:dyDescent="0.2">
      <c r="A103" s="316">
        <v>2213</v>
      </c>
      <c r="B103" s="280" t="s">
        <v>6142</v>
      </c>
      <c r="C103" s="255" t="s">
        <v>6160</v>
      </c>
      <c r="D103" s="255" t="s">
        <v>7430</v>
      </c>
      <c r="E103" s="255" t="s">
        <v>6161</v>
      </c>
      <c r="F103" s="256" t="s">
        <v>565</v>
      </c>
      <c r="G103" s="256" t="s">
        <v>7405</v>
      </c>
    </row>
    <row r="104" spans="1:7" ht="30" customHeight="1" x14ac:dyDescent="0.2">
      <c r="A104" s="316">
        <v>2214</v>
      </c>
      <c r="B104" s="280" t="s">
        <v>6142</v>
      </c>
      <c r="C104" s="255" t="s">
        <v>6162</v>
      </c>
      <c r="D104" s="255" t="s">
        <v>8295</v>
      </c>
      <c r="E104" s="255" t="s">
        <v>6163</v>
      </c>
      <c r="F104" s="256" t="s">
        <v>565</v>
      </c>
      <c r="G104" s="256" t="s">
        <v>8257</v>
      </c>
    </row>
    <row r="105" spans="1:7" ht="30" customHeight="1" x14ac:dyDescent="0.2">
      <c r="A105" s="316">
        <v>2215</v>
      </c>
      <c r="B105" s="280" t="s">
        <v>6142</v>
      </c>
      <c r="C105" s="255" t="s">
        <v>6164</v>
      </c>
      <c r="D105" s="255" t="s">
        <v>9329</v>
      </c>
      <c r="E105" s="255" t="s">
        <v>6165</v>
      </c>
      <c r="F105" s="256" t="s">
        <v>565</v>
      </c>
      <c r="G105" s="256" t="s">
        <v>8984</v>
      </c>
    </row>
    <row r="106" spans="1:7" ht="30" customHeight="1" x14ac:dyDescent="0.2">
      <c r="A106" s="316">
        <v>2216</v>
      </c>
      <c r="B106" s="280" t="s">
        <v>6142</v>
      </c>
      <c r="C106" s="255" t="s">
        <v>6166</v>
      </c>
      <c r="D106" s="255" t="s">
        <v>7538</v>
      </c>
      <c r="E106" s="255" t="s">
        <v>6167</v>
      </c>
      <c r="F106" s="256" t="s">
        <v>6078</v>
      </c>
      <c r="G106" s="256" t="s">
        <v>7527</v>
      </c>
    </row>
    <row r="107" spans="1:7" ht="30" customHeight="1" x14ac:dyDescent="0.2">
      <c r="A107" s="316">
        <v>2217</v>
      </c>
      <c r="B107" s="280" t="s">
        <v>6142</v>
      </c>
      <c r="C107" s="255" t="s">
        <v>6168</v>
      </c>
      <c r="D107" s="255" t="s">
        <v>8629</v>
      </c>
      <c r="E107" s="255" t="s">
        <v>6169</v>
      </c>
      <c r="F107" s="256" t="s">
        <v>6170</v>
      </c>
      <c r="G107" s="256" t="s">
        <v>8577</v>
      </c>
    </row>
    <row r="108" spans="1:7" ht="30" customHeight="1" x14ac:dyDescent="0.2">
      <c r="A108" s="316">
        <v>2218</v>
      </c>
      <c r="B108" s="280" t="s">
        <v>6142</v>
      </c>
      <c r="C108" s="255" t="s">
        <v>6171</v>
      </c>
      <c r="D108" s="255" t="s">
        <v>8523</v>
      </c>
      <c r="E108" s="255"/>
      <c r="F108" s="256" t="s">
        <v>322</v>
      </c>
      <c r="G108" s="256" t="s">
        <v>8412</v>
      </c>
    </row>
    <row r="109" spans="1:7" ht="30" customHeight="1" x14ac:dyDescent="0.2">
      <c r="A109" s="316">
        <v>2219</v>
      </c>
      <c r="B109" s="255" t="s">
        <v>6172</v>
      </c>
      <c r="C109" s="255" t="s">
        <v>6173</v>
      </c>
      <c r="D109" s="255" t="s">
        <v>9105</v>
      </c>
      <c r="E109" s="255" t="s">
        <v>6174</v>
      </c>
      <c r="F109" s="256" t="s">
        <v>84</v>
      </c>
      <c r="G109" s="256" t="s">
        <v>8890</v>
      </c>
    </row>
    <row r="110" spans="1:7" ht="30" customHeight="1" x14ac:dyDescent="0.2">
      <c r="A110" s="316">
        <v>2220</v>
      </c>
      <c r="B110" s="255" t="s">
        <v>6172</v>
      </c>
      <c r="C110" s="255" t="s">
        <v>6175</v>
      </c>
      <c r="D110" s="255" t="s">
        <v>7539</v>
      </c>
      <c r="E110" s="255" t="s">
        <v>6176</v>
      </c>
      <c r="F110" s="256" t="s">
        <v>84</v>
      </c>
      <c r="G110" s="256" t="s">
        <v>7527</v>
      </c>
    </row>
    <row r="111" spans="1:7" ht="30" customHeight="1" x14ac:dyDescent="0.2">
      <c r="A111" s="316">
        <v>2221</v>
      </c>
      <c r="B111" s="255" t="s">
        <v>6172</v>
      </c>
      <c r="C111" s="255" t="s">
        <v>6177</v>
      </c>
      <c r="D111" s="255" t="s">
        <v>8653</v>
      </c>
      <c r="E111" s="255" t="s">
        <v>6178</v>
      </c>
      <c r="F111" s="256" t="s">
        <v>84</v>
      </c>
      <c r="G111" s="256" t="s">
        <v>8577</v>
      </c>
    </row>
    <row r="112" spans="1:7" ht="30" customHeight="1" x14ac:dyDescent="0.2">
      <c r="A112" s="316">
        <v>2222</v>
      </c>
      <c r="B112" s="255" t="s">
        <v>6172</v>
      </c>
      <c r="C112" s="255" t="s">
        <v>6179</v>
      </c>
      <c r="D112" s="255" t="s">
        <v>7289</v>
      </c>
      <c r="E112" s="255" t="s">
        <v>6180</v>
      </c>
      <c r="F112" s="256" t="s">
        <v>84</v>
      </c>
      <c r="G112" s="256" t="s">
        <v>7276</v>
      </c>
    </row>
    <row r="113" spans="1:7" ht="30" customHeight="1" x14ac:dyDescent="0.2">
      <c r="A113" s="316">
        <v>2223</v>
      </c>
      <c r="B113" s="255" t="s">
        <v>6172</v>
      </c>
      <c r="C113" s="255" t="s">
        <v>10169</v>
      </c>
      <c r="D113" s="255" t="s">
        <v>9106</v>
      </c>
      <c r="E113" s="255" t="s">
        <v>6181</v>
      </c>
      <c r="F113" s="256" t="s">
        <v>84</v>
      </c>
      <c r="G113" s="256" t="s">
        <v>8890</v>
      </c>
    </row>
    <row r="114" spans="1:7" ht="30" customHeight="1" x14ac:dyDescent="0.2">
      <c r="A114" s="316">
        <v>2224</v>
      </c>
      <c r="B114" s="255" t="s">
        <v>6172</v>
      </c>
      <c r="C114" s="255" t="s">
        <v>6182</v>
      </c>
      <c r="D114" s="255" t="s">
        <v>8654</v>
      </c>
      <c r="E114" s="255" t="s">
        <v>2881</v>
      </c>
      <c r="F114" s="256" t="s">
        <v>84</v>
      </c>
      <c r="G114" s="256" t="s">
        <v>8577</v>
      </c>
    </row>
    <row r="115" spans="1:7" ht="30" customHeight="1" x14ac:dyDescent="0.2">
      <c r="A115" s="316">
        <v>2225</v>
      </c>
      <c r="B115" s="255" t="s">
        <v>6172</v>
      </c>
      <c r="C115" s="255" t="s">
        <v>6183</v>
      </c>
      <c r="D115" s="255" t="s">
        <v>8433</v>
      </c>
      <c r="E115" s="255" t="s">
        <v>6184</v>
      </c>
      <c r="F115" s="256" t="s">
        <v>84</v>
      </c>
      <c r="G115" s="256" t="s">
        <v>8412</v>
      </c>
    </row>
    <row r="116" spans="1:7" ht="30" customHeight="1" x14ac:dyDescent="0.2">
      <c r="A116" s="316">
        <v>2226</v>
      </c>
      <c r="B116" s="255" t="s">
        <v>6172</v>
      </c>
      <c r="C116" s="255" t="s">
        <v>6185</v>
      </c>
      <c r="D116" s="255" t="s">
        <v>8434</v>
      </c>
      <c r="E116" s="255" t="s">
        <v>6186</v>
      </c>
      <c r="F116" s="256" t="s">
        <v>84</v>
      </c>
      <c r="G116" s="256" t="s">
        <v>8412</v>
      </c>
    </row>
    <row r="117" spans="1:7" ht="30" customHeight="1" x14ac:dyDescent="0.2">
      <c r="A117" s="316">
        <v>2227</v>
      </c>
      <c r="B117" s="255" t="s">
        <v>6172</v>
      </c>
      <c r="C117" s="255" t="s">
        <v>6187</v>
      </c>
      <c r="D117" s="255" t="s">
        <v>8630</v>
      </c>
      <c r="E117" s="255" t="s">
        <v>6188</v>
      </c>
      <c r="F117" s="256" t="s">
        <v>84</v>
      </c>
      <c r="G117" s="256" t="s">
        <v>8577</v>
      </c>
    </row>
    <row r="118" spans="1:7" ht="30" customHeight="1" x14ac:dyDescent="0.2">
      <c r="A118" s="316">
        <v>2228</v>
      </c>
      <c r="B118" s="255" t="s">
        <v>6172</v>
      </c>
      <c r="C118" s="255" t="s">
        <v>6189</v>
      </c>
      <c r="D118" s="255" t="s">
        <v>8655</v>
      </c>
      <c r="E118" s="255" t="s">
        <v>6190</v>
      </c>
      <c r="F118" s="256" t="s">
        <v>6078</v>
      </c>
      <c r="G118" s="256" t="s">
        <v>8577</v>
      </c>
    </row>
    <row r="119" spans="1:7" ht="30" customHeight="1" x14ac:dyDescent="0.2">
      <c r="A119" s="316">
        <v>2229</v>
      </c>
      <c r="B119" s="255" t="s">
        <v>6172</v>
      </c>
      <c r="C119" s="255" t="s">
        <v>6191</v>
      </c>
      <c r="D119" s="255" t="s">
        <v>8656</v>
      </c>
      <c r="E119" s="255" t="s">
        <v>6192</v>
      </c>
      <c r="F119" s="256" t="s">
        <v>6078</v>
      </c>
      <c r="G119" s="256" t="s">
        <v>8577</v>
      </c>
    </row>
    <row r="120" spans="1:7" ht="30" customHeight="1" x14ac:dyDescent="0.2">
      <c r="A120" s="316">
        <v>2230</v>
      </c>
      <c r="B120" s="255" t="s">
        <v>6172</v>
      </c>
      <c r="C120" s="255" t="s">
        <v>6193</v>
      </c>
      <c r="D120" s="255" t="s">
        <v>8631</v>
      </c>
      <c r="E120" s="255" t="s">
        <v>6194</v>
      </c>
      <c r="F120" s="256" t="s">
        <v>6078</v>
      </c>
      <c r="G120" s="256" t="s">
        <v>8577</v>
      </c>
    </row>
    <row r="121" spans="1:7" ht="30" customHeight="1" x14ac:dyDescent="0.2">
      <c r="A121" s="316">
        <v>2231</v>
      </c>
      <c r="B121" s="255" t="s">
        <v>6172</v>
      </c>
      <c r="C121" s="255" t="s">
        <v>6195</v>
      </c>
      <c r="D121" s="255" t="s">
        <v>8228</v>
      </c>
      <c r="E121" s="255"/>
      <c r="F121" s="256" t="s">
        <v>84</v>
      </c>
      <c r="G121" s="256" t="s">
        <v>8138</v>
      </c>
    </row>
    <row r="122" spans="1:7" ht="30" customHeight="1" x14ac:dyDescent="0.2">
      <c r="A122" s="316">
        <v>2232</v>
      </c>
      <c r="B122" s="255" t="s">
        <v>6196</v>
      </c>
      <c r="C122" s="255" t="s">
        <v>6197</v>
      </c>
      <c r="D122" s="255" t="s">
        <v>7431</v>
      </c>
      <c r="E122" s="255" t="s">
        <v>6198</v>
      </c>
      <c r="F122" s="256" t="s">
        <v>565</v>
      </c>
      <c r="G122" s="256" t="s">
        <v>7405</v>
      </c>
    </row>
    <row r="123" spans="1:7" ht="30" customHeight="1" x14ac:dyDescent="0.2">
      <c r="A123" s="316">
        <v>2233</v>
      </c>
      <c r="B123" s="255" t="s">
        <v>6196</v>
      </c>
      <c r="C123" s="255" t="s">
        <v>6199</v>
      </c>
      <c r="D123" s="255" t="s">
        <v>7432</v>
      </c>
      <c r="E123" s="255" t="s">
        <v>6200</v>
      </c>
      <c r="F123" s="256" t="s">
        <v>565</v>
      </c>
      <c r="G123" s="256" t="s">
        <v>7405</v>
      </c>
    </row>
    <row r="124" spans="1:7" ht="30" customHeight="1" x14ac:dyDescent="0.2">
      <c r="A124" s="316">
        <v>2234</v>
      </c>
      <c r="B124" s="255" t="s">
        <v>6196</v>
      </c>
      <c r="C124" s="255" t="s">
        <v>6201</v>
      </c>
      <c r="D124" s="255" t="s">
        <v>7432</v>
      </c>
      <c r="E124" s="255" t="s">
        <v>6202</v>
      </c>
      <c r="F124" s="256" t="s">
        <v>565</v>
      </c>
      <c r="G124" s="256" t="s">
        <v>7405</v>
      </c>
    </row>
    <row r="125" spans="1:7" ht="97.5" customHeight="1" x14ac:dyDescent="0.2">
      <c r="A125" s="316">
        <v>2235</v>
      </c>
      <c r="B125" s="255" t="s">
        <v>6196</v>
      </c>
      <c r="C125" s="255" t="s">
        <v>6203</v>
      </c>
      <c r="D125" s="255" t="s">
        <v>9197</v>
      </c>
      <c r="E125" s="255" t="s">
        <v>6204</v>
      </c>
      <c r="F125" s="256" t="s">
        <v>565</v>
      </c>
      <c r="G125" s="256" t="s">
        <v>7713</v>
      </c>
    </row>
    <row r="126" spans="1:7" ht="30" customHeight="1" x14ac:dyDescent="0.2">
      <c r="A126" s="316">
        <v>2236</v>
      </c>
      <c r="B126" s="255" t="s">
        <v>6196</v>
      </c>
      <c r="C126" s="255" t="s">
        <v>6205</v>
      </c>
      <c r="D126" s="255" t="s">
        <v>7433</v>
      </c>
      <c r="E126" s="255" t="s">
        <v>6206</v>
      </c>
      <c r="F126" s="256" t="s">
        <v>565</v>
      </c>
      <c r="G126" s="256" t="s">
        <v>7405</v>
      </c>
    </row>
    <row r="127" spans="1:7" ht="30" customHeight="1" x14ac:dyDescent="0.2">
      <c r="A127" s="316">
        <v>2237</v>
      </c>
      <c r="B127" s="255" t="s">
        <v>6196</v>
      </c>
      <c r="C127" s="255" t="s">
        <v>6207</v>
      </c>
      <c r="D127" s="255" t="s">
        <v>7434</v>
      </c>
      <c r="E127" s="255" t="s">
        <v>6208</v>
      </c>
      <c r="F127" s="256" t="s">
        <v>565</v>
      </c>
      <c r="G127" s="256" t="s">
        <v>7405</v>
      </c>
    </row>
    <row r="128" spans="1:7" ht="30" customHeight="1" x14ac:dyDescent="0.2">
      <c r="A128" s="316">
        <v>2238</v>
      </c>
      <c r="B128" s="255" t="s">
        <v>6196</v>
      </c>
      <c r="C128" s="255" t="s">
        <v>6209</v>
      </c>
      <c r="D128" s="255" t="s">
        <v>7915</v>
      </c>
      <c r="E128" s="255" t="s">
        <v>4941</v>
      </c>
      <c r="F128" s="256" t="s">
        <v>565</v>
      </c>
      <c r="G128" s="256" t="s">
        <v>7906</v>
      </c>
    </row>
    <row r="129" spans="1:7" ht="30" customHeight="1" x14ac:dyDescent="0.2">
      <c r="A129" s="316">
        <v>2239</v>
      </c>
      <c r="B129" s="255" t="s">
        <v>6196</v>
      </c>
      <c r="C129" s="255" t="s">
        <v>6210</v>
      </c>
      <c r="D129" s="255" t="s">
        <v>7916</v>
      </c>
      <c r="E129" s="255" t="s">
        <v>4941</v>
      </c>
      <c r="F129" s="256" t="s">
        <v>565</v>
      </c>
      <c r="G129" s="256" t="s">
        <v>7906</v>
      </c>
    </row>
    <row r="130" spans="1:7" ht="30" customHeight="1" x14ac:dyDescent="0.2">
      <c r="A130" s="316">
        <v>2240</v>
      </c>
      <c r="B130" s="255" t="s">
        <v>6196</v>
      </c>
      <c r="C130" s="255" t="s">
        <v>6211</v>
      </c>
      <c r="D130" s="255" t="s">
        <v>7917</v>
      </c>
      <c r="E130" s="255" t="s">
        <v>4941</v>
      </c>
      <c r="F130" s="256" t="s">
        <v>565</v>
      </c>
      <c r="G130" s="256" t="s">
        <v>7906</v>
      </c>
    </row>
    <row r="131" spans="1:7" ht="30" customHeight="1" x14ac:dyDescent="0.2">
      <c r="A131" s="316">
        <v>2241</v>
      </c>
      <c r="B131" s="255" t="s">
        <v>6196</v>
      </c>
      <c r="C131" s="255" t="s">
        <v>6212</v>
      </c>
      <c r="D131" s="255" t="s">
        <v>8270</v>
      </c>
      <c r="E131" s="255" t="s">
        <v>4941</v>
      </c>
      <c r="F131" s="256" t="s">
        <v>565</v>
      </c>
      <c r="G131" s="256" t="s">
        <v>8257</v>
      </c>
    </row>
    <row r="132" spans="1:7" ht="30" customHeight="1" x14ac:dyDescent="0.2">
      <c r="A132" s="316">
        <v>2242</v>
      </c>
      <c r="B132" s="255" t="s">
        <v>6196</v>
      </c>
      <c r="C132" s="255" t="s">
        <v>6213</v>
      </c>
      <c r="D132" s="255" t="s">
        <v>9330</v>
      </c>
      <c r="E132" s="255" t="s">
        <v>6214</v>
      </c>
      <c r="F132" s="256" t="s">
        <v>565</v>
      </c>
      <c r="G132" s="256" t="s">
        <v>8984</v>
      </c>
    </row>
    <row r="133" spans="1:7" ht="30" customHeight="1" x14ac:dyDescent="0.2">
      <c r="A133" s="316">
        <v>2243</v>
      </c>
      <c r="B133" s="255" t="s">
        <v>6196</v>
      </c>
      <c r="C133" s="255" t="s">
        <v>6215</v>
      </c>
      <c r="D133" s="255" t="s">
        <v>7435</v>
      </c>
      <c r="E133" s="255" t="s">
        <v>6216</v>
      </c>
      <c r="F133" s="256" t="s">
        <v>565</v>
      </c>
      <c r="G133" s="256" t="s">
        <v>7405</v>
      </c>
    </row>
    <row r="134" spans="1:7" ht="30" customHeight="1" x14ac:dyDescent="0.2">
      <c r="A134" s="316">
        <v>2244</v>
      </c>
      <c r="B134" s="255" t="s">
        <v>6196</v>
      </c>
      <c r="C134" s="255" t="s">
        <v>6217</v>
      </c>
      <c r="D134" s="255" t="s">
        <v>7436</v>
      </c>
      <c r="E134" s="255" t="s">
        <v>6218</v>
      </c>
      <c r="F134" s="256" t="s">
        <v>565</v>
      </c>
      <c r="G134" s="256" t="s">
        <v>7405</v>
      </c>
    </row>
    <row r="135" spans="1:7" ht="129.75" customHeight="1" x14ac:dyDescent="0.2">
      <c r="A135" s="316">
        <v>2245</v>
      </c>
      <c r="B135" s="255" t="s">
        <v>6219</v>
      </c>
      <c r="C135" s="255" t="s">
        <v>6220</v>
      </c>
      <c r="D135" s="255" t="s">
        <v>9198</v>
      </c>
      <c r="E135" s="255" t="s">
        <v>1619</v>
      </c>
      <c r="F135" s="271" t="s">
        <v>149</v>
      </c>
      <c r="G135" s="271" t="s">
        <v>9179</v>
      </c>
    </row>
    <row r="136" spans="1:7" ht="218.25" customHeight="1" x14ac:dyDescent="0.2">
      <c r="A136" s="316">
        <v>2246</v>
      </c>
      <c r="B136" s="255" t="s">
        <v>6219</v>
      </c>
      <c r="C136" s="255" t="s">
        <v>10170</v>
      </c>
      <c r="D136" s="255" t="s">
        <v>8302</v>
      </c>
      <c r="E136" s="255" t="s">
        <v>1619</v>
      </c>
      <c r="F136" s="271" t="s">
        <v>149</v>
      </c>
      <c r="G136" s="271" t="s">
        <v>9179</v>
      </c>
    </row>
    <row r="137" spans="1:7" ht="30" customHeight="1" x14ac:dyDescent="0.2">
      <c r="A137" s="318">
        <v>2247</v>
      </c>
      <c r="B137" s="350" t="s">
        <v>6219</v>
      </c>
      <c r="C137" s="255" t="s">
        <v>10171</v>
      </c>
      <c r="D137" s="350" t="s">
        <v>359</v>
      </c>
      <c r="E137" s="350" t="s">
        <v>1619</v>
      </c>
      <c r="F137" s="308" t="s">
        <v>6067</v>
      </c>
      <c r="G137" s="308" t="s">
        <v>8963</v>
      </c>
    </row>
    <row r="138" spans="1:7" ht="30" customHeight="1" x14ac:dyDescent="0.2">
      <c r="A138" s="318"/>
      <c r="B138" s="350"/>
      <c r="C138" s="255" t="s">
        <v>10172</v>
      </c>
      <c r="D138" s="350"/>
      <c r="E138" s="350"/>
      <c r="F138" s="308"/>
      <c r="G138" s="308"/>
    </row>
    <row r="139" spans="1:7" ht="30" customHeight="1" x14ac:dyDescent="0.2">
      <c r="A139" s="318"/>
      <c r="B139" s="350"/>
      <c r="C139" s="255" t="s">
        <v>2610</v>
      </c>
      <c r="D139" s="350"/>
      <c r="E139" s="350"/>
      <c r="F139" s="308"/>
      <c r="G139" s="308"/>
    </row>
    <row r="140" spans="1:7" ht="220.5" x14ac:dyDescent="0.2">
      <c r="A140" s="316">
        <v>2248</v>
      </c>
      <c r="B140" s="255" t="s">
        <v>6219</v>
      </c>
      <c r="C140" s="255" t="s">
        <v>6221</v>
      </c>
      <c r="D140" s="261" t="s">
        <v>8316</v>
      </c>
      <c r="E140" s="255" t="s">
        <v>1619</v>
      </c>
      <c r="F140" s="271" t="s">
        <v>149</v>
      </c>
      <c r="G140" s="271" t="s">
        <v>9179</v>
      </c>
    </row>
    <row r="141" spans="1:7" ht="134.25" customHeight="1" x14ac:dyDescent="0.2">
      <c r="A141" s="316">
        <v>2249</v>
      </c>
      <c r="B141" s="255" t="s">
        <v>6219</v>
      </c>
      <c r="C141" s="255" t="s">
        <v>9154</v>
      </c>
      <c r="D141" s="255" t="s">
        <v>1739</v>
      </c>
      <c r="E141" s="255" t="s">
        <v>1619</v>
      </c>
      <c r="F141" s="271" t="s">
        <v>149</v>
      </c>
      <c r="G141" s="271" t="s">
        <v>9179</v>
      </c>
    </row>
    <row r="142" spans="1:7" ht="134.25" customHeight="1" x14ac:dyDescent="0.2">
      <c r="A142" s="316">
        <v>2250</v>
      </c>
      <c r="B142" s="255" t="s">
        <v>6219</v>
      </c>
      <c r="C142" s="255" t="s">
        <v>6222</v>
      </c>
      <c r="D142" s="255" t="s">
        <v>1743</v>
      </c>
      <c r="E142" s="255" t="s">
        <v>1619</v>
      </c>
      <c r="F142" s="271" t="s">
        <v>149</v>
      </c>
      <c r="G142" s="271" t="s">
        <v>9179</v>
      </c>
    </row>
    <row r="143" spans="1:7" ht="134.25" customHeight="1" x14ac:dyDescent="0.2">
      <c r="A143" s="316">
        <v>2251</v>
      </c>
      <c r="B143" s="255" t="s">
        <v>6219</v>
      </c>
      <c r="C143" s="255" t="s">
        <v>6223</v>
      </c>
      <c r="D143" s="255" t="s">
        <v>8358</v>
      </c>
      <c r="E143" s="255" t="s">
        <v>1619</v>
      </c>
      <c r="F143" s="271" t="s">
        <v>149</v>
      </c>
      <c r="G143" s="271" t="s">
        <v>9179</v>
      </c>
    </row>
    <row r="144" spans="1:7" ht="177.75" customHeight="1" x14ac:dyDescent="0.2">
      <c r="A144" s="316">
        <v>2252</v>
      </c>
      <c r="B144" s="255" t="s">
        <v>6219</v>
      </c>
      <c r="C144" s="255" t="s">
        <v>9155</v>
      </c>
      <c r="D144" s="255" t="s">
        <v>1739</v>
      </c>
      <c r="E144" s="255" t="s">
        <v>1619</v>
      </c>
      <c r="F144" s="271" t="s">
        <v>149</v>
      </c>
      <c r="G144" s="271" t="s">
        <v>9179</v>
      </c>
    </row>
    <row r="145" spans="1:7" ht="239.25" customHeight="1" x14ac:dyDescent="0.2">
      <c r="A145" s="316">
        <v>2253</v>
      </c>
      <c r="B145" s="255" t="s">
        <v>6219</v>
      </c>
      <c r="C145" s="255" t="s">
        <v>6224</v>
      </c>
      <c r="D145" s="255" t="s">
        <v>9199</v>
      </c>
      <c r="E145" s="255" t="s">
        <v>1619</v>
      </c>
      <c r="F145" s="271" t="s">
        <v>149</v>
      </c>
      <c r="G145" s="271" t="s">
        <v>9179</v>
      </c>
    </row>
    <row r="146" spans="1:7" ht="134.25" customHeight="1" x14ac:dyDescent="0.2">
      <c r="A146" s="316">
        <v>2254</v>
      </c>
      <c r="B146" s="255" t="s">
        <v>6219</v>
      </c>
      <c r="C146" s="255" t="s">
        <v>6225</v>
      </c>
      <c r="D146" s="255" t="s">
        <v>8318</v>
      </c>
      <c r="E146" s="255" t="s">
        <v>1619</v>
      </c>
      <c r="F146" s="271" t="s">
        <v>149</v>
      </c>
      <c r="G146" s="271" t="s">
        <v>9179</v>
      </c>
    </row>
    <row r="147" spans="1:7" ht="134.25" customHeight="1" x14ac:dyDescent="0.2">
      <c r="A147" s="316">
        <v>2255</v>
      </c>
      <c r="B147" s="255" t="s">
        <v>6219</v>
      </c>
      <c r="C147" s="255" t="s">
        <v>6226</v>
      </c>
      <c r="D147" s="255" t="s">
        <v>9114</v>
      </c>
      <c r="E147" s="255" t="s">
        <v>6227</v>
      </c>
      <c r="F147" s="271" t="s">
        <v>149</v>
      </c>
      <c r="G147" s="271" t="s">
        <v>9179</v>
      </c>
    </row>
    <row r="148" spans="1:7" ht="150" customHeight="1" x14ac:dyDescent="0.2">
      <c r="A148" s="316">
        <v>2256</v>
      </c>
      <c r="B148" s="255" t="s">
        <v>6219</v>
      </c>
      <c r="C148" s="255" t="s">
        <v>6228</v>
      </c>
      <c r="D148" s="255" t="s">
        <v>9114</v>
      </c>
      <c r="E148" s="255" t="s">
        <v>6227</v>
      </c>
      <c r="F148" s="271" t="s">
        <v>149</v>
      </c>
      <c r="G148" s="271" t="s">
        <v>9179</v>
      </c>
    </row>
    <row r="149" spans="1:7" ht="108" customHeight="1" x14ac:dyDescent="0.2">
      <c r="A149" s="316">
        <v>2257</v>
      </c>
      <c r="B149" s="255" t="s">
        <v>6219</v>
      </c>
      <c r="C149" s="255" t="s">
        <v>6229</v>
      </c>
      <c r="D149" s="255" t="s">
        <v>9178</v>
      </c>
      <c r="E149" s="255" t="s">
        <v>6230</v>
      </c>
      <c r="F149" s="271" t="s">
        <v>149</v>
      </c>
      <c r="G149" s="271" t="s">
        <v>9179</v>
      </c>
    </row>
    <row r="150" spans="1:7" ht="174" customHeight="1" x14ac:dyDescent="0.2">
      <c r="A150" s="316">
        <v>2258</v>
      </c>
      <c r="B150" s="255" t="s">
        <v>6219</v>
      </c>
      <c r="C150" s="255" t="s">
        <v>10173</v>
      </c>
      <c r="D150" s="255" t="s">
        <v>9114</v>
      </c>
      <c r="E150" s="255" t="s">
        <v>6227</v>
      </c>
      <c r="F150" s="271" t="s">
        <v>149</v>
      </c>
      <c r="G150" s="271" t="s">
        <v>9179</v>
      </c>
    </row>
    <row r="151" spans="1:7" ht="306" customHeight="1" x14ac:dyDescent="0.2">
      <c r="A151" s="316">
        <v>2259</v>
      </c>
      <c r="B151" s="255" t="s">
        <v>6219</v>
      </c>
      <c r="C151" s="255" t="s">
        <v>6231</v>
      </c>
      <c r="D151" s="255" t="s">
        <v>8333</v>
      </c>
      <c r="E151" s="255" t="s">
        <v>2614</v>
      </c>
      <c r="F151" s="271" t="s">
        <v>149</v>
      </c>
      <c r="G151" s="271" t="s">
        <v>9177</v>
      </c>
    </row>
    <row r="152" spans="1:7" ht="30" customHeight="1" x14ac:dyDescent="0.2">
      <c r="A152" s="316">
        <v>2260</v>
      </c>
      <c r="B152" s="255" t="s">
        <v>6219</v>
      </c>
      <c r="C152" s="255" t="s">
        <v>6232</v>
      </c>
      <c r="D152" s="255" t="s">
        <v>7437</v>
      </c>
      <c r="E152" s="255" t="s">
        <v>6233</v>
      </c>
      <c r="F152" s="271" t="s">
        <v>565</v>
      </c>
      <c r="G152" s="271" t="s">
        <v>7405</v>
      </c>
    </row>
    <row r="153" spans="1:7" ht="30" customHeight="1" x14ac:dyDescent="0.2">
      <c r="A153" s="316">
        <v>2261</v>
      </c>
      <c r="B153" s="255" t="s">
        <v>6219</v>
      </c>
      <c r="C153" s="255" t="s">
        <v>6234</v>
      </c>
      <c r="D153" s="255" t="s">
        <v>8245</v>
      </c>
      <c r="E153" s="255" t="s">
        <v>6233</v>
      </c>
      <c r="F153" s="271" t="s">
        <v>565</v>
      </c>
      <c r="G153" s="271" t="s">
        <v>8234</v>
      </c>
    </row>
    <row r="154" spans="1:7" ht="30" customHeight="1" x14ac:dyDescent="0.2">
      <c r="A154" s="316">
        <v>2262</v>
      </c>
      <c r="B154" s="255" t="s">
        <v>6235</v>
      </c>
      <c r="C154" s="255" t="s">
        <v>72</v>
      </c>
      <c r="D154" s="255" t="s">
        <v>7354</v>
      </c>
      <c r="E154" s="255" t="s">
        <v>73</v>
      </c>
      <c r="F154" s="271" t="s">
        <v>322</v>
      </c>
      <c r="G154" s="271" t="s">
        <v>7346</v>
      </c>
    </row>
    <row r="155" spans="1:7" ht="30" customHeight="1" x14ac:dyDescent="0.2">
      <c r="A155" s="316">
        <v>2263</v>
      </c>
      <c r="B155" s="255" t="s">
        <v>6235</v>
      </c>
      <c r="C155" s="255" t="s">
        <v>6236</v>
      </c>
      <c r="D155" s="255" t="s">
        <v>7370</v>
      </c>
      <c r="E155" s="255" t="s">
        <v>6237</v>
      </c>
      <c r="F155" s="271" t="s">
        <v>74</v>
      </c>
      <c r="G155" s="271" t="s">
        <v>7364</v>
      </c>
    </row>
    <row r="156" spans="1:7" ht="30" customHeight="1" x14ac:dyDescent="0.2">
      <c r="A156" s="316">
        <v>2264</v>
      </c>
      <c r="B156" s="255" t="s">
        <v>6235</v>
      </c>
      <c r="C156" s="255" t="s">
        <v>78</v>
      </c>
      <c r="D156" s="255" t="s">
        <v>8540</v>
      </c>
      <c r="E156" s="255" t="s">
        <v>6238</v>
      </c>
      <c r="F156" s="271" t="s">
        <v>74</v>
      </c>
      <c r="G156" s="271" t="s">
        <v>8501</v>
      </c>
    </row>
    <row r="157" spans="1:7" ht="30" customHeight="1" x14ac:dyDescent="0.2">
      <c r="A157" s="316">
        <v>2265</v>
      </c>
      <c r="B157" s="255" t="s">
        <v>6235</v>
      </c>
      <c r="C157" s="255" t="s">
        <v>82</v>
      </c>
      <c r="D157" s="255" t="s">
        <v>7319</v>
      </c>
      <c r="E157" s="255" t="s">
        <v>83</v>
      </c>
      <c r="F157" s="271" t="s">
        <v>84</v>
      </c>
      <c r="G157" s="271" t="s">
        <v>7276</v>
      </c>
    </row>
    <row r="158" spans="1:7" ht="30" customHeight="1" x14ac:dyDescent="0.2">
      <c r="A158" s="316">
        <v>2266</v>
      </c>
      <c r="B158" s="255" t="s">
        <v>6235</v>
      </c>
      <c r="C158" s="255" t="s">
        <v>6239</v>
      </c>
      <c r="D158" s="255" t="s">
        <v>9108</v>
      </c>
      <c r="E158" s="255" t="s">
        <v>6240</v>
      </c>
      <c r="F158" s="271" t="s">
        <v>6067</v>
      </c>
      <c r="G158" s="271" t="s">
        <v>8947</v>
      </c>
    </row>
    <row r="159" spans="1:7" ht="30" customHeight="1" x14ac:dyDescent="0.2">
      <c r="A159" s="316">
        <v>2267</v>
      </c>
      <c r="B159" s="255" t="s">
        <v>6235</v>
      </c>
      <c r="C159" s="255" t="s">
        <v>86</v>
      </c>
      <c r="D159" s="255" t="s">
        <v>88</v>
      </c>
      <c r="E159" s="255" t="s">
        <v>87</v>
      </c>
      <c r="F159" s="271" t="s">
        <v>322</v>
      </c>
      <c r="G159" s="271" t="s">
        <v>7364</v>
      </c>
    </row>
    <row r="160" spans="1:7" ht="30" customHeight="1" x14ac:dyDescent="0.2">
      <c r="A160" s="316">
        <v>2268</v>
      </c>
      <c r="B160" s="255" t="s">
        <v>6235</v>
      </c>
      <c r="C160" s="255" t="s">
        <v>6241</v>
      </c>
      <c r="D160" s="255" t="s">
        <v>7371</v>
      </c>
      <c r="E160" s="255" t="s">
        <v>90</v>
      </c>
      <c r="F160" s="271" t="s">
        <v>322</v>
      </c>
      <c r="G160" s="271" t="s">
        <v>7364</v>
      </c>
    </row>
    <row r="161" spans="1:7" ht="30" customHeight="1" x14ac:dyDescent="0.2">
      <c r="A161" s="316">
        <v>2269</v>
      </c>
      <c r="B161" s="255" t="s">
        <v>6235</v>
      </c>
      <c r="C161" s="255" t="s">
        <v>92</v>
      </c>
      <c r="D161" s="255" t="s">
        <v>7372</v>
      </c>
      <c r="E161" s="255" t="s">
        <v>93</v>
      </c>
      <c r="F161" s="271" t="s">
        <v>322</v>
      </c>
      <c r="G161" s="271" t="s">
        <v>7364</v>
      </c>
    </row>
    <row r="162" spans="1:7" ht="30" customHeight="1" x14ac:dyDescent="0.2">
      <c r="A162" s="316">
        <v>2270</v>
      </c>
      <c r="B162" s="255" t="s">
        <v>6235</v>
      </c>
      <c r="C162" s="255" t="s">
        <v>6242</v>
      </c>
      <c r="D162" s="255" t="s">
        <v>7373</v>
      </c>
      <c r="E162" s="255" t="s">
        <v>6243</v>
      </c>
      <c r="F162" s="271" t="s">
        <v>6046</v>
      </c>
      <c r="G162" s="271" t="s">
        <v>7364</v>
      </c>
    </row>
    <row r="163" spans="1:7" ht="30" customHeight="1" x14ac:dyDescent="0.2">
      <c r="A163" s="316">
        <v>2271</v>
      </c>
      <c r="B163" s="255" t="s">
        <v>6235</v>
      </c>
      <c r="C163" s="255" t="s">
        <v>6244</v>
      </c>
      <c r="D163" s="255" t="s">
        <v>7374</v>
      </c>
      <c r="E163" s="255" t="s">
        <v>6245</v>
      </c>
      <c r="F163" s="271" t="s">
        <v>322</v>
      </c>
      <c r="G163" s="271" t="s">
        <v>7364</v>
      </c>
    </row>
    <row r="164" spans="1:7" ht="30" customHeight="1" x14ac:dyDescent="0.2">
      <c r="A164" s="316">
        <v>2272</v>
      </c>
      <c r="B164" s="255" t="s">
        <v>6235</v>
      </c>
      <c r="C164" s="255" t="s">
        <v>6246</v>
      </c>
      <c r="D164" s="255" t="s">
        <v>8854</v>
      </c>
      <c r="E164" s="255" t="s">
        <v>6247</v>
      </c>
      <c r="F164" s="271" t="s">
        <v>74</v>
      </c>
      <c r="G164" s="271" t="s">
        <v>8668</v>
      </c>
    </row>
    <row r="165" spans="1:7" ht="103.5" customHeight="1" x14ac:dyDescent="0.2">
      <c r="A165" s="316">
        <v>2273</v>
      </c>
      <c r="B165" s="255" t="s">
        <v>6235</v>
      </c>
      <c r="C165" s="255" t="s">
        <v>6248</v>
      </c>
      <c r="D165" s="255" t="s">
        <v>9137</v>
      </c>
      <c r="E165" s="255" t="s">
        <v>6249</v>
      </c>
      <c r="F165" s="271" t="s">
        <v>6046</v>
      </c>
      <c r="G165" s="271" t="s">
        <v>9136</v>
      </c>
    </row>
    <row r="166" spans="1:7" ht="30" customHeight="1" x14ac:dyDescent="0.2">
      <c r="A166" s="316">
        <v>2274</v>
      </c>
      <c r="B166" s="255" t="s">
        <v>6235</v>
      </c>
      <c r="C166" s="255" t="s">
        <v>9598</v>
      </c>
      <c r="D166" s="255" t="s">
        <v>7390</v>
      </c>
      <c r="E166" s="255" t="s">
        <v>95</v>
      </c>
      <c r="F166" s="271" t="s">
        <v>322</v>
      </c>
      <c r="G166" s="271" t="s">
        <v>7364</v>
      </c>
    </row>
    <row r="167" spans="1:7" ht="30" customHeight="1" x14ac:dyDescent="0.2">
      <c r="A167" s="316">
        <v>2275</v>
      </c>
      <c r="B167" s="255" t="s">
        <v>6235</v>
      </c>
      <c r="C167" s="255" t="s">
        <v>97</v>
      </c>
      <c r="D167" s="255" t="s">
        <v>7391</v>
      </c>
      <c r="E167" s="255" t="s">
        <v>98</v>
      </c>
      <c r="F167" s="271" t="s">
        <v>322</v>
      </c>
      <c r="G167" s="271" t="s">
        <v>7364</v>
      </c>
    </row>
    <row r="168" spans="1:7" ht="30" customHeight="1" x14ac:dyDescent="0.2">
      <c r="A168" s="316">
        <v>2276</v>
      </c>
      <c r="B168" s="255" t="s">
        <v>6235</v>
      </c>
      <c r="C168" s="255" t="s">
        <v>100</v>
      </c>
      <c r="D168" s="255" t="s">
        <v>7320</v>
      </c>
      <c r="E168" s="255" t="s">
        <v>101</v>
      </c>
      <c r="F168" s="271" t="s">
        <v>6078</v>
      </c>
      <c r="G168" s="271" t="s">
        <v>7276</v>
      </c>
    </row>
    <row r="169" spans="1:7" ht="30" customHeight="1" x14ac:dyDescent="0.2">
      <c r="A169" s="316">
        <v>2277</v>
      </c>
      <c r="B169" s="255" t="s">
        <v>6235</v>
      </c>
      <c r="C169" s="255" t="s">
        <v>103</v>
      </c>
      <c r="D169" s="255" t="s">
        <v>7321</v>
      </c>
      <c r="E169" s="255" t="s">
        <v>104</v>
      </c>
      <c r="F169" s="271" t="s">
        <v>6078</v>
      </c>
      <c r="G169" s="271" t="s">
        <v>7276</v>
      </c>
    </row>
    <row r="170" spans="1:7" ht="30" customHeight="1" x14ac:dyDescent="0.2">
      <c r="A170" s="316">
        <v>2278</v>
      </c>
      <c r="B170" s="255" t="s">
        <v>6235</v>
      </c>
      <c r="C170" s="255" t="s">
        <v>106</v>
      </c>
      <c r="D170" s="255" t="s">
        <v>7322</v>
      </c>
      <c r="E170" s="255" t="s">
        <v>107</v>
      </c>
      <c r="F170" s="271" t="s">
        <v>84</v>
      </c>
      <c r="G170" s="271" t="s">
        <v>7276</v>
      </c>
    </row>
    <row r="171" spans="1:7" ht="30" customHeight="1" x14ac:dyDescent="0.2">
      <c r="A171" s="316">
        <v>2279</v>
      </c>
      <c r="B171" s="255" t="s">
        <v>6235</v>
      </c>
      <c r="C171" s="255" t="s">
        <v>6250</v>
      </c>
      <c r="D171" s="255" t="s">
        <v>7392</v>
      </c>
      <c r="E171" s="255" t="s">
        <v>6251</v>
      </c>
      <c r="F171" s="271" t="s">
        <v>322</v>
      </c>
      <c r="G171" s="271" t="s">
        <v>8090</v>
      </c>
    </row>
    <row r="172" spans="1:7" ht="30" customHeight="1" x14ac:dyDescent="0.2">
      <c r="A172" s="316">
        <v>2280</v>
      </c>
      <c r="B172" s="255" t="s">
        <v>6235</v>
      </c>
      <c r="C172" s="255" t="s">
        <v>110</v>
      </c>
      <c r="D172" s="255" t="s">
        <v>7393</v>
      </c>
      <c r="E172" s="255" t="s">
        <v>111</v>
      </c>
      <c r="F172" s="271" t="s">
        <v>322</v>
      </c>
      <c r="G172" s="271" t="s">
        <v>7364</v>
      </c>
    </row>
    <row r="173" spans="1:7" ht="30" customHeight="1" x14ac:dyDescent="0.2">
      <c r="A173" s="316">
        <v>2281</v>
      </c>
      <c r="B173" s="255" t="s">
        <v>6235</v>
      </c>
      <c r="C173" s="255" t="s">
        <v>6252</v>
      </c>
      <c r="D173" s="255" t="s">
        <v>7323</v>
      </c>
      <c r="E173" s="255" t="s">
        <v>113</v>
      </c>
      <c r="F173" s="271" t="s">
        <v>84</v>
      </c>
      <c r="G173" s="271" t="s">
        <v>7276</v>
      </c>
    </row>
    <row r="174" spans="1:7" ht="30" customHeight="1" x14ac:dyDescent="0.2">
      <c r="A174" s="316">
        <v>2282</v>
      </c>
      <c r="B174" s="255" t="s">
        <v>6235</v>
      </c>
      <c r="C174" s="255" t="s">
        <v>115</v>
      </c>
      <c r="D174" s="255" t="s">
        <v>7290</v>
      </c>
      <c r="E174" s="255" t="s">
        <v>116</v>
      </c>
      <c r="F174" s="271" t="s">
        <v>84</v>
      </c>
      <c r="G174" s="271" t="s">
        <v>7276</v>
      </c>
    </row>
    <row r="175" spans="1:7" ht="30" customHeight="1" x14ac:dyDescent="0.2">
      <c r="A175" s="316">
        <v>2283</v>
      </c>
      <c r="B175" s="255" t="s">
        <v>6235</v>
      </c>
      <c r="C175" s="255" t="s">
        <v>6253</v>
      </c>
      <c r="D175" s="255" t="s">
        <v>8632</v>
      </c>
      <c r="E175" s="255" t="s">
        <v>6254</v>
      </c>
      <c r="F175" s="271" t="s">
        <v>84</v>
      </c>
      <c r="G175" s="271" t="s">
        <v>8577</v>
      </c>
    </row>
    <row r="176" spans="1:7" ht="30" customHeight="1" x14ac:dyDescent="0.2">
      <c r="A176" s="316">
        <v>2284</v>
      </c>
      <c r="B176" s="255" t="s">
        <v>6235</v>
      </c>
      <c r="C176" s="255" t="s">
        <v>123</v>
      </c>
      <c r="D176" s="255" t="s">
        <v>9109</v>
      </c>
      <c r="E176" s="255" t="s">
        <v>124</v>
      </c>
      <c r="F176" s="271" t="s">
        <v>6067</v>
      </c>
      <c r="G176" s="271" t="s">
        <v>8947</v>
      </c>
    </row>
    <row r="177" spans="1:8" ht="30" customHeight="1" x14ac:dyDescent="0.2">
      <c r="A177" s="316">
        <v>2285</v>
      </c>
      <c r="B177" s="255" t="s">
        <v>6235</v>
      </c>
      <c r="C177" s="255" t="s">
        <v>126</v>
      </c>
      <c r="D177" s="255" t="s">
        <v>7394</v>
      </c>
      <c r="E177" s="255" t="s">
        <v>127</v>
      </c>
      <c r="F177" s="271" t="s">
        <v>322</v>
      </c>
      <c r="G177" s="271" t="s">
        <v>7364</v>
      </c>
    </row>
    <row r="178" spans="1:8" ht="30" customHeight="1" x14ac:dyDescent="0.2">
      <c r="A178" s="316">
        <v>2286</v>
      </c>
      <c r="B178" s="255" t="s">
        <v>6235</v>
      </c>
      <c r="C178" s="255" t="s">
        <v>6255</v>
      </c>
      <c r="D178" s="255" t="s">
        <v>8435</v>
      </c>
      <c r="E178" s="255" t="s">
        <v>130</v>
      </c>
      <c r="F178" s="271" t="s">
        <v>84</v>
      </c>
      <c r="G178" s="271" t="s">
        <v>8412</v>
      </c>
    </row>
    <row r="179" spans="1:8" ht="30" customHeight="1" x14ac:dyDescent="0.2">
      <c r="A179" s="316">
        <v>2287</v>
      </c>
      <c r="B179" s="255" t="s">
        <v>6235</v>
      </c>
      <c r="C179" s="255" t="s">
        <v>6256</v>
      </c>
      <c r="D179" s="255" t="s">
        <v>8446</v>
      </c>
      <c r="E179" s="255" t="s">
        <v>6257</v>
      </c>
      <c r="F179" s="271" t="s">
        <v>322</v>
      </c>
      <c r="G179" s="271" t="s">
        <v>8412</v>
      </c>
    </row>
    <row r="180" spans="1:8" ht="30" customHeight="1" x14ac:dyDescent="0.2">
      <c r="A180" s="316">
        <v>2288</v>
      </c>
      <c r="B180" s="255" t="s">
        <v>6235</v>
      </c>
      <c r="C180" s="255" t="s">
        <v>132</v>
      </c>
      <c r="D180" s="255" t="s">
        <v>8539</v>
      </c>
      <c r="E180" s="255" t="s">
        <v>133</v>
      </c>
      <c r="F180" s="271" t="s">
        <v>322</v>
      </c>
      <c r="G180" s="271" t="s">
        <v>8501</v>
      </c>
    </row>
    <row r="181" spans="1:8" ht="30" customHeight="1" x14ac:dyDescent="0.2">
      <c r="A181" s="316">
        <v>2289</v>
      </c>
      <c r="B181" s="255" t="s">
        <v>6235</v>
      </c>
      <c r="C181" s="255" t="s">
        <v>135</v>
      </c>
      <c r="D181" s="255" t="s">
        <v>8539</v>
      </c>
      <c r="E181" s="255" t="s">
        <v>136</v>
      </c>
      <c r="F181" s="271" t="s">
        <v>322</v>
      </c>
      <c r="G181" s="271" t="s">
        <v>8501</v>
      </c>
    </row>
    <row r="182" spans="1:8" ht="30" customHeight="1" x14ac:dyDescent="0.2">
      <c r="A182" s="316">
        <v>2290</v>
      </c>
      <c r="B182" s="255" t="s">
        <v>6235</v>
      </c>
      <c r="C182" s="255" t="s">
        <v>6258</v>
      </c>
      <c r="D182" s="255" t="s">
        <v>8447</v>
      </c>
      <c r="E182" s="255" t="s">
        <v>138</v>
      </c>
      <c r="F182" s="271" t="s">
        <v>322</v>
      </c>
      <c r="G182" s="271" t="s">
        <v>8412</v>
      </c>
    </row>
    <row r="183" spans="1:8" ht="30" customHeight="1" x14ac:dyDescent="0.2">
      <c r="A183" s="316">
        <v>2291</v>
      </c>
      <c r="B183" s="255" t="s">
        <v>6235</v>
      </c>
      <c r="C183" s="255" t="s">
        <v>140</v>
      </c>
      <c r="D183" s="255" t="s">
        <v>7291</v>
      </c>
      <c r="E183" s="255" t="s">
        <v>141</v>
      </c>
      <c r="F183" s="271" t="s">
        <v>84</v>
      </c>
      <c r="G183" s="271" t="s">
        <v>7276</v>
      </c>
    </row>
    <row r="184" spans="1:8" ht="30" customHeight="1" x14ac:dyDescent="0.2">
      <c r="A184" s="316">
        <v>2292</v>
      </c>
      <c r="B184" s="255" t="s">
        <v>6235</v>
      </c>
      <c r="C184" s="255" t="s">
        <v>142</v>
      </c>
      <c r="D184" s="255" t="s">
        <v>143</v>
      </c>
      <c r="E184" s="255" t="s">
        <v>141</v>
      </c>
      <c r="F184" s="271" t="s">
        <v>84</v>
      </c>
      <c r="G184" s="271" t="s">
        <v>7276</v>
      </c>
    </row>
    <row r="185" spans="1:8" ht="30" customHeight="1" x14ac:dyDescent="0.2">
      <c r="A185" s="316">
        <v>2293</v>
      </c>
      <c r="B185" s="255" t="s">
        <v>6235</v>
      </c>
      <c r="C185" s="255" t="s">
        <v>6259</v>
      </c>
      <c r="D185" s="255" t="s">
        <v>2878</v>
      </c>
      <c r="E185" s="255" t="s">
        <v>6260</v>
      </c>
      <c r="F185" s="271" t="s">
        <v>84</v>
      </c>
      <c r="G185" s="271" t="s">
        <v>8412</v>
      </c>
      <c r="H185" s="238" t="s">
        <v>8544</v>
      </c>
    </row>
    <row r="186" spans="1:8" ht="30" customHeight="1" x14ac:dyDescent="0.2">
      <c r="A186" s="316">
        <v>2294</v>
      </c>
      <c r="B186" s="255" t="s">
        <v>6235</v>
      </c>
      <c r="C186" s="255" t="s">
        <v>144</v>
      </c>
      <c r="D186" s="255" t="s">
        <v>7292</v>
      </c>
      <c r="E186" s="255" t="s">
        <v>145</v>
      </c>
      <c r="F186" s="271" t="s">
        <v>84</v>
      </c>
      <c r="G186" s="271" t="s">
        <v>7276</v>
      </c>
    </row>
    <row r="187" spans="1:8" ht="30" customHeight="1" x14ac:dyDescent="0.2">
      <c r="A187" s="316">
        <v>2295</v>
      </c>
      <c r="B187" s="255" t="s">
        <v>6235</v>
      </c>
      <c r="C187" s="255" t="s">
        <v>6261</v>
      </c>
      <c r="D187" s="255" t="s">
        <v>9110</v>
      </c>
      <c r="E187" s="255" t="s">
        <v>147</v>
      </c>
      <c r="F187" s="271" t="s">
        <v>6067</v>
      </c>
      <c r="G187" s="271" t="s">
        <v>8947</v>
      </c>
    </row>
    <row r="188" spans="1:8" ht="101.25" customHeight="1" x14ac:dyDescent="0.2">
      <c r="A188" s="316">
        <v>2296</v>
      </c>
      <c r="B188" s="255" t="s">
        <v>6235</v>
      </c>
      <c r="C188" s="255" t="s">
        <v>150</v>
      </c>
      <c r="D188" s="255" t="s">
        <v>9200</v>
      </c>
      <c r="E188" s="255" t="s">
        <v>151</v>
      </c>
      <c r="F188" s="271" t="s">
        <v>322</v>
      </c>
      <c r="G188" s="271" t="s">
        <v>8668</v>
      </c>
    </row>
    <row r="189" spans="1:8" ht="30" customHeight="1" x14ac:dyDescent="0.2">
      <c r="A189" s="316">
        <v>2297</v>
      </c>
      <c r="B189" s="255" t="s">
        <v>6235</v>
      </c>
      <c r="C189" s="255" t="s">
        <v>153</v>
      </c>
      <c r="D189" s="255" t="s">
        <v>7395</v>
      </c>
      <c r="E189" s="255" t="s">
        <v>154</v>
      </c>
      <c r="F189" s="271" t="s">
        <v>322</v>
      </c>
      <c r="G189" s="271" t="s">
        <v>7364</v>
      </c>
    </row>
    <row r="190" spans="1:8" ht="30" customHeight="1" x14ac:dyDescent="0.2">
      <c r="A190" s="316">
        <v>2298</v>
      </c>
      <c r="B190" s="255" t="s">
        <v>6235</v>
      </c>
      <c r="C190" s="255" t="s">
        <v>6262</v>
      </c>
      <c r="D190" s="255" t="s">
        <v>8541</v>
      </c>
      <c r="E190" s="255" t="s">
        <v>6263</v>
      </c>
      <c r="F190" s="271" t="s">
        <v>84</v>
      </c>
      <c r="G190" s="271" t="s">
        <v>8542</v>
      </c>
      <c r="H190" s="238" t="s">
        <v>8544</v>
      </c>
    </row>
    <row r="191" spans="1:8" ht="30" customHeight="1" x14ac:dyDescent="0.2">
      <c r="A191" s="316">
        <v>2299</v>
      </c>
      <c r="B191" s="255" t="s">
        <v>6235</v>
      </c>
      <c r="C191" s="255" t="s">
        <v>156</v>
      </c>
      <c r="D191" s="255" t="s">
        <v>7524</v>
      </c>
      <c r="E191" s="255" t="s">
        <v>157</v>
      </c>
      <c r="F191" s="271" t="s">
        <v>6046</v>
      </c>
      <c r="G191" s="271" t="s">
        <v>7525</v>
      </c>
    </row>
    <row r="192" spans="1:8" ht="30" customHeight="1" x14ac:dyDescent="0.2">
      <c r="A192" s="316">
        <v>2300</v>
      </c>
      <c r="B192" s="255" t="s">
        <v>6235</v>
      </c>
      <c r="C192" s="255" t="s">
        <v>159</v>
      </c>
      <c r="D192" s="255" t="s">
        <v>7396</v>
      </c>
      <c r="E192" s="255" t="s">
        <v>160</v>
      </c>
      <c r="F192" s="271" t="s">
        <v>322</v>
      </c>
      <c r="G192" s="271" t="s">
        <v>7364</v>
      </c>
    </row>
    <row r="193" spans="1:8" ht="30" customHeight="1" x14ac:dyDescent="0.2">
      <c r="A193" s="316">
        <v>2301</v>
      </c>
      <c r="B193" s="255" t="s">
        <v>6235</v>
      </c>
      <c r="C193" s="255" t="s">
        <v>165</v>
      </c>
      <c r="D193" s="255" t="s">
        <v>8448</v>
      </c>
      <c r="E193" s="255" t="s">
        <v>166</v>
      </c>
      <c r="F193" s="271" t="s">
        <v>6264</v>
      </c>
      <c r="G193" s="271" t="s">
        <v>8412</v>
      </c>
    </row>
    <row r="194" spans="1:8" ht="30" customHeight="1" x14ac:dyDescent="0.2">
      <c r="A194" s="316">
        <v>2302</v>
      </c>
      <c r="B194" s="255" t="s">
        <v>6235</v>
      </c>
      <c r="C194" s="255" t="s">
        <v>167</v>
      </c>
      <c r="D194" s="255" t="s">
        <v>8449</v>
      </c>
      <c r="E194" s="255" t="s">
        <v>168</v>
      </c>
      <c r="F194" s="271" t="s">
        <v>322</v>
      </c>
      <c r="G194" s="271" t="s">
        <v>8412</v>
      </c>
    </row>
    <row r="195" spans="1:8" ht="30" customHeight="1" x14ac:dyDescent="0.2">
      <c r="A195" s="316">
        <v>2303</v>
      </c>
      <c r="B195" s="255" t="s">
        <v>6235</v>
      </c>
      <c r="C195" s="255" t="s">
        <v>162</v>
      </c>
      <c r="D195" s="255" t="s">
        <v>7905</v>
      </c>
      <c r="E195" s="255" t="s">
        <v>163</v>
      </c>
      <c r="F195" s="271" t="s">
        <v>565</v>
      </c>
      <c r="G195" s="271" t="s">
        <v>7906</v>
      </c>
    </row>
    <row r="196" spans="1:8" ht="30" customHeight="1" x14ac:dyDescent="0.2">
      <c r="A196" s="316">
        <v>2304</v>
      </c>
      <c r="B196" s="255" t="s">
        <v>6235</v>
      </c>
      <c r="C196" s="255" t="s">
        <v>6265</v>
      </c>
      <c r="D196" s="255" t="s">
        <v>8450</v>
      </c>
      <c r="E196" s="255" t="s">
        <v>6266</v>
      </c>
      <c r="F196" s="271" t="s">
        <v>6046</v>
      </c>
      <c r="G196" s="271" t="s">
        <v>8412</v>
      </c>
    </row>
    <row r="197" spans="1:8" ht="30" customHeight="1" x14ac:dyDescent="0.2">
      <c r="A197" s="316">
        <v>2305</v>
      </c>
      <c r="B197" s="255" t="s">
        <v>6235</v>
      </c>
      <c r="C197" s="255" t="s">
        <v>6267</v>
      </c>
      <c r="D197" s="255" t="s">
        <v>7907</v>
      </c>
      <c r="E197" s="255" t="s">
        <v>6268</v>
      </c>
      <c r="F197" s="271" t="s">
        <v>6147</v>
      </c>
      <c r="G197" s="271" t="s">
        <v>7906</v>
      </c>
    </row>
    <row r="198" spans="1:8" ht="30" customHeight="1" x14ac:dyDescent="0.2">
      <c r="A198" s="316">
        <v>2306</v>
      </c>
      <c r="B198" s="255" t="s">
        <v>6235</v>
      </c>
      <c r="C198" s="255" t="s">
        <v>170</v>
      </c>
      <c r="D198" s="255" t="s">
        <v>7375</v>
      </c>
      <c r="E198" s="255" t="s">
        <v>171</v>
      </c>
      <c r="F198" s="271" t="s">
        <v>3171</v>
      </c>
      <c r="G198" s="271" t="s">
        <v>7364</v>
      </c>
    </row>
    <row r="199" spans="1:8" ht="30" customHeight="1" x14ac:dyDescent="0.2">
      <c r="A199" s="316">
        <v>2307</v>
      </c>
      <c r="B199" s="255" t="s">
        <v>6235</v>
      </c>
      <c r="C199" s="255" t="s">
        <v>173</v>
      </c>
      <c r="D199" s="255" t="s">
        <v>8543</v>
      </c>
      <c r="E199" s="255" t="s">
        <v>174</v>
      </c>
      <c r="F199" s="271" t="s">
        <v>84</v>
      </c>
      <c r="G199" s="271" t="s">
        <v>8412</v>
      </c>
      <c r="H199" s="238" t="s">
        <v>8544</v>
      </c>
    </row>
    <row r="200" spans="1:8" ht="30" customHeight="1" x14ac:dyDescent="0.2">
      <c r="A200" s="316">
        <v>2308</v>
      </c>
      <c r="B200" s="255" t="s">
        <v>6235</v>
      </c>
      <c r="C200" s="255" t="s">
        <v>176</v>
      </c>
      <c r="D200" s="255" t="s">
        <v>8545</v>
      </c>
      <c r="E200" s="255" t="s">
        <v>177</v>
      </c>
      <c r="F200" s="271" t="s">
        <v>84</v>
      </c>
      <c r="G200" s="271" t="s">
        <v>8412</v>
      </c>
      <c r="H200" s="238" t="s">
        <v>8544</v>
      </c>
    </row>
    <row r="201" spans="1:8" ht="30" customHeight="1" x14ac:dyDescent="0.2">
      <c r="A201" s="316">
        <v>2309</v>
      </c>
      <c r="B201" s="255" t="s">
        <v>6235</v>
      </c>
      <c r="C201" s="255" t="s">
        <v>6269</v>
      </c>
      <c r="D201" s="255" t="s">
        <v>7397</v>
      </c>
      <c r="E201" s="255" t="s">
        <v>179</v>
      </c>
      <c r="F201" s="271" t="s">
        <v>322</v>
      </c>
      <c r="G201" s="271" t="s">
        <v>7364</v>
      </c>
    </row>
    <row r="202" spans="1:8" ht="30" customHeight="1" x14ac:dyDescent="0.2">
      <c r="A202" s="316">
        <v>2310</v>
      </c>
      <c r="B202" s="255" t="s">
        <v>6235</v>
      </c>
      <c r="C202" s="255" t="s">
        <v>181</v>
      </c>
      <c r="D202" s="351" t="s">
        <v>183</v>
      </c>
      <c r="E202" s="255" t="s">
        <v>182</v>
      </c>
      <c r="F202" s="271" t="s">
        <v>6067</v>
      </c>
      <c r="G202" s="271" t="s">
        <v>8947</v>
      </c>
    </row>
    <row r="203" spans="1:8" ht="30" customHeight="1" x14ac:dyDescent="0.2">
      <c r="A203" s="316">
        <v>2311</v>
      </c>
      <c r="B203" s="255" t="s">
        <v>6235</v>
      </c>
      <c r="C203" s="255" t="s">
        <v>6270</v>
      </c>
      <c r="D203" s="351" t="s">
        <v>7357</v>
      </c>
      <c r="E203" s="255" t="s">
        <v>6271</v>
      </c>
      <c r="F203" s="271" t="s">
        <v>6067</v>
      </c>
      <c r="G203" s="271" t="s">
        <v>8947</v>
      </c>
    </row>
    <row r="204" spans="1:8" ht="30" customHeight="1" x14ac:dyDescent="0.2">
      <c r="A204" s="316">
        <v>2312</v>
      </c>
      <c r="B204" s="255" t="s">
        <v>6235</v>
      </c>
      <c r="C204" s="255" t="s">
        <v>6272</v>
      </c>
      <c r="D204" s="351" t="s">
        <v>9111</v>
      </c>
      <c r="E204" s="255" t="s">
        <v>186</v>
      </c>
      <c r="F204" s="271" t="s">
        <v>6067</v>
      </c>
      <c r="G204" s="271" t="s">
        <v>8947</v>
      </c>
    </row>
    <row r="205" spans="1:8" ht="30" customHeight="1" x14ac:dyDescent="0.2">
      <c r="A205" s="316">
        <v>2313</v>
      </c>
      <c r="B205" s="255" t="s">
        <v>6235</v>
      </c>
      <c r="C205" s="255" t="s">
        <v>188</v>
      </c>
      <c r="D205" s="255" t="s">
        <v>8451</v>
      </c>
      <c r="E205" s="255" t="s">
        <v>189</v>
      </c>
      <c r="F205" s="271" t="s">
        <v>322</v>
      </c>
      <c r="G205" s="271" t="s">
        <v>8412</v>
      </c>
    </row>
    <row r="206" spans="1:8" ht="30" customHeight="1" x14ac:dyDescent="0.2">
      <c r="A206" s="316">
        <v>2314</v>
      </c>
      <c r="B206" s="255" t="s">
        <v>6235</v>
      </c>
      <c r="C206" s="255" t="s">
        <v>193</v>
      </c>
      <c r="D206" s="255" t="s">
        <v>7324</v>
      </c>
      <c r="E206" s="255" t="s">
        <v>192</v>
      </c>
      <c r="F206" s="271" t="s">
        <v>6078</v>
      </c>
      <c r="G206" s="271" t="s">
        <v>7276</v>
      </c>
    </row>
    <row r="207" spans="1:8" ht="30" customHeight="1" x14ac:dyDescent="0.2">
      <c r="A207" s="316">
        <v>2315</v>
      </c>
      <c r="B207" s="255" t="s">
        <v>6235</v>
      </c>
      <c r="C207" s="255" t="s">
        <v>194</v>
      </c>
      <c r="D207" s="255" t="s">
        <v>7325</v>
      </c>
      <c r="E207" s="255" t="s">
        <v>6273</v>
      </c>
      <c r="F207" s="271" t="s">
        <v>6078</v>
      </c>
      <c r="G207" s="271" t="s">
        <v>7276</v>
      </c>
    </row>
    <row r="208" spans="1:8" ht="30" customHeight="1" x14ac:dyDescent="0.2">
      <c r="A208" s="316">
        <v>2316</v>
      </c>
      <c r="B208" s="255" t="s">
        <v>6235</v>
      </c>
      <c r="C208" s="255" t="s">
        <v>191</v>
      </c>
      <c r="D208" s="255" t="s">
        <v>6953</v>
      </c>
      <c r="E208" s="255" t="s">
        <v>192</v>
      </c>
      <c r="F208" s="271" t="s">
        <v>6078</v>
      </c>
      <c r="G208" s="271" t="s">
        <v>7276</v>
      </c>
    </row>
    <row r="209" spans="1:7" ht="30" customHeight="1" x14ac:dyDescent="0.2">
      <c r="A209" s="316">
        <v>2317</v>
      </c>
      <c r="B209" s="255" t="s">
        <v>6235</v>
      </c>
      <c r="C209" s="255" t="s">
        <v>6274</v>
      </c>
      <c r="D209" s="255" t="s">
        <v>9131</v>
      </c>
      <c r="E209" s="255" t="s">
        <v>6275</v>
      </c>
      <c r="F209" s="271" t="s">
        <v>6078</v>
      </c>
      <c r="G209" s="271" t="s">
        <v>8890</v>
      </c>
    </row>
    <row r="210" spans="1:7" ht="30" customHeight="1" x14ac:dyDescent="0.2">
      <c r="A210" s="316">
        <v>2318</v>
      </c>
      <c r="B210" s="255" t="s">
        <v>6235</v>
      </c>
      <c r="C210" s="255" t="s">
        <v>6276</v>
      </c>
      <c r="D210" s="255" t="s">
        <v>7398</v>
      </c>
      <c r="E210" s="255" t="s">
        <v>197</v>
      </c>
      <c r="F210" s="271" t="s">
        <v>322</v>
      </c>
      <c r="G210" s="271" t="s">
        <v>7364</v>
      </c>
    </row>
    <row r="211" spans="1:7" ht="30" customHeight="1" x14ac:dyDescent="0.2">
      <c r="A211" s="316">
        <v>2319</v>
      </c>
      <c r="B211" s="255" t="s">
        <v>6235</v>
      </c>
      <c r="C211" s="255" t="s">
        <v>6277</v>
      </c>
      <c r="D211" s="255" t="s">
        <v>7399</v>
      </c>
      <c r="E211" s="255" t="s">
        <v>6278</v>
      </c>
      <c r="F211" s="271" t="s">
        <v>322</v>
      </c>
      <c r="G211" s="271" t="s">
        <v>7364</v>
      </c>
    </row>
    <row r="212" spans="1:7" ht="30" customHeight="1" x14ac:dyDescent="0.2">
      <c r="A212" s="316">
        <v>2320</v>
      </c>
      <c r="B212" s="255" t="s">
        <v>6235</v>
      </c>
      <c r="C212" s="255" t="s">
        <v>196</v>
      </c>
      <c r="D212" s="255" t="s">
        <v>7918</v>
      </c>
      <c r="E212" s="255" t="s">
        <v>6279</v>
      </c>
      <c r="F212" s="271" t="s">
        <v>565</v>
      </c>
      <c r="G212" s="271" t="s">
        <v>7906</v>
      </c>
    </row>
    <row r="213" spans="1:7" ht="30" customHeight="1" x14ac:dyDescent="0.2">
      <c r="A213" s="316">
        <v>2321</v>
      </c>
      <c r="B213" s="255" t="s">
        <v>6235</v>
      </c>
      <c r="C213" s="255" t="s">
        <v>199</v>
      </c>
      <c r="D213" s="255" t="s">
        <v>9112</v>
      </c>
      <c r="E213" s="255" t="s">
        <v>6280</v>
      </c>
      <c r="F213" s="271" t="s">
        <v>6067</v>
      </c>
      <c r="G213" s="271" t="s">
        <v>8947</v>
      </c>
    </row>
    <row r="214" spans="1:7" ht="166.5" customHeight="1" x14ac:dyDescent="0.2">
      <c r="A214" s="316">
        <v>2322</v>
      </c>
      <c r="B214" s="255" t="s">
        <v>6235</v>
      </c>
      <c r="C214" s="255" t="s">
        <v>6281</v>
      </c>
      <c r="D214" s="255" t="s">
        <v>9201</v>
      </c>
      <c r="E214" s="255" t="s">
        <v>201</v>
      </c>
      <c r="F214" s="271" t="s">
        <v>322</v>
      </c>
      <c r="G214" s="271" t="s">
        <v>8498</v>
      </c>
    </row>
    <row r="215" spans="1:7" ht="30" customHeight="1" x14ac:dyDescent="0.2">
      <c r="A215" s="316">
        <v>2323</v>
      </c>
      <c r="B215" s="255" t="s">
        <v>6235</v>
      </c>
      <c r="C215" s="255" t="s">
        <v>202</v>
      </c>
      <c r="D215" s="255" t="s">
        <v>8452</v>
      </c>
      <c r="E215" s="255" t="s">
        <v>203</v>
      </c>
      <c r="F215" s="271" t="s">
        <v>6264</v>
      </c>
      <c r="G215" s="271" t="s">
        <v>8412</v>
      </c>
    </row>
    <row r="216" spans="1:7" ht="30" customHeight="1" x14ac:dyDescent="0.2">
      <c r="A216" s="316">
        <v>2324</v>
      </c>
      <c r="B216" s="255" t="s">
        <v>6235</v>
      </c>
      <c r="C216" s="255" t="s">
        <v>6282</v>
      </c>
      <c r="D216" s="255" t="s">
        <v>8453</v>
      </c>
      <c r="E216" s="255" t="s">
        <v>203</v>
      </c>
      <c r="F216" s="271" t="s">
        <v>6264</v>
      </c>
      <c r="G216" s="271" t="s">
        <v>8412</v>
      </c>
    </row>
    <row r="217" spans="1:7" ht="30" customHeight="1" x14ac:dyDescent="0.2">
      <c r="A217" s="316">
        <v>2325</v>
      </c>
      <c r="B217" s="255" t="s">
        <v>6235</v>
      </c>
      <c r="C217" s="255" t="s">
        <v>6283</v>
      </c>
      <c r="D217" s="255" t="s">
        <v>8454</v>
      </c>
      <c r="E217" s="255" t="s">
        <v>6284</v>
      </c>
      <c r="F217" s="271" t="s">
        <v>6264</v>
      </c>
      <c r="G217" s="271" t="s">
        <v>8412</v>
      </c>
    </row>
    <row r="218" spans="1:7" ht="30" customHeight="1" x14ac:dyDescent="0.2">
      <c r="A218" s="316">
        <v>2326</v>
      </c>
      <c r="B218" s="255" t="s">
        <v>6235</v>
      </c>
      <c r="C218" s="255" t="s">
        <v>6285</v>
      </c>
      <c r="D218" s="255" t="s">
        <v>8455</v>
      </c>
      <c r="E218" s="255" t="s">
        <v>206</v>
      </c>
      <c r="F218" s="271" t="s">
        <v>6264</v>
      </c>
      <c r="G218" s="271" t="s">
        <v>8412</v>
      </c>
    </row>
    <row r="219" spans="1:7" ht="30" customHeight="1" x14ac:dyDescent="0.2">
      <c r="A219" s="316">
        <v>2327</v>
      </c>
      <c r="B219" s="255" t="s">
        <v>6235</v>
      </c>
      <c r="C219" s="255" t="s">
        <v>207</v>
      </c>
      <c r="D219" s="255" t="s">
        <v>7293</v>
      </c>
      <c r="E219" s="255" t="s">
        <v>208</v>
      </c>
      <c r="F219" s="271" t="s">
        <v>84</v>
      </c>
      <c r="G219" s="271" t="s">
        <v>7276</v>
      </c>
    </row>
    <row r="220" spans="1:7" ht="30" customHeight="1" x14ac:dyDescent="0.2">
      <c r="A220" s="316">
        <v>2328</v>
      </c>
      <c r="B220" s="255" t="s">
        <v>6235</v>
      </c>
      <c r="C220" s="255" t="s">
        <v>210</v>
      </c>
      <c r="D220" s="255" t="s">
        <v>7305</v>
      </c>
      <c r="E220" s="255" t="s">
        <v>211</v>
      </c>
      <c r="F220" s="271" t="s">
        <v>84</v>
      </c>
      <c r="G220" s="271" t="s">
        <v>7527</v>
      </c>
    </row>
    <row r="221" spans="1:7" ht="30" customHeight="1" x14ac:dyDescent="0.2">
      <c r="A221" s="316">
        <v>2329</v>
      </c>
      <c r="B221" s="255" t="s">
        <v>6235</v>
      </c>
      <c r="C221" s="255" t="s">
        <v>6286</v>
      </c>
      <c r="D221" s="255" t="s">
        <v>7400</v>
      </c>
      <c r="E221" s="255" t="s">
        <v>6287</v>
      </c>
      <c r="F221" s="271" t="s">
        <v>322</v>
      </c>
      <c r="G221" s="271" t="s">
        <v>7364</v>
      </c>
    </row>
    <row r="222" spans="1:7" ht="30" customHeight="1" x14ac:dyDescent="0.2">
      <c r="A222" s="316">
        <v>2330</v>
      </c>
      <c r="B222" s="255" t="s">
        <v>6235</v>
      </c>
      <c r="C222" s="255" t="s">
        <v>6288</v>
      </c>
      <c r="D222" s="255" t="s">
        <v>8456</v>
      </c>
      <c r="E222" s="255" t="s">
        <v>6289</v>
      </c>
      <c r="F222" s="271" t="s">
        <v>322</v>
      </c>
      <c r="G222" s="271" t="s">
        <v>8412</v>
      </c>
    </row>
    <row r="223" spans="1:7" ht="30" customHeight="1" x14ac:dyDescent="0.2">
      <c r="A223" s="316">
        <v>2331</v>
      </c>
      <c r="B223" s="255" t="s">
        <v>6235</v>
      </c>
      <c r="C223" s="255" t="s">
        <v>6290</v>
      </c>
      <c r="D223" s="255" t="s">
        <v>8457</v>
      </c>
      <c r="E223" s="255" t="s">
        <v>6291</v>
      </c>
      <c r="F223" s="271" t="s">
        <v>322</v>
      </c>
      <c r="G223" s="271" t="s">
        <v>8412</v>
      </c>
    </row>
    <row r="224" spans="1:7" ht="30" customHeight="1" x14ac:dyDescent="0.2">
      <c r="A224" s="316">
        <v>2332</v>
      </c>
      <c r="B224" s="255" t="s">
        <v>6235</v>
      </c>
      <c r="C224" s="255" t="s">
        <v>212</v>
      </c>
      <c r="D224" s="255" t="s">
        <v>7401</v>
      </c>
      <c r="E224" s="255" t="s">
        <v>6292</v>
      </c>
      <c r="F224" s="271" t="s">
        <v>322</v>
      </c>
      <c r="G224" s="271" t="s">
        <v>7364</v>
      </c>
    </row>
    <row r="225" spans="1:7" ht="30" customHeight="1" x14ac:dyDescent="0.2">
      <c r="A225" s="316">
        <v>2333</v>
      </c>
      <c r="B225" s="255" t="s">
        <v>6235</v>
      </c>
      <c r="C225" s="255" t="s">
        <v>6293</v>
      </c>
      <c r="D225" s="255" t="s">
        <v>7402</v>
      </c>
      <c r="E225" s="255" t="s">
        <v>6294</v>
      </c>
      <c r="F225" s="271" t="s">
        <v>6046</v>
      </c>
      <c r="G225" s="271" t="s">
        <v>7364</v>
      </c>
    </row>
    <row r="226" spans="1:7" ht="30" customHeight="1" x14ac:dyDescent="0.2">
      <c r="A226" s="316">
        <v>2334</v>
      </c>
      <c r="B226" s="255" t="s">
        <v>6235</v>
      </c>
      <c r="C226" s="255" t="s">
        <v>6295</v>
      </c>
      <c r="D226" s="255" t="s">
        <v>7403</v>
      </c>
      <c r="E226" s="255" t="s">
        <v>6296</v>
      </c>
      <c r="F226" s="271" t="s">
        <v>322</v>
      </c>
      <c r="G226" s="271" t="s">
        <v>7364</v>
      </c>
    </row>
    <row r="227" spans="1:7" ht="30" customHeight="1" x14ac:dyDescent="0.2">
      <c r="A227" s="316">
        <v>2335</v>
      </c>
      <c r="B227" s="255" t="s">
        <v>6235</v>
      </c>
      <c r="C227" s="255" t="s">
        <v>6297</v>
      </c>
      <c r="D227" s="255" t="s">
        <v>9113</v>
      </c>
      <c r="E227" s="255" t="s">
        <v>216</v>
      </c>
      <c r="F227" s="271" t="s">
        <v>6067</v>
      </c>
      <c r="G227" s="271" t="s">
        <v>8947</v>
      </c>
    </row>
    <row r="228" spans="1:7" ht="30" customHeight="1" x14ac:dyDescent="0.2">
      <c r="A228" s="316">
        <v>2336</v>
      </c>
      <c r="B228" s="255" t="s">
        <v>6235</v>
      </c>
      <c r="C228" s="255" t="s">
        <v>6298</v>
      </c>
      <c r="D228" s="255" t="s">
        <v>7438</v>
      </c>
      <c r="E228" s="255" t="s">
        <v>6299</v>
      </c>
      <c r="F228" s="256" t="s">
        <v>565</v>
      </c>
      <c r="G228" s="256" t="s">
        <v>7405</v>
      </c>
    </row>
    <row r="229" spans="1:7" ht="30" customHeight="1" x14ac:dyDescent="0.2">
      <c r="A229" s="316">
        <v>2337</v>
      </c>
      <c r="B229" s="255" t="s">
        <v>6235</v>
      </c>
      <c r="C229" s="255" t="s">
        <v>6300</v>
      </c>
      <c r="D229" s="255" t="s">
        <v>7439</v>
      </c>
      <c r="E229" s="255" t="s">
        <v>6301</v>
      </c>
      <c r="F229" s="256" t="s">
        <v>565</v>
      </c>
      <c r="G229" s="256" t="s">
        <v>7405</v>
      </c>
    </row>
    <row r="230" spans="1:7" ht="30" customHeight="1" x14ac:dyDescent="0.2">
      <c r="A230" s="316">
        <v>2338</v>
      </c>
      <c r="B230" s="255" t="s">
        <v>6235</v>
      </c>
      <c r="C230" s="255" t="s">
        <v>6302</v>
      </c>
      <c r="D230" s="255" t="s">
        <v>9331</v>
      </c>
      <c r="E230" s="255" t="s">
        <v>6303</v>
      </c>
      <c r="F230" s="256" t="s">
        <v>565</v>
      </c>
      <c r="G230" s="256" t="s">
        <v>8984</v>
      </c>
    </row>
    <row r="231" spans="1:7" ht="30" customHeight="1" x14ac:dyDescent="0.2">
      <c r="A231" s="316">
        <v>2339</v>
      </c>
      <c r="B231" s="255" t="s">
        <v>6235</v>
      </c>
      <c r="C231" s="255" t="s">
        <v>6304</v>
      </c>
      <c r="D231" s="255" t="s">
        <v>7908</v>
      </c>
      <c r="E231" s="255" t="s">
        <v>6305</v>
      </c>
      <c r="F231" s="256" t="s">
        <v>565</v>
      </c>
      <c r="G231" s="256" t="s">
        <v>7906</v>
      </c>
    </row>
    <row r="232" spans="1:7" ht="76.5" customHeight="1" x14ac:dyDescent="0.2">
      <c r="A232" s="316">
        <v>2340</v>
      </c>
      <c r="B232" s="255" t="s">
        <v>6235</v>
      </c>
      <c r="C232" s="255" t="s">
        <v>6306</v>
      </c>
      <c r="D232" s="255" t="s">
        <v>9140</v>
      </c>
      <c r="E232" s="255" t="s">
        <v>6307</v>
      </c>
      <c r="F232" s="256" t="s">
        <v>565</v>
      </c>
      <c r="G232" s="256" t="s">
        <v>9136</v>
      </c>
    </row>
    <row r="233" spans="1:7" ht="30" customHeight="1" x14ac:dyDescent="0.2">
      <c r="A233" s="316">
        <v>2341</v>
      </c>
      <c r="B233" s="255" t="s">
        <v>6235</v>
      </c>
      <c r="C233" s="255" t="s">
        <v>6308</v>
      </c>
      <c r="D233" s="255" t="s">
        <v>9332</v>
      </c>
      <c r="E233" s="255"/>
      <c r="F233" s="256" t="s">
        <v>565</v>
      </c>
      <c r="G233" s="256" t="s">
        <v>8984</v>
      </c>
    </row>
    <row r="234" spans="1:7" ht="30" customHeight="1" x14ac:dyDescent="0.2">
      <c r="A234" s="316">
        <v>2342</v>
      </c>
      <c r="B234" s="255" t="s">
        <v>6309</v>
      </c>
      <c r="C234" s="255" t="s">
        <v>6310</v>
      </c>
      <c r="D234" s="255" t="s">
        <v>7440</v>
      </c>
      <c r="E234" s="255" t="s">
        <v>6311</v>
      </c>
      <c r="F234" s="271" t="s">
        <v>565</v>
      </c>
      <c r="G234" s="271" t="s">
        <v>7405</v>
      </c>
    </row>
    <row r="235" spans="1:7" ht="30" customHeight="1" x14ac:dyDescent="0.2">
      <c r="A235" s="316">
        <v>2343</v>
      </c>
      <c r="B235" s="255" t="s">
        <v>6309</v>
      </c>
      <c r="C235" s="255" t="s">
        <v>6312</v>
      </c>
      <c r="D235" s="255" t="s">
        <v>7441</v>
      </c>
      <c r="E235" s="255" t="s">
        <v>6313</v>
      </c>
      <c r="F235" s="256" t="s">
        <v>565</v>
      </c>
      <c r="G235" s="256" t="s">
        <v>7405</v>
      </c>
    </row>
    <row r="236" spans="1:7" ht="30" customHeight="1" x14ac:dyDescent="0.2">
      <c r="A236" s="316">
        <v>2344</v>
      </c>
      <c r="B236" s="255" t="s">
        <v>6309</v>
      </c>
      <c r="C236" s="255" t="s">
        <v>6314</v>
      </c>
      <c r="D236" s="255" t="s">
        <v>7442</v>
      </c>
      <c r="E236" s="255" t="s">
        <v>6315</v>
      </c>
      <c r="F236" s="256" t="s">
        <v>565</v>
      </c>
      <c r="G236" s="256" t="s">
        <v>7405</v>
      </c>
    </row>
    <row r="237" spans="1:7" ht="30" customHeight="1" x14ac:dyDescent="0.2">
      <c r="A237" s="316">
        <v>2345</v>
      </c>
      <c r="B237" s="255" t="s">
        <v>6309</v>
      </c>
      <c r="C237" s="255" t="s">
        <v>6316</v>
      </c>
      <c r="D237" s="255" t="s">
        <v>7443</v>
      </c>
      <c r="E237" s="255" t="s">
        <v>6315</v>
      </c>
      <c r="F237" s="256" t="s">
        <v>565</v>
      </c>
      <c r="G237" s="256" t="s">
        <v>7405</v>
      </c>
    </row>
    <row r="238" spans="1:7" ht="30" customHeight="1" x14ac:dyDescent="0.2">
      <c r="A238" s="316">
        <v>2346</v>
      </c>
      <c r="B238" s="255" t="s">
        <v>6309</v>
      </c>
      <c r="C238" s="255" t="s">
        <v>6317</v>
      </c>
      <c r="D238" s="255" t="s">
        <v>7444</v>
      </c>
      <c r="E238" s="255" t="s">
        <v>6315</v>
      </c>
      <c r="F238" s="256" t="s">
        <v>565</v>
      </c>
      <c r="G238" s="256" t="s">
        <v>7405</v>
      </c>
    </row>
    <row r="239" spans="1:7" ht="30" customHeight="1" x14ac:dyDescent="0.2">
      <c r="A239" s="316">
        <v>2347</v>
      </c>
      <c r="B239" s="255" t="s">
        <v>6309</v>
      </c>
      <c r="C239" s="255" t="s">
        <v>6318</v>
      </c>
      <c r="D239" s="255" t="s">
        <v>7445</v>
      </c>
      <c r="E239" s="255" t="s">
        <v>6315</v>
      </c>
      <c r="F239" s="256" t="s">
        <v>565</v>
      </c>
      <c r="G239" s="256" t="s">
        <v>7405</v>
      </c>
    </row>
    <row r="240" spans="1:7" ht="30" customHeight="1" x14ac:dyDescent="0.2">
      <c r="A240" s="316">
        <v>2348</v>
      </c>
      <c r="B240" s="255" t="s">
        <v>6309</v>
      </c>
      <c r="C240" s="255" t="s">
        <v>6319</v>
      </c>
      <c r="D240" s="255" t="s">
        <v>7446</v>
      </c>
      <c r="E240" s="255" t="s">
        <v>6315</v>
      </c>
      <c r="F240" s="256" t="s">
        <v>565</v>
      </c>
      <c r="G240" s="256" t="s">
        <v>7405</v>
      </c>
    </row>
    <row r="241" spans="1:7" ht="30" customHeight="1" x14ac:dyDescent="0.2">
      <c r="A241" s="316">
        <v>2349</v>
      </c>
      <c r="B241" s="255" t="s">
        <v>6309</v>
      </c>
      <c r="C241" s="255" t="s">
        <v>6320</v>
      </c>
      <c r="D241" s="255" t="s">
        <v>7447</v>
      </c>
      <c r="E241" s="255" t="s">
        <v>6315</v>
      </c>
      <c r="F241" s="256" t="s">
        <v>565</v>
      </c>
      <c r="G241" s="256" t="s">
        <v>7405</v>
      </c>
    </row>
    <row r="242" spans="1:7" ht="30" customHeight="1" x14ac:dyDescent="0.2">
      <c r="A242" s="316">
        <v>2350</v>
      </c>
      <c r="B242" s="255" t="s">
        <v>6309</v>
      </c>
      <c r="C242" s="255" t="s">
        <v>6321</v>
      </c>
      <c r="D242" s="255" t="s">
        <v>7448</v>
      </c>
      <c r="E242" s="255" t="s">
        <v>6322</v>
      </c>
      <c r="F242" s="256" t="s">
        <v>565</v>
      </c>
      <c r="G242" s="256" t="s">
        <v>7405</v>
      </c>
    </row>
    <row r="243" spans="1:7" ht="30" customHeight="1" x14ac:dyDescent="0.2">
      <c r="A243" s="316">
        <v>2351</v>
      </c>
      <c r="B243" s="255" t="s">
        <v>6309</v>
      </c>
      <c r="C243" s="255" t="s">
        <v>6323</v>
      </c>
      <c r="D243" s="255" t="s">
        <v>7449</v>
      </c>
      <c r="E243" s="255" t="s">
        <v>6324</v>
      </c>
      <c r="F243" s="256" t="s">
        <v>565</v>
      </c>
      <c r="G243" s="256" t="s">
        <v>7405</v>
      </c>
    </row>
    <row r="244" spans="1:7" ht="30" customHeight="1" x14ac:dyDescent="0.2">
      <c r="A244" s="316">
        <v>2352</v>
      </c>
      <c r="B244" s="255" t="s">
        <v>6309</v>
      </c>
      <c r="C244" s="255" t="s">
        <v>6325</v>
      </c>
      <c r="D244" s="255" t="s">
        <v>7450</v>
      </c>
      <c r="E244" s="255" t="s">
        <v>6326</v>
      </c>
      <c r="F244" s="256" t="s">
        <v>565</v>
      </c>
      <c r="G244" s="256" t="s">
        <v>7405</v>
      </c>
    </row>
    <row r="245" spans="1:7" ht="30" customHeight="1" x14ac:dyDescent="0.2">
      <c r="A245" s="316">
        <v>2353</v>
      </c>
      <c r="B245" s="255" t="s">
        <v>6309</v>
      </c>
      <c r="C245" s="255" t="s">
        <v>6327</v>
      </c>
      <c r="D245" s="255" t="s">
        <v>7451</v>
      </c>
      <c r="E245" s="255" t="s">
        <v>6326</v>
      </c>
      <c r="F245" s="256" t="s">
        <v>565</v>
      </c>
      <c r="G245" s="256" t="s">
        <v>7405</v>
      </c>
    </row>
    <row r="246" spans="1:7" ht="30" customHeight="1" x14ac:dyDescent="0.2">
      <c r="A246" s="316">
        <v>2354</v>
      </c>
      <c r="B246" s="255" t="s">
        <v>6309</v>
      </c>
      <c r="C246" s="255" t="s">
        <v>6328</v>
      </c>
      <c r="D246" s="255" t="s">
        <v>7452</v>
      </c>
      <c r="E246" s="255" t="s">
        <v>6315</v>
      </c>
      <c r="F246" s="256" t="s">
        <v>565</v>
      </c>
      <c r="G246" s="256" t="s">
        <v>7405</v>
      </c>
    </row>
    <row r="247" spans="1:7" ht="30" customHeight="1" x14ac:dyDescent="0.2">
      <c r="A247" s="316">
        <v>2355</v>
      </c>
      <c r="B247" s="255" t="s">
        <v>6309</v>
      </c>
      <c r="C247" s="255" t="s">
        <v>6329</v>
      </c>
      <c r="D247" s="255" t="s">
        <v>7453</v>
      </c>
      <c r="E247" s="255" t="s">
        <v>6330</v>
      </c>
      <c r="F247" s="256" t="s">
        <v>565</v>
      </c>
      <c r="G247" s="256" t="s">
        <v>7405</v>
      </c>
    </row>
    <row r="248" spans="1:7" ht="30" customHeight="1" x14ac:dyDescent="0.2">
      <c r="A248" s="316">
        <v>2356</v>
      </c>
      <c r="B248" s="255" t="s">
        <v>6309</v>
      </c>
      <c r="C248" s="255" t="s">
        <v>6331</v>
      </c>
      <c r="D248" s="255" t="s">
        <v>8121</v>
      </c>
      <c r="E248" s="255" t="s">
        <v>6332</v>
      </c>
      <c r="F248" s="256" t="s">
        <v>565</v>
      </c>
      <c r="G248" s="256" t="s">
        <v>8076</v>
      </c>
    </row>
    <row r="249" spans="1:7" ht="30" customHeight="1" x14ac:dyDescent="0.2">
      <c r="A249" s="316">
        <v>2357</v>
      </c>
      <c r="B249" s="255" t="s">
        <v>6333</v>
      </c>
      <c r="C249" s="255" t="s">
        <v>6334</v>
      </c>
      <c r="D249" s="255" t="s">
        <v>7362</v>
      </c>
      <c r="E249" s="255" t="s">
        <v>6335</v>
      </c>
      <c r="F249" s="256" t="s">
        <v>84</v>
      </c>
      <c r="G249" s="256" t="s">
        <v>7346</v>
      </c>
    </row>
    <row r="250" spans="1:7" ht="30" customHeight="1" x14ac:dyDescent="0.2">
      <c r="A250" s="316">
        <v>2358</v>
      </c>
      <c r="B250" s="255" t="s">
        <v>6333</v>
      </c>
      <c r="C250" s="255" t="s">
        <v>6336</v>
      </c>
      <c r="D250" s="255" t="s">
        <v>7294</v>
      </c>
      <c r="E250" s="255" t="s">
        <v>6337</v>
      </c>
      <c r="F250" s="256" t="s">
        <v>84</v>
      </c>
      <c r="G250" s="256" t="s">
        <v>7276</v>
      </c>
    </row>
    <row r="251" spans="1:7" ht="30" customHeight="1" x14ac:dyDescent="0.2">
      <c r="A251" s="316">
        <v>2359</v>
      </c>
      <c r="B251" s="255" t="s">
        <v>6333</v>
      </c>
      <c r="C251" s="255" t="s">
        <v>6338</v>
      </c>
      <c r="D251" s="255" t="s">
        <v>8633</v>
      </c>
      <c r="E251" s="255" t="s">
        <v>6339</v>
      </c>
      <c r="F251" s="256" t="s">
        <v>84</v>
      </c>
      <c r="G251" s="256" t="s">
        <v>8577</v>
      </c>
    </row>
    <row r="252" spans="1:7" ht="30" customHeight="1" x14ac:dyDescent="0.2">
      <c r="A252" s="316">
        <v>2360</v>
      </c>
      <c r="B252" s="255" t="s">
        <v>6333</v>
      </c>
      <c r="C252" s="255" t="s">
        <v>6340</v>
      </c>
      <c r="D252" s="255" t="s">
        <v>8458</v>
      </c>
      <c r="E252" s="255" t="s">
        <v>6341</v>
      </c>
      <c r="F252" s="256" t="s">
        <v>322</v>
      </c>
      <c r="G252" s="256" t="s">
        <v>8412</v>
      </c>
    </row>
    <row r="253" spans="1:7" ht="30" customHeight="1" x14ac:dyDescent="0.2">
      <c r="A253" s="316">
        <v>2361</v>
      </c>
      <c r="B253" s="255" t="s">
        <v>6342</v>
      </c>
      <c r="C253" s="255" t="s">
        <v>3748</v>
      </c>
      <c r="D253" s="255" t="s">
        <v>7326</v>
      </c>
      <c r="E253" s="255" t="s">
        <v>3749</v>
      </c>
      <c r="F253" s="271" t="s">
        <v>84</v>
      </c>
      <c r="G253" s="271" t="s">
        <v>7276</v>
      </c>
    </row>
    <row r="254" spans="1:7" ht="30" customHeight="1" x14ac:dyDescent="0.2">
      <c r="A254" s="316">
        <v>2362</v>
      </c>
      <c r="B254" s="255" t="s">
        <v>6342</v>
      </c>
      <c r="C254" s="255" t="s">
        <v>3750</v>
      </c>
      <c r="D254" s="255" t="s">
        <v>9333</v>
      </c>
      <c r="E254" s="255" t="s">
        <v>3751</v>
      </c>
      <c r="F254" s="271" t="s">
        <v>565</v>
      </c>
      <c r="G254" s="271" t="s">
        <v>8984</v>
      </c>
    </row>
    <row r="255" spans="1:7" ht="30" customHeight="1" x14ac:dyDescent="0.2">
      <c r="A255" s="316">
        <v>2363</v>
      </c>
      <c r="B255" s="255" t="s">
        <v>6342</v>
      </c>
      <c r="C255" s="255" t="s">
        <v>3752</v>
      </c>
      <c r="D255" s="255" t="s">
        <v>7327</v>
      </c>
      <c r="E255" s="255" t="s">
        <v>3749</v>
      </c>
      <c r="F255" s="271" t="s">
        <v>84</v>
      </c>
      <c r="G255" s="271" t="s">
        <v>7276</v>
      </c>
    </row>
    <row r="256" spans="1:7" ht="30" customHeight="1" x14ac:dyDescent="0.2">
      <c r="A256" s="316">
        <v>2364</v>
      </c>
      <c r="B256" s="255" t="s">
        <v>6342</v>
      </c>
      <c r="C256" s="255" t="s">
        <v>3753</v>
      </c>
      <c r="D256" s="255" t="s">
        <v>3754</v>
      </c>
      <c r="E256" s="255"/>
      <c r="F256" s="271" t="s">
        <v>84</v>
      </c>
      <c r="G256" s="271" t="s">
        <v>7276</v>
      </c>
    </row>
    <row r="257" spans="1:7" ht="30" customHeight="1" x14ac:dyDescent="0.2">
      <c r="A257" s="316">
        <v>2365</v>
      </c>
      <c r="B257" s="255" t="s">
        <v>6342</v>
      </c>
      <c r="C257" s="255" t="s">
        <v>3755</v>
      </c>
      <c r="D257" s="255" t="s">
        <v>3756</v>
      </c>
      <c r="E257" s="255"/>
      <c r="F257" s="271" t="s">
        <v>84</v>
      </c>
      <c r="G257" s="271" t="s">
        <v>8577</v>
      </c>
    </row>
    <row r="258" spans="1:7" ht="30" customHeight="1" x14ac:dyDescent="0.2">
      <c r="A258" s="316">
        <v>2366</v>
      </c>
      <c r="B258" s="255" t="s">
        <v>6342</v>
      </c>
      <c r="C258" s="255" t="s">
        <v>3757</v>
      </c>
      <c r="D258" s="255" t="s">
        <v>7295</v>
      </c>
      <c r="E258" s="255" t="s">
        <v>3758</v>
      </c>
      <c r="F258" s="271" t="s">
        <v>84</v>
      </c>
      <c r="G258" s="271" t="s">
        <v>7276</v>
      </c>
    </row>
    <row r="259" spans="1:7" ht="30" customHeight="1" x14ac:dyDescent="0.2">
      <c r="A259" s="316">
        <v>2367</v>
      </c>
      <c r="B259" s="255" t="s">
        <v>6342</v>
      </c>
      <c r="C259" s="255" t="s">
        <v>9929</v>
      </c>
      <c r="D259" s="255" t="s">
        <v>8634</v>
      </c>
      <c r="E259" s="255" t="s">
        <v>3759</v>
      </c>
      <c r="F259" s="271" t="s">
        <v>84</v>
      </c>
      <c r="G259" s="271" t="s">
        <v>8577</v>
      </c>
    </row>
    <row r="260" spans="1:7" ht="30" customHeight="1" x14ac:dyDescent="0.2">
      <c r="A260" s="316">
        <v>2368</v>
      </c>
      <c r="B260" s="255" t="s">
        <v>6342</v>
      </c>
      <c r="C260" s="255" t="s">
        <v>9930</v>
      </c>
      <c r="D260" s="255" t="s">
        <v>7328</v>
      </c>
      <c r="E260" s="255" t="s">
        <v>3760</v>
      </c>
      <c r="F260" s="271" t="s">
        <v>84</v>
      </c>
      <c r="G260" s="271" t="s">
        <v>7276</v>
      </c>
    </row>
    <row r="261" spans="1:7" ht="30" customHeight="1" x14ac:dyDescent="0.2">
      <c r="A261" s="316">
        <v>2369</v>
      </c>
      <c r="B261" s="255" t="s">
        <v>6342</v>
      </c>
      <c r="C261" s="255" t="s">
        <v>9931</v>
      </c>
      <c r="D261" s="255" t="s">
        <v>7329</v>
      </c>
      <c r="E261" s="255" t="s">
        <v>3761</v>
      </c>
      <c r="F261" s="271" t="s">
        <v>84</v>
      </c>
      <c r="G261" s="271" t="s">
        <v>7276</v>
      </c>
    </row>
    <row r="262" spans="1:7" ht="30" customHeight="1" x14ac:dyDescent="0.2">
      <c r="A262" s="316">
        <v>2370</v>
      </c>
      <c r="B262" s="255" t="s">
        <v>6342</v>
      </c>
      <c r="C262" s="255" t="s">
        <v>3762</v>
      </c>
      <c r="D262" s="255" t="s">
        <v>7295</v>
      </c>
      <c r="E262" s="255" t="s">
        <v>3763</v>
      </c>
      <c r="F262" s="271" t="s">
        <v>84</v>
      </c>
      <c r="G262" s="271" t="s">
        <v>7276</v>
      </c>
    </row>
    <row r="263" spans="1:7" ht="30" customHeight="1" x14ac:dyDescent="0.2">
      <c r="A263" s="316">
        <v>2371</v>
      </c>
      <c r="B263" s="255" t="s">
        <v>6342</v>
      </c>
      <c r="C263" s="255" t="s">
        <v>3764</v>
      </c>
      <c r="D263" s="255" t="s">
        <v>7296</v>
      </c>
      <c r="E263" s="255"/>
      <c r="F263" s="271" t="s">
        <v>84</v>
      </c>
      <c r="G263" s="271" t="s">
        <v>7276</v>
      </c>
    </row>
    <row r="264" spans="1:7" ht="30" customHeight="1" x14ac:dyDescent="0.2">
      <c r="A264" s="316">
        <v>2372</v>
      </c>
      <c r="B264" s="255" t="s">
        <v>6342</v>
      </c>
      <c r="C264" s="255" t="s">
        <v>3765</v>
      </c>
      <c r="D264" s="255" t="s">
        <v>7297</v>
      </c>
      <c r="E264" s="255" t="s">
        <v>3766</v>
      </c>
      <c r="F264" s="271" t="s">
        <v>84</v>
      </c>
      <c r="G264" s="271" t="s">
        <v>7276</v>
      </c>
    </row>
    <row r="265" spans="1:7" ht="30" customHeight="1" x14ac:dyDescent="0.2">
      <c r="A265" s="316">
        <v>2373</v>
      </c>
      <c r="B265" s="255" t="s">
        <v>6342</v>
      </c>
      <c r="C265" s="255" t="s">
        <v>3768</v>
      </c>
      <c r="D265" s="255" t="s">
        <v>7330</v>
      </c>
      <c r="E265" s="255"/>
      <c r="F265" s="271" t="s">
        <v>84</v>
      </c>
      <c r="G265" s="271" t="s">
        <v>7276</v>
      </c>
    </row>
    <row r="266" spans="1:7" ht="30" customHeight="1" x14ac:dyDescent="0.2">
      <c r="A266" s="316">
        <v>2374</v>
      </c>
      <c r="B266" s="255" t="s">
        <v>6342</v>
      </c>
      <c r="C266" s="255" t="s">
        <v>3769</v>
      </c>
      <c r="D266" s="255" t="s">
        <v>7298</v>
      </c>
      <c r="E266" s="255"/>
      <c r="F266" s="271" t="s">
        <v>84</v>
      </c>
      <c r="G266" s="271" t="s">
        <v>7276</v>
      </c>
    </row>
    <row r="267" spans="1:7" ht="30" customHeight="1" x14ac:dyDescent="0.2">
      <c r="A267" s="316">
        <v>2375</v>
      </c>
      <c r="B267" s="255" t="s">
        <v>6342</v>
      </c>
      <c r="C267" s="255" t="s">
        <v>3770</v>
      </c>
      <c r="D267" s="255" t="s">
        <v>8635</v>
      </c>
      <c r="E267" s="255"/>
      <c r="F267" s="271" t="s">
        <v>84</v>
      </c>
      <c r="G267" s="271" t="s">
        <v>8577</v>
      </c>
    </row>
    <row r="268" spans="1:7" ht="30" customHeight="1" x14ac:dyDescent="0.2">
      <c r="A268" s="316">
        <v>2376</v>
      </c>
      <c r="B268" s="255" t="s">
        <v>6342</v>
      </c>
      <c r="C268" s="255" t="s">
        <v>3771</v>
      </c>
      <c r="D268" s="255" t="s">
        <v>9334</v>
      </c>
      <c r="E268" s="255"/>
      <c r="F268" s="256" t="s">
        <v>565</v>
      </c>
      <c r="G268" s="256" t="s">
        <v>8984</v>
      </c>
    </row>
    <row r="269" spans="1:7" ht="30" customHeight="1" x14ac:dyDescent="0.2">
      <c r="A269" s="316">
        <v>2377</v>
      </c>
      <c r="B269" s="255" t="s">
        <v>6342</v>
      </c>
      <c r="C269" s="255" t="s">
        <v>3772</v>
      </c>
      <c r="D269" s="255" t="s">
        <v>8985</v>
      </c>
      <c r="E269" s="255"/>
      <c r="F269" s="256" t="s">
        <v>84</v>
      </c>
      <c r="G269" s="256" t="s">
        <v>8984</v>
      </c>
    </row>
    <row r="270" spans="1:7" ht="30" customHeight="1" x14ac:dyDescent="0.2">
      <c r="A270" s="316">
        <v>2378</v>
      </c>
      <c r="B270" s="255" t="s">
        <v>6342</v>
      </c>
      <c r="C270" s="255" t="s">
        <v>3773</v>
      </c>
      <c r="D270" s="255" t="s">
        <v>7919</v>
      </c>
      <c r="E270" s="255"/>
      <c r="F270" s="256" t="s">
        <v>565</v>
      </c>
      <c r="G270" s="256" t="s">
        <v>7906</v>
      </c>
    </row>
    <row r="271" spans="1:7" ht="30" customHeight="1" x14ac:dyDescent="0.2">
      <c r="A271" s="316">
        <v>2379</v>
      </c>
      <c r="B271" s="255" t="s">
        <v>6342</v>
      </c>
      <c r="C271" s="255" t="s">
        <v>3774</v>
      </c>
      <c r="D271" s="255" t="s">
        <v>7299</v>
      </c>
      <c r="E271" s="255"/>
      <c r="F271" s="256" t="s">
        <v>84</v>
      </c>
      <c r="G271" s="256" t="s">
        <v>7276</v>
      </c>
    </row>
    <row r="272" spans="1:7" ht="30" customHeight="1" x14ac:dyDescent="0.2">
      <c r="A272" s="316">
        <v>2380</v>
      </c>
      <c r="B272" s="255" t="s">
        <v>6342</v>
      </c>
      <c r="C272" s="255" t="s">
        <v>3775</v>
      </c>
      <c r="D272" s="255" t="s">
        <v>7300</v>
      </c>
      <c r="E272" s="255"/>
      <c r="F272" s="256" t="s">
        <v>84</v>
      </c>
      <c r="G272" s="256" t="s">
        <v>7276</v>
      </c>
    </row>
    <row r="273" spans="1:7" ht="30" customHeight="1" x14ac:dyDescent="0.2">
      <c r="A273" s="316">
        <v>2381</v>
      </c>
      <c r="B273" s="255" t="s">
        <v>6342</v>
      </c>
      <c r="C273" s="255" t="s">
        <v>3776</v>
      </c>
      <c r="D273" s="255" t="s">
        <v>7331</v>
      </c>
      <c r="E273" s="255" t="s">
        <v>3777</v>
      </c>
      <c r="F273" s="256" t="s">
        <v>84</v>
      </c>
      <c r="G273" s="256" t="s">
        <v>7276</v>
      </c>
    </row>
    <row r="274" spans="1:7" ht="30" customHeight="1" x14ac:dyDescent="0.2">
      <c r="A274" s="316">
        <v>2382</v>
      </c>
      <c r="B274" s="255" t="s">
        <v>6342</v>
      </c>
      <c r="C274" s="255" t="s">
        <v>3778</v>
      </c>
      <c r="D274" s="255" t="s">
        <v>7301</v>
      </c>
      <c r="E274" s="255" t="s">
        <v>3779</v>
      </c>
      <c r="F274" s="256" t="s">
        <v>84</v>
      </c>
      <c r="G274" s="256" t="s">
        <v>7276</v>
      </c>
    </row>
    <row r="275" spans="1:7" ht="30" customHeight="1" x14ac:dyDescent="0.2">
      <c r="A275" s="316">
        <v>2383</v>
      </c>
      <c r="B275" s="255" t="s">
        <v>6342</v>
      </c>
      <c r="C275" s="255" t="s">
        <v>3780</v>
      </c>
      <c r="D275" s="255" t="s">
        <v>7302</v>
      </c>
      <c r="E275" s="255" t="s">
        <v>3781</v>
      </c>
      <c r="F275" s="256" t="s">
        <v>84</v>
      </c>
      <c r="G275" s="256" t="s">
        <v>7276</v>
      </c>
    </row>
    <row r="276" spans="1:7" ht="30" customHeight="1" x14ac:dyDescent="0.2">
      <c r="A276" s="316">
        <v>2384</v>
      </c>
      <c r="B276" s="255" t="s">
        <v>6342</v>
      </c>
      <c r="C276" s="255" t="s">
        <v>3782</v>
      </c>
      <c r="D276" s="255" t="s">
        <v>8296</v>
      </c>
      <c r="E276" s="255" t="s">
        <v>3783</v>
      </c>
      <c r="F276" s="256" t="s">
        <v>565</v>
      </c>
      <c r="G276" s="256" t="s">
        <v>8257</v>
      </c>
    </row>
    <row r="277" spans="1:7" ht="30" customHeight="1" x14ac:dyDescent="0.2">
      <c r="A277" s="316">
        <v>2385</v>
      </c>
      <c r="B277" s="255" t="s">
        <v>6342</v>
      </c>
      <c r="C277" s="255" t="s">
        <v>3784</v>
      </c>
      <c r="D277" s="255" t="s">
        <v>7303</v>
      </c>
      <c r="E277" s="255" t="s">
        <v>9932</v>
      </c>
      <c r="F277" s="256" t="s">
        <v>84</v>
      </c>
      <c r="G277" s="256" t="s">
        <v>7276</v>
      </c>
    </row>
    <row r="278" spans="1:7" ht="30" customHeight="1" x14ac:dyDescent="0.2">
      <c r="A278" s="316">
        <v>2386</v>
      </c>
      <c r="B278" s="255" t="s">
        <v>6342</v>
      </c>
      <c r="C278" s="255" t="s">
        <v>3785</v>
      </c>
      <c r="D278" s="255" t="s">
        <v>7540</v>
      </c>
      <c r="E278" s="255" t="s">
        <v>3786</v>
      </c>
      <c r="F278" s="256" t="s">
        <v>84</v>
      </c>
      <c r="G278" s="256" t="s">
        <v>7527</v>
      </c>
    </row>
    <row r="279" spans="1:7" ht="30" customHeight="1" x14ac:dyDescent="0.2">
      <c r="A279" s="316">
        <v>2387</v>
      </c>
      <c r="B279" s="255" t="s">
        <v>6342</v>
      </c>
      <c r="C279" s="255" t="s">
        <v>3787</v>
      </c>
      <c r="D279" s="255" t="s">
        <v>8636</v>
      </c>
      <c r="E279" s="262" t="s">
        <v>3788</v>
      </c>
      <c r="F279" s="256" t="s">
        <v>84</v>
      </c>
      <c r="G279" s="256" t="s">
        <v>8577</v>
      </c>
    </row>
    <row r="280" spans="1:7" ht="30" customHeight="1" x14ac:dyDescent="0.2">
      <c r="A280" s="316">
        <v>2388</v>
      </c>
      <c r="B280" s="255" t="s">
        <v>6342</v>
      </c>
      <c r="C280" s="255" t="s">
        <v>6343</v>
      </c>
      <c r="D280" s="255" t="s">
        <v>8459</v>
      </c>
      <c r="E280" s="262" t="s">
        <v>6344</v>
      </c>
      <c r="F280" s="256" t="s">
        <v>322</v>
      </c>
      <c r="G280" s="256" t="s">
        <v>8412</v>
      </c>
    </row>
    <row r="281" spans="1:7" ht="30" customHeight="1" x14ac:dyDescent="0.2">
      <c r="A281" s="316">
        <v>2389</v>
      </c>
      <c r="B281" s="255" t="s">
        <v>6345</v>
      </c>
      <c r="C281" s="255" t="s">
        <v>3791</v>
      </c>
      <c r="D281" s="255" t="s">
        <v>7951</v>
      </c>
      <c r="E281" s="255" t="s">
        <v>3792</v>
      </c>
      <c r="F281" s="271" t="s">
        <v>74</v>
      </c>
      <c r="G281" s="271" t="s">
        <v>8090</v>
      </c>
    </row>
    <row r="282" spans="1:7" ht="30" customHeight="1" x14ac:dyDescent="0.2">
      <c r="A282" s="316">
        <v>2390</v>
      </c>
      <c r="B282" s="262" t="s">
        <v>6345</v>
      </c>
      <c r="C282" s="262" t="s">
        <v>10174</v>
      </c>
      <c r="D282" s="262" t="s">
        <v>8460</v>
      </c>
      <c r="E282" s="262" t="s">
        <v>3794</v>
      </c>
      <c r="F282" s="271" t="s">
        <v>6046</v>
      </c>
      <c r="G282" s="271" t="s">
        <v>8412</v>
      </c>
    </row>
    <row r="283" spans="1:7" ht="30" customHeight="1" x14ac:dyDescent="0.2">
      <c r="A283" s="316">
        <v>2391</v>
      </c>
      <c r="B283" s="262" t="s">
        <v>6345</v>
      </c>
      <c r="C283" s="262" t="s">
        <v>10175</v>
      </c>
      <c r="D283" s="262" t="s">
        <v>8102</v>
      </c>
      <c r="E283" s="262" t="s">
        <v>3798</v>
      </c>
      <c r="F283" s="269" t="s">
        <v>322</v>
      </c>
      <c r="G283" s="269" t="s">
        <v>8090</v>
      </c>
    </row>
    <row r="284" spans="1:7" ht="30" customHeight="1" x14ac:dyDescent="0.2">
      <c r="A284" s="254">
        <v>2392</v>
      </c>
      <c r="B284" s="262" t="s">
        <v>6345</v>
      </c>
      <c r="C284" s="262" t="s">
        <v>10176</v>
      </c>
      <c r="D284" s="262" t="s">
        <v>8092</v>
      </c>
      <c r="E284" s="262" t="s">
        <v>3800</v>
      </c>
      <c r="F284" s="269" t="s">
        <v>74</v>
      </c>
      <c r="G284" s="269" t="s">
        <v>8090</v>
      </c>
    </row>
    <row r="285" spans="1:7" ht="30" customHeight="1" x14ac:dyDescent="0.2">
      <c r="A285" s="317">
        <v>2393</v>
      </c>
      <c r="B285" s="263" t="s">
        <v>6345</v>
      </c>
      <c r="C285" s="262" t="s">
        <v>10177</v>
      </c>
      <c r="D285" s="263" t="s">
        <v>9235</v>
      </c>
      <c r="E285" s="263" t="s">
        <v>3802</v>
      </c>
      <c r="F285" s="264" t="s">
        <v>74</v>
      </c>
      <c r="G285" s="264" t="s">
        <v>8090</v>
      </c>
    </row>
    <row r="286" spans="1:7" ht="30" customHeight="1" x14ac:dyDescent="0.2">
      <c r="A286" s="317"/>
      <c r="B286" s="263"/>
      <c r="C286" s="263" t="s">
        <v>6346</v>
      </c>
      <c r="D286" s="263"/>
      <c r="E286" s="263"/>
      <c r="F286" s="264"/>
      <c r="G286" s="264"/>
    </row>
    <row r="287" spans="1:7" ht="30" customHeight="1" x14ac:dyDescent="0.2">
      <c r="A287" s="317"/>
      <c r="B287" s="263"/>
      <c r="C287" s="263"/>
      <c r="D287" s="263"/>
      <c r="E287" s="263"/>
      <c r="F287" s="264"/>
      <c r="G287" s="264"/>
    </row>
    <row r="288" spans="1:7" ht="30" customHeight="1" x14ac:dyDescent="0.2">
      <c r="A288" s="317"/>
      <c r="B288" s="263"/>
      <c r="C288" s="263"/>
      <c r="D288" s="263"/>
      <c r="E288" s="263"/>
      <c r="F288" s="264"/>
      <c r="G288" s="264"/>
    </row>
    <row r="289" spans="1:7" ht="30" customHeight="1" x14ac:dyDescent="0.2">
      <c r="A289" s="317"/>
      <c r="B289" s="263"/>
      <c r="C289" s="263"/>
      <c r="D289" s="263"/>
      <c r="E289" s="263"/>
      <c r="F289" s="264"/>
      <c r="G289" s="264"/>
    </row>
    <row r="290" spans="1:7" ht="30" customHeight="1" x14ac:dyDescent="0.2">
      <c r="A290" s="317"/>
      <c r="B290" s="263"/>
      <c r="C290" s="263"/>
      <c r="D290" s="263"/>
      <c r="E290" s="263"/>
      <c r="F290" s="264"/>
      <c r="G290" s="264"/>
    </row>
    <row r="291" spans="1:7" ht="30" customHeight="1" x14ac:dyDescent="0.2">
      <c r="A291" s="317"/>
      <c r="B291" s="263"/>
      <c r="C291" s="263"/>
      <c r="D291" s="263"/>
      <c r="E291" s="263"/>
      <c r="F291" s="264"/>
      <c r="G291" s="264"/>
    </row>
    <row r="292" spans="1:7" ht="30" customHeight="1" x14ac:dyDescent="0.2">
      <c r="A292" s="254">
        <v>2394</v>
      </c>
      <c r="B292" s="262" t="s">
        <v>6345</v>
      </c>
      <c r="C292" s="262" t="s">
        <v>10178</v>
      </c>
      <c r="D292" s="262" t="s">
        <v>7304</v>
      </c>
      <c r="E292" s="262" t="s">
        <v>3810</v>
      </c>
      <c r="F292" s="269" t="s">
        <v>84</v>
      </c>
      <c r="G292" s="269" t="s">
        <v>7276</v>
      </c>
    </row>
    <row r="293" spans="1:7" ht="30" customHeight="1" x14ac:dyDescent="0.2">
      <c r="A293" s="254">
        <v>2395</v>
      </c>
      <c r="B293" s="262" t="s">
        <v>6345</v>
      </c>
      <c r="C293" s="262" t="s">
        <v>10179</v>
      </c>
      <c r="D293" s="262" t="s">
        <v>8855</v>
      </c>
      <c r="E293" s="262" t="s">
        <v>3813</v>
      </c>
      <c r="F293" s="269" t="s">
        <v>565</v>
      </c>
      <c r="G293" s="269" t="s">
        <v>8668</v>
      </c>
    </row>
    <row r="294" spans="1:7" ht="30" customHeight="1" x14ac:dyDescent="0.2">
      <c r="A294" s="317">
        <v>2396</v>
      </c>
      <c r="B294" s="263" t="s">
        <v>6345</v>
      </c>
      <c r="C294" s="263" t="s">
        <v>6347</v>
      </c>
      <c r="D294" s="263" t="s">
        <v>7355</v>
      </c>
      <c r="E294" s="263" t="s">
        <v>3817</v>
      </c>
      <c r="F294" s="264" t="s">
        <v>322</v>
      </c>
      <c r="G294" s="264" t="s">
        <v>8412</v>
      </c>
    </row>
    <row r="295" spans="1:7" ht="30" customHeight="1" x14ac:dyDescent="0.2">
      <c r="A295" s="317"/>
      <c r="B295" s="263"/>
      <c r="C295" s="263"/>
      <c r="D295" s="263"/>
      <c r="E295" s="263"/>
      <c r="F295" s="264"/>
      <c r="G295" s="264"/>
    </row>
    <row r="296" spans="1:7" ht="30" customHeight="1" x14ac:dyDescent="0.2">
      <c r="A296" s="317">
        <v>2397</v>
      </c>
      <c r="B296" s="263" t="s">
        <v>6345</v>
      </c>
      <c r="C296" s="263" t="s">
        <v>6348</v>
      </c>
      <c r="D296" s="263" t="s">
        <v>7376</v>
      </c>
      <c r="E296" s="263" t="s">
        <v>3821</v>
      </c>
      <c r="F296" s="264" t="s">
        <v>322</v>
      </c>
      <c r="G296" s="265" t="s">
        <v>7364</v>
      </c>
    </row>
    <row r="297" spans="1:7" ht="30" customHeight="1" x14ac:dyDescent="0.2">
      <c r="A297" s="317"/>
      <c r="B297" s="263"/>
      <c r="C297" s="263"/>
      <c r="D297" s="263"/>
      <c r="E297" s="263"/>
      <c r="F297" s="264"/>
      <c r="G297" s="266"/>
    </row>
    <row r="298" spans="1:7" ht="30" customHeight="1" x14ac:dyDescent="0.2">
      <c r="A298" s="317"/>
      <c r="B298" s="263"/>
      <c r="C298" s="263"/>
      <c r="D298" s="263"/>
      <c r="E298" s="263"/>
      <c r="F298" s="264"/>
      <c r="G298" s="266"/>
    </row>
    <row r="299" spans="1:7" ht="30" customHeight="1" x14ac:dyDescent="0.2">
      <c r="A299" s="317"/>
      <c r="B299" s="263"/>
      <c r="C299" s="263"/>
      <c r="D299" s="263"/>
      <c r="E299" s="263"/>
      <c r="F299" s="264"/>
      <c r="G299" s="267"/>
    </row>
    <row r="300" spans="1:7" ht="30" customHeight="1" x14ac:dyDescent="0.2">
      <c r="A300" s="317">
        <v>2398</v>
      </c>
      <c r="B300" s="263" t="s">
        <v>6345</v>
      </c>
      <c r="C300" s="263" t="s">
        <v>10180</v>
      </c>
      <c r="D300" s="263" t="s">
        <v>8238</v>
      </c>
      <c r="E300" s="263" t="s">
        <v>3826</v>
      </c>
      <c r="F300" s="264" t="s">
        <v>322</v>
      </c>
      <c r="G300" s="265" t="s">
        <v>8234</v>
      </c>
    </row>
    <row r="301" spans="1:7" ht="30" customHeight="1" x14ac:dyDescent="0.2">
      <c r="A301" s="317"/>
      <c r="B301" s="263"/>
      <c r="C301" s="263"/>
      <c r="D301" s="263"/>
      <c r="E301" s="263"/>
      <c r="F301" s="264"/>
      <c r="G301" s="267"/>
    </row>
    <row r="302" spans="1:7" ht="30" customHeight="1" x14ac:dyDescent="0.2">
      <c r="A302" s="317">
        <v>2399</v>
      </c>
      <c r="B302" s="263" t="s">
        <v>6345</v>
      </c>
      <c r="C302" s="263" t="s">
        <v>10181</v>
      </c>
      <c r="D302" s="263" t="s">
        <v>7377</v>
      </c>
      <c r="E302" s="263" t="s">
        <v>3829</v>
      </c>
      <c r="F302" s="264" t="s">
        <v>322</v>
      </c>
      <c r="G302" s="265" t="s">
        <v>7364</v>
      </c>
    </row>
    <row r="303" spans="1:7" ht="30" customHeight="1" x14ac:dyDescent="0.2">
      <c r="A303" s="317"/>
      <c r="B303" s="263"/>
      <c r="C303" s="263"/>
      <c r="D303" s="263"/>
      <c r="E303" s="263"/>
      <c r="F303" s="264"/>
      <c r="G303" s="266"/>
    </row>
    <row r="304" spans="1:7" ht="30" customHeight="1" x14ac:dyDescent="0.2">
      <c r="A304" s="317"/>
      <c r="B304" s="263"/>
      <c r="C304" s="263"/>
      <c r="D304" s="263"/>
      <c r="E304" s="263"/>
      <c r="F304" s="264"/>
      <c r="G304" s="266"/>
    </row>
    <row r="305" spans="1:7" ht="30" customHeight="1" x14ac:dyDescent="0.2">
      <c r="A305" s="317"/>
      <c r="B305" s="263"/>
      <c r="C305" s="263"/>
      <c r="D305" s="263"/>
      <c r="E305" s="263"/>
      <c r="F305" s="264"/>
      <c r="G305" s="267"/>
    </row>
    <row r="306" spans="1:7" ht="30" customHeight="1" x14ac:dyDescent="0.2">
      <c r="A306" s="254">
        <v>2400</v>
      </c>
      <c r="B306" s="262" t="s">
        <v>6345</v>
      </c>
      <c r="C306" s="262" t="s">
        <v>10182</v>
      </c>
      <c r="D306" s="262" t="s">
        <v>3834</v>
      </c>
      <c r="E306" s="262" t="s">
        <v>3835</v>
      </c>
      <c r="F306" s="269" t="s">
        <v>74</v>
      </c>
      <c r="G306" s="269" t="s">
        <v>8668</v>
      </c>
    </row>
    <row r="307" spans="1:7" ht="30" customHeight="1" x14ac:dyDescent="0.2">
      <c r="A307" s="317">
        <v>2401</v>
      </c>
      <c r="B307" s="263" t="s">
        <v>6345</v>
      </c>
      <c r="C307" s="262" t="s">
        <v>9946</v>
      </c>
      <c r="D307" s="263" t="s">
        <v>8856</v>
      </c>
      <c r="E307" s="263" t="s">
        <v>3839</v>
      </c>
      <c r="F307" s="264" t="s">
        <v>74</v>
      </c>
      <c r="G307" s="265" t="s">
        <v>8668</v>
      </c>
    </row>
    <row r="308" spans="1:7" ht="30" customHeight="1" x14ac:dyDescent="0.2">
      <c r="A308" s="317"/>
      <c r="B308" s="263"/>
      <c r="C308" s="262" t="s">
        <v>3840</v>
      </c>
      <c r="D308" s="263"/>
      <c r="E308" s="263"/>
      <c r="F308" s="264"/>
      <c r="G308" s="266"/>
    </row>
    <row r="309" spans="1:7" ht="30" customHeight="1" x14ac:dyDescent="0.2">
      <c r="A309" s="317"/>
      <c r="B309" s="263"/>
      <c r="C309" s="262" t="s">
        <v>3841</v>
      </c>
      <c r="D309" s="263"/>
      <c r="E309" s="263"/>
      <c r="F309" s="264"/>
      <c r="G309" s="266"/>
    </row>
    <row r="310" spans="1:7" ht="30" customHeight="1" x14ac:dyDescent="0.2">
      <c r="A310" s="317"/>
      <c r="B310" s="263"/>
      <c r="C310" s="262" t="s">
        <v>9947</v>
      </c>
      <c r="D310" s="263"/>
      <c r="E310" s="263"/>
      <c r="F310" s="264"/>
      <c r="G310" s="266"/>
    </row>
    <row r="311" spans="1:7" ht="30" customHeight="1" x14ac:dyDescent="0.2">
      <c r="A311" s="317"/>
      <c r="B311" s="263"/>
      <c r="C311" s="262" t="s">
        <v>3842</v>
      </c>
      <c r="D311" s="263"/>
      <c r="E311" s="263"/>
      <c r="F311" s="264"/>
      <c r="G311" s="267"/>
    </row>
    <row r="312" spans="1:7" ht="30" customHeight="1" x14ac:dyDescent="0.2">
      <c r="A312" s="317">
        <v>2402</v>
      </c>
      <c r="B312" s="263" t="s">
        <v>6345</v>
      </c>
      <c r="C312" s="262" t="s">
        <v>9948</v>
      </c>
      <c r="D312" s="263" t="s">
        <v>8673</v>
      </c>
      <c r="E312" s="263" t="s">
        <v>3844</v>
      </c>
      <c r="F312" s="264" t="s">
        <v>322</v>
      </c>
      <c r="G312" s="265" t="s">
        <v>8668</v>
      </c>
    </row>
    <row r="313" spans="1:7" ht="30" customHeight="1" x14ac:dyDescent="0.2">
      <c r="A313" s="317"/>
      <c r="B313" s="263"/>
      <c r="C313" s="262" t="s">
        <v>3845</v>
      </c>
      <c r="D313" s="263"/>
      <c r="E313" s="263"/>
      <c r="F313" s="264"/>
      <c r="G313" s="267"/>
    </row>
    <row r="314" spans="1:7" ht="30" customHeight="1" x14ac:dyDescent="0.2">
      <c r="A314" s="317">
        <v>2403</v>
      </c>
      <c r="B314" s="263" t="s">
        <v>6345</v>
      </c>
      <c r="C314" s="262" t="s">
        <v>3847</v>
      </c>
      <c r="D314" s="263" t="s">
        <v>7378</v>
      </c>
      <c r="E314" s="263" t="s">
        <v>3848</v>
      </c>
      <c r="F314" s="264" t="s">
        <v>74</v>
      </c>
      <c r="G314" s="265" t="s">
        <v>7364</v>
      </c>
    </row>
    <row r="315" spans="1:7" ht="30" customHeight="1" x14ac:dyDescent="0.2">
      <c r="A315" s="317"/>
      <c r="B315" s="263"/>
      <c r="C315" s="262" t="s">
        <v>3849</v>
      </c>
      <c r="D315" s="263"/>
      <c r="E315" s="263"/>
      <c r="F315" s="264"/>
      <c r="G315" s="266"/>
    </row>
    <row r="316" spans="1:7" ht="30" customHeight="1" x14ac:dyDescent="0.2">
      <c r="A316" s="317"/>
      <c r="B316" s="263"/>
      <c r="C316" s="262" t="s">
        <v>3850</v>
      </c>
      <c r="D316" s="263"/>
      <c r="E316" s="263"/>
      <c r="F316" s="264"/>
      <c r="G316" s="266"/>
    </row>
    <row r="317" spans="1:7" ht="30" customHeight="1" x14ac:dyDescent="0.2">
      <c r="A317" s="317"/>
      <c r="B317" s="263"/>
      <c r="C317" s="262" t="s">
        <v>3851</v>
      </c>
      <c r="D317" s="263"/>
      <c r="E317" s="263"/>
      <c r="F317" s="264"/>
      <c r="G317" s="267"/>
    </row>
    <row r="318" spans="1:7" ht="30" customHeight="1" x14ac:dyDescent="0.2">
      <c r="A318" s="317">
        <v>2404</v>
      </c>
      <c r="B318" s="263" t="s">
        <v>6345</v>
      </c>
      <c r="C318" s="263" t="s">
        <v>10183</v>
      </c>
      <c r="D318" s="263" t="s">
        <v>7379</v>
      </c>
      <c r="E318" s="263" t="s">
        <v>3853</v>
      </c>
      <c r="F318" s="264" t="s">
        <v>6046</v>
      </c>
      <c r="G318" s="265" t="s">
        <v>7364</v>
      </c>
    </row>
    <row r="319" spans="1:7" ht="30" customHeight="1" x14ac:dyDescent="0.2">
      <c r="A319" s="317"/>
      <c r="B319" s="263"/>
      <c r="C319" s="263"/>
      <c r="D319" s="263"/>
      <c r="E319" s="263"/>
      <c r="F319" s="264"/>
      <c r="G319" s="266"/>
    </row>
    <row r="320" spans="1:7" ht="30" customHeight="1" x14ac:dyDescent="0.2">
      <c r="A320" s="317"/>
      <c r="B320" s="263"/>
      <c r="C320" s="263"/>
      <c r="D320" s="263"/>
      <c r="E320" s="263"/>
      <c r="F320" s="264"/>
      <c r="G320" s="267"/>
    </row>
    <row r="321" spans="1:8" ht="30" customHeight="1" x14ac:dyDescent="0.2">
      <c r="A321" s="317">
        <v>2405</v>
      </c>
      <c r="B321" s="263" t="s">
        <v>6345</v>
      </c>
      <c r="C321" s="263" t="s">
        <v>10184</v>
      </c>
      <c r="D321" s="263" t="s">
        <v>8714</v>
      </c>
      <c r="E321" s="263" t="s">
        <v>3857</v>
      </c>
      <c r="F321" s="264" t="s">
        <v>322</v>
      </c>
      <c r="G321" s="265" t="s">
        <v>8668</v>
      </c>
    </row>
    <row r="322" spans="1:8" ht="30" customHeight="1" x14ac:dyDescent="0.2">
      <c r="A322" s="317"/>
      <c r="B322" s="263"/>
      <c r="C322" s="263"/>
      <c r="D322" s="263"/>
      <c r="E322" s="263"/>
      <c r="F322" s="264"/>
      <c r="G322" s="267"/>
    </row>
    <row r="323" spans="1:8" ht="30" customHeight="1" x14ac:dyDescent="0.2">
      <c r="A323" s="254">
        <v>2406</v>
      </c>
      <c r="B323" s="262" t="s">
        <v>6345</v>
      </c>
      <c r="C323" s="262" t="s">
        <v>3860</v>
      </c>
      <c r="D323" s="262" t="s">
        <v>8546</v>
      </c>
      <c r="E323" s="262" t="s">
        <v>3861</v>
      </c>
      <c r="F323" s="269" t="s">
        <v>84</v>
      </c>
      <c r="G323" s="269" t="s">
        <v>8890</v>
      </c>
      <c r="H323" s="238" t="s">
        <v>8544</v>
      </c>
    </row>
    <row r="324" spans="1:8" ht="30" customHeight="1" x14ac:dyDescent="0.2">
      <c r="A324" s="254">
        <v>2407</v>
      </c>
      <c r="B324" s="262" t="s">
        <v>6345</v>
      </c>
      <c r="C324" s="262" t="s">
        <v>3863</v>
      </c>
      <c r="D324" s="262" t="s">
        <v>8715</v>
      </c>
      <c r="E324" s="262" t="s">
        <v>3864</v>
      </c>
      <c r="F324" s="269" t="s">
        <v>84</v>
      </c>
      <c r="G324" s="269" t="s">
        <v>8668</v>
      </c>
    </row>
    <row r="325" spans="1:8" ht="30" customHeight="1" x14ac:dyDescent="0.2">
      <c r="A325" s="254">
        <v>2408</v>
      </c>
      <c r="B325" s="262" t="s">
        <v>6345</v>
      </c>
      <c r="C325" s="262" t="s">
        <v>3866</v>
      </c>
      <c r="D325" s="253" t="s">
        <v>8246</v>
      </c>
      <c r="E325" s="262" t="s">
        <v>3867</v>
      </c>
      <c r="F325" s="269" t="s">
        <v>565</v>
      </c>
      <c r="G325" s="269" t="s">
        <v>8234</v>
      </c>
    </row>
    <row r="326" spans="1:8" ht="30" customHeight="1" x14ac:dyDescent="0.2">
      <c r="A326" s="254">
        <v>2409</v>
      </c>
      <c r="B326" s="262" t="s">
        <v>6345</v>
      </c>
      <c r="C326" s="262" t="s">
        <v>3869</v>
      </c>
      <c r="D326" s="253" t="s">
        <v>8245</v>
      </c>
      <c r="E326" s="262" t="s">
        <v>3870</v>
      </c>
      <c r="F326" s="269" t="s">
        <v>565</v>
      </c>
      <c r="G326" s="269" t="s">
        <v>8234</v>
      </c>
    </row>
    <row r="327" spans="1:8" ht="30" customHeight="1" x14ac:dyDescent="0.2">
      <c r="A327" s="317">
        <v>2410</v>
      </c>
      <c r="B327" s="263" t="s">
        <v>6345</v>
      </c>
      <c r="C327" s="262" t="s">
        <v>3872</v>
      </c>
      <c r="D327" s="352" t="s">
        <v>7454</v>
      </c>
      <c r="E327" s="263" t="s">
        <v>3873</v>
      </c>
      <c r="F327" s="264" t="s">
        <v>565</v>
      </c>
      <c r="G327" s="265" t="s">
        <v>7405</v>
      </c>
    </row>
    <row r="328" spans="1:8" ht="30" customHeight="1" x14ac:dyDescent="0.2">
      <c r="A328" s="317"/>
      <c r="B328" s="263"/>
      <c r="C328" s="262" t="s">
        <v>3874</v>
      </c>
      <c r="D328" s="352"/>
      <c r="E328" s="263"/>
      <c r="F328" s="264"/>
      <c r="G328" s="266"/>
    </row>
    <row r="329" spans="1:8" ht="30" customHeight="1" x14ac:dyDescent="0.2">
      <c r="A329" s="317"/>
      <c r="B329" s="263"/>
      <c r="C329" s="262" t="s">
        <v>3875</v>
      </c>
      <c r="D329" s="352"/>
      <c r="E329" s="263"/>
      <c r="F329" s="264"/>
      <c r="G329" s="266"/>
    </row>
    <row r="330" spans="1:8" ht="30" customHeight="1" x14ac:dyDescent="0.2">
      <c r="A330" s="317"/>
      <c r="B330" s="263"/>
      <c r="C330" s="262" t="s">
        <v>3876</v>
      </c>
      <c r="D330" s="352"/>
      <c r="E330" s="263"/>
      <c r="F330" s="264"/>
      <c r="G330" s="266"/>
    </row>
    <row r="331" spans="1:8" ht="30" customHeight="1" x14ac:dyDescent="0.2">
      <c r="A331" s="317"/>
      <c r="B331" s="263"/>
      <c r="C331" s="262" t="s">
        <v>3877</v>
      </c>
      <c r="D331" s="352"/>
      <c r="E331" s="263"/>
      <c r="F331" s="264"/>
      <c r="G331" s="267"/>
    </row>
    <row r="332" spans="1:8" ht="30" customHeight="1" x14ac:dyDescent="0.2">
      <c r="A332" s="317">
        <v>2411</v>
      </c>
      <c r="B332" s="263" t="s">
        <v>6345</v>
      </c>
      <c r="C332" s="262" t="s">
        <v>3879</v>
      </c>
      <c r="D332" s="352" t="s">
        <v>7455</v>
      </c>
      <c r="E332" s="263" t="s">
        <v>3867</v>
      </c>
      <c r="F332" s="264" t="s">
        <v>565</v>
      </c>
      <c r="G332" s="265" t="s">
        <v>7405</v>
      </c>
    </row>
    <row r="333" spans="1:8" ht="30" customHeight="1" x14ac:dyDescent="0.2">
      <c r="A333" s="317"/>
      <c r="B333" s="263"/>
      <c r="C333" s="262" t="s">
        <v>3880</v>
      </c>
      <c r="D333" s="352"/>
      <c r="E333" s="263"/>
      <c r="F333" s="264"/>
      <c r="G333" s="266"/>
    </row>
    <row r="334" spans="1:8" ht="30" customHeight="1" x14ac:dyDescent="0.2">
      <c r="A334" s="317"/>
      <c r="B334" s="263"/>
      <c r="C334" s="262" t="s">
        <v>3881</v>
      </c>
      <c r="D334" s="352"/>
      <c r="E334" s="263"/>
      <c r="F334" s="264"/>
      <c r="G334" s="266"/>
    </row>
    <row r="335" spans="1:8" ht="30" customHeight="1" x14ac:dyDescent="0.2">
      <c r="A335" s="317"/>
      <c r="B335" s="263"/>
      <c r="C335" s="262" t="s">
        <v>3882</v>
      </c>
      <c r="D335" s="352"/>
      <c r="E335" s="263"/>
      <c r="F335" s="264"/>
      <c r="G335" s="266"/>
    </row>
    <row r="336" spans="1:8" ht="30" customHeight="1" x14ac:dyDescent="0.2">
      <c r="A336" s="317"/>
      <c r="B336" s="263"/>
      <c r="C336" s="262" t="s">
        <v>3883</v>
      </c>
      <c r="D336" s="352"/>
      <c r="E336" s="263"/>
      <c r="F336" s="264"/>
      <c r="G336" s="267"/>
    </row>
    <row r="337" spans="1:7" ht="30" customHeight="1" x14ac:dyDescent="0.2">
      <c r="A337" s="254">
        <v>2412</v>
      </c>
      <c r="B337" s="262" t="s">
        <v>6345</v>
      </c>
      <c r="C337" s="262" t="s">
        <v>3885</v>
      </c>
      <c r="D337" s="253" t="s">
        <v>7456</v>
      </c>
      <c r="E337" s="262" t="s">
        <v>3886</v>
      </c>
      <c r="F337" s="269" t="s">
        <v>565</v>
      </c>
      <c r="G337" s="269" t="s">
        <v>7405</v>
      </c>
    </row>
    <row r="338" spans="1:7" ht="30" customHeight="1" x14ac:dyDescent="0.2">
      <c r="A338" s="254">
        <v>2413</v>
      </c>
      <c r="B338" s="262" t="s">
        <v>6345</v>
      </c>
      <c r="C338" s="262" t="s">
        <v>3888</v>
      </c>
      <c r="D338" s="253" t="s">
        <v>7457</v>
      </c>
      <c r="E338" s="262" t="s">
        <v>2198</v>
      </c>
      <c r="F338" s="269" t="s">
        <v>565</v>
      </c>
      <c r="G338" s="269" t="s">
        <v>7405</v>
      </c>
    </row>
    <row r="339" spans="1:7" ht="30" customHeight="1" x14ac:dyDescent="0.2">
      <c r="A339" s="254">
        <v>2415</v>
      </c>
      <c r="B339" s="262" t="s">
        <v>6345</v>
      </c>
      <c r="C339" s="262" t="s">
        <v>3890</v>
      </c>
      <c r="D339" s="253" t="s">
        <v>7458</v>
      </c>
      <c r="E339" s="262" t="s">
        <v>2198</v>
      </c>
      <c r="F339" s="269" t="s">
        <v>565</v>
      </c>
      <c r="G339" s="269" t="s">
        <v>7405</v>
      </c>
    </row>
    <row r="340" spans="1:7" ht="30" customHeight="1" x14ac:dyDescent="0.2">
      <c r="A340" s="254">
        <v>2416</v>
      </c>
      <c r="B340" s="262" t="s">
        <v>6345</v>
      </c>
      <c r="C340" s="262" t="s">
        <v>3892</v>
      </c>
      <c r="D340" s="253" t="s">
        <v>8122</v>
      </c>
      <c r="E340" s="262" t="s">
        <v>3893</v>
      </c>
      <c r="F340" s="269" t="s">
        <v>565</v>
      </c>
      <c r="G340" s="269" t="s">
        <v>8076</v>
      </c>
    </row>
    <row r="341" spans="1:7" ht="30" customHeight="1" x14ac:dyDescent="0.2">
      <c r="A341" s="254">
        <v>2417</v>
      </c>
      <c r="B341" s="262" t="s">
        <v>6345</v>
      </c>
      <c r="C341" s="262" t="s">
        <v>3895</v>
      </c>
      <c r="D341" s="253" t="s">
        <v>7459</v>
      </c>
      <c r="E341" s="262" t="s">
        <v>3893</v>
      </c>
      <c r="F341" s="269" t="s">
        <v>565</v>
      </c>
      <c r="G341" s="269" t="s">
        <v>7405</v>
      </c>
    </row>
    <row r="342" spans="1:7" ht="30" customHeight="1" x14ac:dyDescent="0.2">
      <c r="A342" s="254">
        <v>2418</v>
      </c>
      <c r="B342" s="262" t="s">
        <v>6345</v>
      </c>
      <c r="C342" s="262" t="s">
        <v>3897</v>
      </c>
      <c r="D342" s="253" t="s">
        <v>7460</v>
      </c>
      <c r="E342" s="262" t="s">
        <v>3893</v>
      </c>
      <c r="F342" s="269" t="s">
        <v>565</v>
      </c>
      <c r="G342" s="269" t="s">
        <v>7405</v>
      </c>
    </row>
    <row r="343" spans="1:7" ht="30" customHeight="1" x14ac:dyDescent="0.2">
      <c r="A343" s="254">
        <v>2419</v>
      </c>
      <c r="B343" s="262" t="s">
        <v>6345</v>
      </c>
      <c r="C343" s="262" t="s">
        <v>3899</v>
      </c>
      <c r="D343" s="253" t="s">
        <v>7461</v>
      </c>
      <c r="E343" s="262" t="s">
        <v>3893</v>
      </c>
      <c r="F343" s="269" t="s">
        <v>565</v>
      </c>
      <c r="G343" s="269" t="s">
        <v>7405</v>
      </c>
    </row>
    <row r="344" spans="1:7" ht="30" customHeight="1" x14ac:dyDescent="0.2">
      <c r="A344" s="254">
        <v>2420</v>
      </c>
      <c r="B344" s="262" t="s">
        <v>6345</v>
      </c>
      <c r="C344" s="262" t="s">
        <v>3901</v>
      </c>
      <c r="D344" s="253" t="s">
        <v>7462</v>
      </c>
      <c r="E344" s="262" t="s">
        <v>346</v>
      </c>
      <c r="F344" s="269" t="s">
        <v>565</v>
      </c>
      <c r="G344" s="269" t="s">
        <v>7405</v>
      </c>
    </row>
    <row r="345" spans="1:7" ht="30" customHeight="1" x14ac:dyDescent="0.2">
      <c r="A345" s="317">
        <v>2421</v>
      </c>
      <c r="B345" s="263" t="s">
        <v>6345</v>
      </c>
      <c r="C345" s="262" t="s">
        <v>3903</v>
      </c>
      <c r="D345" s="352" t="s">
        <v>8123</v>
      </c>
      <c r="E345" s="263" t="s">
        <v>3904</v>
      </c>
      <c r="F345" s="264" t="s">
        <v>565</v>
      </c>
      <c r="G345" s="265" t="s">
        <v>8076</v>
      </c>
    </row>
    <row r="346" spans="1:7" ht="30" customHeight="1" x14ac:dyDescent="0.2">
      <c r="A346" s="317"/>
      <c r="B346" s="263"/>
      <c r="C346" s="262" t="s">
        <v>3905</v>
      </c>
      <c r="D346" s="352"/>
      <c r="E346" s="263"/>
      <c r="F346" s="264"/>
      <c r="G346" s="267"/>
    </row>
    <row r="347" spans="1:7" ht="30" customHeight="1" x14ac:dyDescent="0.2">
      <c r="A347" s="317">
        <v>2422</v>
      </c>
      <c r="B347" s="263" t="s">
        <v>6345</v>
      </c>
      <c r="C347" s="262" t="s">
        <v>3907</v>
      </c>
      <c r="D347" s="352" t="s">
        <v>7463</v>
      </c>
      <c r="E347" s="263" t="s">
        <v>2198</v>
      </c>
      <c r="F347" s="264" t="s">
        <v>40</v>
      </c>
      <c r="G347" s="265" t="s">
        <v>7405</v>
      </c>
    </row>
    <row r="348" spans="1:7" ht="30" customHeight="1" x14ac:dyDescent="0.2">
      <c r="A348" s="317"/>
      <c r="B348" s="263"/>
      <c r="C348" s="262" t="s">
        <v>3908</v>
      </c>
      <c r="D348" s="352"/>
      <c r="E348" s="263"/>
      <c r="F348" s="264"/>
      <c r="G348" s="267"/>
    </row>
    <row r="349" spans="1:7" ht="30" customHeight="1" x14ac:dyDescent="0.2">
      <c r="A349" s="254">
        <v>2423</v>
      </c>
      <c r="B349" s="262" t="s">
        <v>6345</v>
      </c>
      <c r="C349" s="262" t="s">
        <v>6349</v>
      </c>
      <c r="D349" s="262" t="s">
        <v>7464</v>
      </c>
      <c r="E349" s="262" t="s">
        <v>6350</v>
      </c>
      <c r="F349" s="269" t="s">
        <v>40</v>
      </c>
      <c r="G349" s="269" t="s">
        <v>7405</v>
      </c>
    </row>
    <row r="350" spans="1:7" ht="30" customHeight="1" x14ac:dyDescent="0.2">
      <c r="A350" s="254">
        <v>2424</v>
      </c>
      <c r="B350" s="262" t="s">
        <v>6345</v>
      </c>
      <c r="C350" s="262" t="s">
        <v>6351</v>
      </c>
      <c r="D350" s="262" t="s">
        <v>7465</v>
      </c>
      <c r="E350" s="262" t="s">
        <v>3873</v>
      </c>
      <c r="F350" s="269" t="s">
        <v>40</v>
      </c>
      <c r="G350" s="269" t="s">
        <v>7405</v>
      </c>
    </row>
    <row r="351" spans="1:7" ht="30" customHeight="1" x14ac:dyDescent="0.2">
      <c r="A351" s="254">
        <v>2425</v>
      </c>
      <c r="B351" s="262" t="s">
        <v>6345</v>
      </c>
      <c r="C351" s="262" t="s">
        <v>6352</v>
      </c>
      <c r="D351" s="262" t="s">
        <v>7466</v>
      </c>
      <c r="E351" s="262" t="s">
        <v>6353</v>
      </c>
      <c r="F351" s="269" t="s">
        <v>40</v>
      </c>
      <c r="G351" s="269" t="s">
        <v>7405</v>
      </c>
    </row>
    <row r="352" spans="1:7" ht="30" customHeight="1" x14ac:dyDescent="0.2">
      <c r="A352" s="254">
        <v>2426</v>
      </c>
      <c r="B352" s="262" t="s">
        <v>6345</v>
      </c>
      <c r="C352" s="262" t="s">
        <v>6354</v>
      </c>
      <c r="D352" s="262" t="s">
        <v>7467</v>
      </c>
      <c r="E352" s="262" t="s">
        <v>6355</v>
      </c>
      <c r="F352" s="269" t="s">
        <v>40</v>
      </c>
      <c r="G352" s="269" t="s">
        <v>7405</v>
      </c>
    </row>
    <row r="353" spans="1:7" ht="30" customHeight="1" x14ac:dyDescent="0.2">
      <c r="A353" s="254">
        <v>2427</v>
      </c>
      <c r="B353" s="262" t="s">
        <v>6345</v>
      </c>
      <c r="C353" s="262" t="s">
        <v>6356</v>
      </c>
      <c r="D353" s="262" t="s">
        <v>7468</v>
      </c>
      <c r="E353" s="262" t="s">
        <v>6357</v>
      </c>
      <c r="F353" s="269" t="s">
        <v>40</v>
      </c>
      <c r="G353" s="269" t="s">
        <v>7405</v>
      </c>
    </row>
    <row r="354" spans="1:7" ht="30" customHeight="1" x14ac:dyDescent="0.2">
      <c r="A354" s="254">
        <v>2428</v>
      </c>
      <c r="B354" s="262" t="s">
        <v>6345</v>
      </c>
      <c r="C354" s="262" t="s">
        <v>10185</v>
      </c>
      <c r="D354" s="262" t="s">
        <v>8461</v>
      </c>
      <c r="E354" s="262" t="s">
        <v>3910</v>
      </c>
      <c r="F354" s="269" t="s">
        <v>322</v>
      </c>
      <c r="G354" s="269" t="s">
        <v>8412</v>
      </c>
    </row>
    <row r="355" spans="1:7" ht="30" customHeight="1" x14ac:dyDescent="0.2">
      <c r="A355" s="254">
        <v>2429</v>
      </c>
      <c r="B355" s="262" t="s">
        <v>6345</v>
      </c>
      <c r="C355" s="262" t="s">
        <v>9952</v>
      </c>
      <c r="D355" s="262" t="s">
        <v>8962</v>
      </c>
      <c r="E355" s="262" t="s">
        <v>3913</v>
      </c>
      <c r="F355" s="269" t="s">
        <v>6046</v>
      </c>
      <c r="G355" s="269" t="s">
        <v>8963</v>
      </c>
    </row>
    <row r="356" spans="1:7" ht="30" customHeight="1" x14ac:dyDescent="0.2">
      <c r="A356" s="317">
        <v>2430</v>
      </c>
      <c r="B356" s="263" t="s">
        <v>6345</v>
      </c>
      <c r="C356" s="263" t="s">
        <v>6358</v>
      </c>
      <c r="D356" s="263" t="s">
        <v>8462</v>
      </c>
      <c r="E356" s="263" t="s">
        <v>3916</v>
      </c>
      <c r="F356" s="264" t="s">
        <v>322</v>
      </c>
      <c r="G356" s="265" t="s">
        <v>8412</v>
      </c>
    </row>
    <row r="357" spans="1:7" ht="30" customHeight="1" x14ac:dyDescent="0.2">
      <c r="A357" s="317"/>
      <c r="B357" s="263"/>
      <c r="C357" s="263"/>
      <c r="D357" s="263"/>
      <c r="E357" s="263"/>
      <c r="F357" s="264"/>
      <c r="G357" s="267"/>
    </row>
    <row r="358" spans="1:7" ht="30" customHeight="1" x14ac:dyDescent="0.2">
      <c r="A358" s="254">
        <v>2431</v>
      </c>
      <c r="B358" s="262" t="s">
        <v>6345</v>
      </c>
      <c r="C358" s="262" t="s">
        <v>3919</v>
      </c>
      <c r="D358" s="262" t="s">
        <v>8463</v>
      </c>
      <c r="E358" s="262" t="s">
        <v>3920</v>
      </c>
      <c r="F358" s="269" t="s">
        <v>322</v>
      </c>
      <c r="G358" s="269" t="s">
        <v>8412</v>
      </c>
    </row>
    <row r="359" spans="1:7" ht="30" customHeight="1" x14ac:dyDescent="0.2">
      <c r="A359" s="254">
        <v>2432</v>
      </c>
      <c r="B359" s="262" t="s">
        <v>6345</v>
      </c>
      <c r="C359" s="262" t="s">
        <v>9953</v>
      </c>
      <c r="D359" s="262" t="s">
        <v>8464</v>
      </c>
      <c r="E359" s="262" t="s">
        <v>3922</v>
      </c>
      <c r="F359" s="269" t="s">
        <v>322</v>
      </c>
      <c r="G359" s="269" t="s">
        <v>8412</v>
      </c>
    </row>
    <row r="360" spans="1:7" ht="30" customHeight="1" x14ac:dyDescent="0.2">
      <c r="A360" s="254">
        <v>2433</v>
      </c>
      <c r="B360" s="262" t="s">
        <v>6345</v>
      </c>
      <c r="C360" s="262" t="s">
        <v>9954</v>
      </c>
      <c r="D360" s="262" t="s">
        <v>7187</v>
      </c>
      <c r="E360" s="262" t="s">
        <v>3924</v>
      </c>
      <c r="F360" s="269" t="s">
        <v>322</v>
      </c>
      <c r="G360" s="269" t="s">
        <v>8138</v>
      </c>
    </row>
    <row r="361" spans="1:7" ht="30" customHeight="1" x14ac:dyDescent="0.2">
      <c r="A361" s="317">
        <v>2434</v>
      </c>
      <c r="B361" s="263" t="s">
        <v>6345</v>
      </c>
      <c r="C361" s="263" t="s">
        <v>10186</v>
      </c>
      <c r="D361" s="263" t="s">
        <v>7188</v>
      </c>
      <c r="E361" s="263" t="s">
        <v>3924</v>
      </c>
      <c r="F361" s="264" t="s">
        <v>322</v>
      </c>
      <c r="G361" s="265" t="s">
        <v>8138</v>
      </c>
    </row>
    <row r="362" spans="1:7" ht="30" customHeight="1" x14ac:dyDescent="0.2">
      <c r="A362" s="317"/>
      <c r="B362" s="263"/>
      <c r="C362" s="263"/>
      <c r="D362" s="263"/>
      <c r="E362" s="263"/>
      <c r="F362" s="264"/>
      <c r="G362" s="267"/>
    </row>
    <row r="363" spans="1:7" ht="30" customHeight="1" x14ac:dyDescent="0.2">
      <c r="A363" s="317">
        <v>2435</v>
      </c>
      <c r="B363" s="263" t="s">
        <v>6345</v>
      </c>
      <c r="C363" s="263" t="s">
        <v>6359</v>
      </c>
      <c r="D363" s="263" t="s">
        <v>7469</v>
      </c>
      <c r="E363" s="263" t="s">
        <v>3924</v>
      </c>
      <c r="F363" s="264" t="s">
        <v>565</v>
      </c>
      <c r="G363" s="265" t="s">
        <v>7405</v>
      </c>
    </row>
    <row r="364" spans="1:7" ht="30" customHeight="1" x14ac:dyDescent="0.2">
      <c r="A364" s="317"/>
      <c r="B364" s="263"/>
      <c r="C364" s="263"/>
      <c r="D364" s="263"/>
      <c r="E364" s="263"/>
      <c r="F364" s="264"/>
      <c r="G364" s="267"/>
    </row>
    <row r="365" spans="1:7" ht="30" customHeight="1" x14ac:dyDescent="0.2">
      <c r="A365" s="317">
        <v>2436</v>
      </c>
      <c r="B365" s="263" t="s">
        <v>6345</v>
      </c>
      <c r="C365" s="263" t="s">
        <v>10187</v>
      </c>
      <c r="D365" s="263" t="s">
        <v>8465</v>
      </c>
      <c r="E365" s="263" t="s">
        <v>3931</v>
      </c>
      <c r="F365" s="264" t="s">
        <v>322</v>
      </c>
      <c r="G365" s="265" t="s">
        <v>8412</v>
      </c>
    </row>
    <row r="366" spans="1:7" ht="30" customHeight="1" x14ac:dyDescent="0.2">
      <c r="A366" s="317"/>
      <c r="B366" s="263"/>
      <c r="C366" s="263"/>
      <c r="D366" s="263"/>
      <c r="E366" s="263"/>
      <c r="F366" s="264"/>
      <c r="G366" s="266"/>
    </row>
    <row r="367" spans="1:7" ht="30" customHeight="1" x14ac:dyDescent="0.2">
      <c r="A367" s="317"/>
      <c r="B367" s="263"/>
      <c r="C367" s="263"/>
      <c r="D367" s="263"/>
      <c r="E367" s="263"/>
      <c r="F367" s="264"/>
      <c r="G367" s="267"/>
    </row>
    <row r="368" spans="1:7" ht="62.25" customHeight="1" x14ac:dyDescent="0.2">
      <c r="A368" s="254">
        <v>2437</v>
      </c>
      <c r="B368" s="262" t="s">
        <v>6345</v>
      </c>
      <c r="C368" s="262" t="s">
        <v>10188</v>
      </c>
      <c r="D368" s="262" t="s">
        <v>8964</v>
      </c>
      <c r="E368" s="262" t="s">
        <v>3935</v>
      </c>
      <c r="F368" s="269" t="s">
        <v>322</v>
      </c>
      <c r="G368" s="269" t="s">
        <v>8947</v>
      </c>
    </row>
    <row r="369" spans="1:7" ht="30" customHeight="1" x14ac:dyDescent="0.2">
      <c r="A369" s="317">
        <v>2438</v>
      </c>
      <c r="B369" s="263" t="s">
        <v>6345</v>
      </c>
      <c r="C369" s="263" t="s">
        <v>10189</v>
      </c>
      <c r="D369" s="263" t="s">
        <v>8965</v>
      </c>
      <c r="E369" s="263" t="s">
        <v>3939</v>
      </c>
      <c r="F369" s="264" t="s">
        <v>322</v>
      </c>
      <c r="G369" s="265" t="s">
        <v>8947</v>
      </c>
    </row>
    <row r="370" spans="1:7" ht="30" customHeight="1" x14ac:dyDescent="0.2">
      <c r="A370" s="317"/>
      <c r="B370" s="263"/>
      <c r="C370" s="263"/>
      <c r="D370" s="263"/>
      <c r="E370" s="263"/>
      <c r="F370" s="264"/>
      <c r="G370" s="266"/>
    </row>
    <row r="371" spans="1:7" ht="30" customHeight="1" x14ac:dyDescent="0.2">
      <c r="A371" s="317"/>
      <c r="B371" s="263"/>
      <c r="C371" s="263"/>
      <c r="D371" s="263"/>
      <c r="E371" s="263"/>
      <c r="F371" s="264"/>
      <c r="G371" s="266"/>
    </row>
    <row r="372" spans="1:7" ht="30" customHeight="1" x14ac:dyDescent="0.2">
      <c r="A372" s="317"/>
      <c r="B372" s="263"/>
      <c r="C372" s="263"/>
      <c r="D372" s="263"/>
      <c r="E372" s="263"/>
      <c r="F372" s="264"/>
      <c r="G372" s="267"/>
    </row>
    <row r="373" spans="1:7" ht="30" customHeight="1" x14ac:dyDescent="0.2">
      <c r="A373" s="254">
        <v>2439</v>
      </c>
      <c r="B373" s="262" t="s">
        <v>6345</v>
      </c>
      <c r="C373" s="262" t="s">
        <v>3943</v>
      </c>
      <c r="D373" s="262" t="s">
        <v>8466</v>
      </c>
      <c r="E373" s="262" t="s">
        <v>3944</v>
      </c>
      <c r="F373" s="269" t="s">
        <v>3171</v>
      </c>
      <c r="G373" s="269" t="s">
        <v>8412</v>
      </c>
    </row>
    <row r="374" spans="1:7" ht="30" customHeight="1" x14ac:dyDescent="0.2">
      <c r="A374" s="317">
        <v>2440</v>
      </c>
      <c r="B374" s="263" t="s">
        <v>6345</v>
      </c>
      <c r="C374" s="263" t="s">
        <v>6360</v>
      </c>
      <c r="D374" s="263" t="s">
        <v>8467</v>
      </c>
      <c r="E374" s="263" t="s">
        <v>3947</v>
      </c>
      <c r="F374" s="264" t="s">
        <v>322</v>
      </c>
      <c r="G374" s="265" t="s">
        <v>8412</v>
      </c>
    </row>
    <row r="375" spans="1:7" ht="30" customHeight="1" x14ac:dyDescent="0.2">
      <c r="A375" s="317"/>
      <c r="B375" s="263"/>
      <c r="C375" s="263"/>
      <c r="D375" s="263"/>
      <c r="E375" s="263"/>
      <c r="F375" s="264"/>
      <c r="G375" s="266"/>
    </row>
    <row r="376" spans="1:7" ht="30" customHeight="1" x14ac:dyDescent="0.2">
      <c r="A376" s="317"/>
      <c r="B376" s="263"/>
      <c r="C376" s="263"/>
      <c r="D376" s="263"/>
      <c r="E376" s="263"/>
      <c r="F376" s="264"/>
      <c r="G376" s="266"/>
    </row>
    <row r="377" spans="1:7" ht="30" customHeight="1" x14ac:dyDescent="0.2">
      <c r="A377" s="317"/>
      <c r="B377" s="263"/>
      <c r="C377" s="263"/>
      <c r="D377" s="263"/>
      <c r="E377" s="263"/>
      <c r="F377" s="264"/>
      <c r="G377" s="266"/>
    </row>
    <row r="378" spans="1:7" ht="30" customHeight="1" x14ac:dyDescent="0.2">
      <c r="A378" s="317"/>
      <c r="B378" s="263"/>
      <c r="C378" s="263"/>
      <c r="D378" s="263"/>
      <c r="E378" s="263"/>
      <c r="F378" s="264"/>
      <c r="G378" s="266"/>
    </row>
    <row r="379" spans="1:7" ht="30" customHeight="1" x14ac:dyDescent="0.2">
      <c r="A379" s="317"/>
      <c r="B379" s="263"/>
      <c r="C379" s="263"/>
      <c r="D379" s="263"/>
      <c r="E379" s="263"/>
      <c r="F379" s="264"/>
      <c r="G379" s="266"/>
    </row>
    <row r="380" spans="1:7" ht="30" customHeight="1" x14ac:dyDescent="0.2">
      <c r="A380" s="317"/>
      <c r="B380" s="263"/>
      <c r="C380" s="263"/>
      <c r="D380" s="263"/>
      <c r="E380" s="263"/>
      <c r="F380" s="264"/>
      <c r="G380" s="267"/>
    </row>
    <row r="381" spans="1:7" ht="30" customHeight="1" x14ac:dyDescent="0.2">
      <c r="A381" s="254">
        <v>2441</v>
      </c>
      <c r="B381" s="262" t="s">
        <v>6345</v>
      </c>
      <c r="C381" s="262" t="s">
        <v>3950</v>
      </c>
      <c r="D381" s="262" t="s">
        <v>8468</v>
      </c>
      <c r="E381" s="262" t="s">
        <v>3951</v>
      </c>
      <c r="F381" s="269" t="s">
        <v>322</v>
      </c>
      <c r="G381" s="269" t="s">
        <v>8412</v>
      </c>
    </row>
    <row r="382" spans="1:7" ht="30" customHeight="1" x14ac:dyDescent="0.2">
      <c r="A382" s="317">
        <v>2442</v>
      </c>
      <c r="B382" s="263" t="s">
        <v>6345</v>
      </c>
      <c r="C382" s="263" t="s">
        <v>6361</v>
      </c>
      <c r="D382" s="263" t="s">
        <v>7469</v>
      </c>
      <c r="E382" s="263" t="s">
        <v>3954</v>
      </c>
      <c r="F382" s="264" t="s">
        <v>565</v>
      </c>
      <c r="G382" s="265" t="s">
        <v>7405</v>
      </c>
    </row>
    <row r="383" spans="1:7" ht="30" customHeight="1" x14ac:dyDescent="0.2">
      <c r="A383" s="317"/>
      <c r="B383" s="263"/>
      <c r="C383" s="263"/>
      <c r="D383" s="263"/>
      <c r="E383" s="263"/>
      <c r="F383" s="264"/>
      <c r="G383" s="267"/>
    </row>
    <row r="384" spans="1:7" ht="30" customHeight="1" x14ac:dyDescent="0.2">
      <c r="A384" s="254">
        <v>2443</v>
      </c>
      <c r="B384" s="262" t="s">
        <v>6345</v>
      </c>
      <c r="C384" s="262" t="s">
        <v>3957</v>
      </c>
      <c r="D384" s="262" t="s">
        <v>8469</v>
      </c>
      <c r="E384" s="262" t="s">
        <v>3958</v>
      </c>
      <c r="F384" s="269" t="s">
        <v>322</v>
      </c>
      <c r="G384" s="269" t="s">
        <v>8412</v>
      </c>
    </row>
    <row r="385" spans="1:7" ht="30" customHeight="1" x14ac:dyDescent="0.2">
      <c r="A385" s="254">
        <v>2444</v>
      </c>
      <c r="B385" s="262" t="s">
        <v>6345</v>
      </c>
      <c r="C385" s="262" t="s">
        <v>3960</v>
      </c>
      <c r="D385" s="262" t="s">
        <v>8470</v>
      </c>
      <c r="E385" s="262" t="s">
        <v>3961</v>
      </c>
      <c r="F385" s="269" t="s">
        <v>322</v>
      </c>
      <c r="G385" s="269" t="s">
        <v>8412</v>
      </c>
    </row>
    <row r="386" spans="1:7" ht="30" customHeight="1" x14ac:dyDescent="0.2">
      <c r="A386" s="254">
        <v>2445</v>
      </c>
      <c r="B386" s="262" t="s">
        <v>6345</v>
      </c>
      <c r="C386" s="262" t="s">
        <v>3963</v>
      </c>
      <c r="D386" s="262" t="s">
        <v>8471</v>
      </c>
      <c r="E386" s="262" t="s">
        <v>3964</v>
      </c>
      <c r="F386" s="269" t="s">
        <v>322</v>
      </c>
      <c r="G386" s="269" t="s">
        <v>8412</v>
      </c>
    </row>
    <row r="387" spans="1:7" ht="30" customHeight="1" x14ac:dyDescent="0.2">
      <c r="A387" s="254">
        <v>2446</v>
      </c>
      <c r="B387" s="262" t="s">
        <v>6345</v>
      </c>
      <c r="C387" s="262" t="s">
        <v>9959</v>
      </c>
      <c r="D387" s="262" t="s">
        <v>8987</v>
      </c>
      <c r="E387" s="262" t="s">
        <v>3966</v>
      </c>
      <c r="F387" s="269" t="s">
        <v>84</v>
      </c>
      <c r="G387" s="269" t="s">
        <v>8890</v>
      </c>
    </row>
    <row r="388" spans="1:7" ht="30" customHeight="1" x14ac:dyDescent="0.2">
      <c r="A388" s="254">
        <v>2447</v>
      </c>
      <c r="B388" s="262" t="s">
        <v>6345</v>
      </c>
      <c r="C388" s="262" t="s">
        <v>3968</v>
      </c>
      <c r="D388" s="262" t="s">
        <v>8661</v>
      </c>
      <c r="E388" s="262" t="s">
        <v>3969</v>
      </c>
      <c r="F388" s="269" t="s">
        <v>84</v>
      </c>
      <c r="G388" s="269" t="s">
        <v>8577</v>
      </c>
    </row>
    <row r="389" spans="1:7" ht="30" customHeight="1" x14ac:dyDescent="0.2">
      <c r="A389" s="254">
        <v>2448</v>
      </c>
      <c r="B389" s="262" t="s">
        <v>6345</v>
      </c>
      <c r="C389" s="262" t="s">
        <v>3971</v>
      </c>
      <c r="D389" s="262" t="s">
        <v>7057</v>
      </c>
      <c r="E389" s="262" t="s">
        <v>3972</v>
      </c>
      <c r="F389" s="269" t="s">
        <v>84</v>
      </c>
      <c r="G389" s="269" t="s">
        <v>8890</v>
      </c>
    </row>
    <row r="390" spans="1:7" ht="30" customHeight="1" x14ac:dyDescent="0.2">
      <c r="A390" s="254">
        <v>2449</v>
      </c>
      <c r="B390" s="262" t="s">
        <v>6345</v>
      </c>
      <c r="C390" s="262" t="s">
        <v>3974</v>
      </c>
      <c r="D390" s="262" t="s">
        <v>8988</v>
      </c>
      <c r="E390" s="262" t="s">
        <v>3975</v>
      </c>
      <c r="F390" s="269" t="s">
        <v>84</v>
      </c>
      <c r="G390" s="269" t="s">
        <v>8890</v>
      </c>
    </row>
    <row r="391" spans="1:7" ht="30" customHeight="1" x14ac:dyDescent="0.2">
      <c r="A391" s="254">
        <v>2450</v>
      </c>
      <c r="B391" s="262" t="s">
        <v>6345</v>
      </c>
      <c r="C391" s="262" t="s">
        <v>9960</v>
      </c>
      <c r="D391" s="353" t="s">
        <v>9559</v>
      </c>
      <c r="E391" s="262" t="s">
        <v>3977</v>
      </c>
      <c r="F391" s="269" t="s">
        <v>84</v>
      </c>
      <c r="G391" s="269" t="s">
        <v>8890</v>
      </c>
    </row>
    <row r="392" spans="1:7" ht="30" customHeight="1" x14ac:dyDescent="0.2">
      <c r="A392" s="254">
        <v>2451</v>
      </c>
      <c r="B392" s="262" t="s">
        <v>6345</v>
      </c>
      <c r="C392" s="262" t="s">
        <v>3979</v>
      </c>
      <c r="D392" s="353" t="s">
        <v>7059</v>
      </c>
      <c r="E392" s="262" t="s">
        <v>3980</v>
      </c>
      <c r="F392" s="269" t="s">
        <v>84</v>
      </c>
      <c r="G392" s="269" t="s">
        <v>8890</v>
      </c>
    </row>
    <row r="393" spans="1:7" ht="30" customHeight="1" x14ac:dyDescent="0.2">
      <c r="A393" s="254">
        <v>2452</v>
      </c>
      <c r="B393" s="262" t="s">
        <v>6345</v>
      </c>
      <c r="C393" s="262" t="s">
        <v>3983</v>
      </c>
      <c r="D393" s="353" t="s">
        <v>7060</v>
      </c>
      <c r="E393" s="262" t="s">
        <v>3984</v>
      </c>
      <c r="F393" s="269" t="s">
        <v>84</v>
      </c>
      <c r="G393" s="269" t="s">
        <v>8890</v>
      </c>
    </row>
    <row r="394" spans="1:7" ht="30" customHeight="1" x14ac:dyDescent="0.2">
      <c r="A394" s="254">
        <v>2453</v>
      </c>
      <c r="B394" s="262" t="s">
        <v>6345</v>
      </c>
      <c r="C394" s="262" t="s">
        <v>9961</v>
      </c>
      <c r="D394" s="262" t="s">
        <v>8662</v>
      </c>
      <c r="E394" s="262" t="s">
        <v>3986</v>
      </c>
      <c r="F394" s="269" t="s">
        <v>84</v>
      </c>
      <c r="G394" s="269" t="s">
        <v>8577</v>
      </c>
    </row>
    <row r="395" spans="1:7" ht="30" customHeight="1" x14ac:dyDescent="0.2">
      <c r="A395" s="254">
        <v>2454</v>
      </c>
      <c r="B395" s="262" t="s">
        <v>6345</v>
      </c>
      <c r="C395" s="262" t="s">
        <v>9962</v>
      </c>
      <c r="D395" s="262" t="s">
        <v>8663</v>
      </c>
      <c r="E395" s="262" t="s">
        <v>3988</v>
      </c>
      <c r="F395" s="269" t="s">
        <v>84</v>
      </c>
      <c r="G395" s="269" t="s">
        <v>8577</v>
      </c>
    </row>
    <row r="396" spans="1:7" ht="30" customHeight="1" x14ac:dyDescent="0.2">
      <c r="A396" s="254">
        <v>2455</v>
      </c>
      <c r="B396" s="262" t="s">
        <v>6345</v>
      </c>
      <c r="C396" s="262" t="s">
        <v>3990</v>
      </c>
      <c r="D396" s="262" t="s">
        <v>8472</v>
      </c>
      <c r="E396" s="262" t="s">
        <v>3991</v>
      </c>
      <c r="F396" s="269" t="s">
        <v>322</v>
      </c>
      <c r="G396" s="269" t="s">
        <v>8412</v>
      </c>
    </row>
    <row r="397" spans="1:7" ht="30" customHeight="1" x14ac:dyDescent="0.2">
      <c r="A397" s="254">
        <v>2456</v>
      </c>
      <c r="B397" s="262" t="s">
        <v>6345</v>
      </c>
      <c r="C397" s="262" t="s">
        <v>3993</v>
      </c>
      <c r="D397" s="353" t="s">
        <v>8989</v>
      </c>
      <c r="E397" s="262" t="s">
        <v>3994</v>
      </c>
      <c r="F397" s="269" t="s">
        <v>84</v>
      </c>
      <c r="G397" s="269" t="s">
        <v>8890</v>
      </c>
    </row>
    <row r="398" spans="1:7" ht="30" customHeight="1" x14ac:dyDescent="0.2">
      <c r="A398" s="254">
        <v>2457</v>
      </c>
      <c r="B398" s="262" t="s">
        <v>6345</v>
      </c>
      <c r="C398" s="262" t="s">
        <v>3996</v>
      </c>
      <c r="D398" s="353" t="s">
        <v>7061</v>
      </c>
      <c r="E398" s="262" t="s">
        <v>3997</v>
      </c>
      <c r="F398" s="269" t="s">
        <v>84</v>
      </c>
      <c r="G398" s="269" t="s">
        <v>8890</v>
      </c>
    </row>
    <row r="399" spans="1:7" ht="30" customHeight="1" x14ac:dyDescent="0.2">
      <c r="A399" s="254">
        <v>2458</v>
      </c>
      <c r="B399" s="262" t="s">
        <v>6345</v>
      </c>
      <c r="C399" s="262" t="s">
        <v>9963</v>
      </c>
      <c r="D399" s="262" t="s">
        <v>7188</v>
      </c>
      <c r="E399" s="262" t="s">
        <v>3999</v>
      </c>
      <c r="F399" s="269" t="s">
        <v>322</v>
      </c>
      <c r="G399" s="269" t="s">
        <v>8138</v>
      </c>
    </row>
    <row r="400" spans="1:7" ht="30" customHeight="1" x14ac:dyDescent="0.2">
      <c r="A400" s="254">
        <v>2459</v>
      </c>
      <c r="B400" s="262" t="s">
        <v>6345</v>
      </c>
      <c r="C400" s="262" t="s">
        <v>4001</v>
      </c>
      <c r="D400" s="262" t="s">
        <v>7909</v>
      </c>
      <c r="E400" s="262" t="s">
        <v>3999</v>
      </c>
      <c r="F400" s="269" t="s">
        <v>6147</v>
      </c>
      <c r="G400" s="269" t="s">
        <v>7906</v>
      </c>
    </row>
    <row r="401" spans="1:7" ht="30" customHeight="1" x14ac:dyDescent="0.2">
      <c r="A401" s="254">
        <v>2460</v>
      </c>
      <c r="B401" s="262" t="s">
        <v>6345</v>
      </c>
      <c r="C401" s="262" t="s">
        <v>4003</v>
      </c>
      <c r="D401" s="262" t="s">
        <v>8990</v>
      </c>
      <c r="E401" s="262" t="s">
        <v>4004</v>
      </c>
      <c r="F401" s="269" t="s">
        <v>84</v>
      </c>
      <c r="G401" s="269" t="s">
        <v>8890</v>
      </c>
    </row>
    <row r="402" spans="1:7" ht="30" customHeight="1" x14ac:dyDescent="0.2">
      <c r="A402" s="254">
        <v>2461</v>
      </c>
      <c r="B402" s="262" t="s">
        <v>6345</v>
      </c>
      <c r="C402" s="262" t="s">
        <v>9964</v>
      </c>
      <c r="D402" s="262" t="s">
        <v>8297</v>
      </c>
      <c r="E402" s="262" t="s">
        <v>4006</v>
      </c>
      <c r="F402" s="269" t="s">
        <v>565</v>
      </c>
      <c r="G402" s="269" t="s">
        <v>8257</v>
      </c>
    </row>
    <row r="403" spans="1:7" ht="30" customHeight="1" x14ac:dyDescent="0.2">
      <c r="A403" s="254">
        <v>2462</v>
      </c>
      <c r="B403" s="262" t="s">
        <v>6345</v>
      </c>
      <c r="C403" s="262" t="s">
        <v>9965</v>
      </c>
      <c r="D403" s="262" t="s">
        <v>8124</v>
      </c>
      <c r="E403" s="262" t="s">
        <v>4008</v>
      </c>
      <c r="F403" s="269" t="s">
        <v>565</v>
      </c>
      <c r="G403" s="269" t="s">
        <v>8076</v>
      </c>
    </row>
    <row r="404" spans="1:7" ht="30" customHeight="1" x14ac:dyDescent="0.2">
      <c r="A404" s="317">
        <v>2463</v>
      </c>
      <c r="B404" s="263" t="s">
        <v>6345</v>
      </c>
      <c r="C404" s="262" t="s">
        <v>4010</v>
      </c>
      <c r="D404" s="263" t="s">
        <v>7910</v>
      </c>
      <c r="E404" s="263" t="s">
        <v>4011</v>
      </c>
      <c r="F404" s="265" t="s">
        <v>565</v>
      </c>
      <c r="G404" s="265" t="s">
        <v>7906</v>
      </c>
    </row>
    <row r="405" spans="1:7" ht="30" customHeight="1" x14ac:dyDescent="0.2">
      <c r="A405" s="317"/>
      <c r="B405" s="263"/>
      <c r="C405" s="262" t="s">
        <v>4012</v>
      </c>
      <c r="D405" s="263"/>
      <c r="E405" s="263"/>
      <c r="F405" s="267"/>
      <c r="G405" s="267"/>
    </row>
    <row r="406" spans="1:7" ht="30" customHeight="1" x14ac:dyDescent="0.2">
      <c r="A406" s="254">
        <v>2464</v>
      </c>
      <c r="B406" s="262" t="s">
        <v>6345</v>
      </c>
      <c r="C406" s="262" t="s">
        <v>4014</v>
      </c>
      <c r="D406" s="262" t="s">
        <v>8538</v>
      </c>
      <c r="E406" s="262" t="s">
        <v>4015</v>
      </c>
      <c r="F406" s="269" t="s">
        <v>322</v>
      </c>
      <c r="G406" s="269" t="s">
        <v>8501</v>
      </c>
    </row>
    <row r="407" spans="1:7" ht="30" customHeight="1" x14ac:dyDescent="0.2">
      <c r="A407" s="254">
        <v>2465</v>
      </c>
      <c r="B407" s="262" t="s">
        <v>6345</v>
      </c>
      <c r="C407" s="262" t="s">
        <v>4017</v>
      </c>
      <c r="D407" s="262" t="s">
        <v>8473</v>
      </c>
      <c r="E407" s="262" t="s">
        <v>4018</v>
      </c>
      <c r="F407" s="269" t="s">
        <v>322</v>
      </c>
      <c r="G407" s="269" t="s">
        <v>8412</v>
      </c>
    </row>
    <row r="408" spans="1:7" ht="30" customHeight="1" x14ac:dyDescent="0.2">
      <c r="A408" s="254">
        <v>2466</v>
      </c>
      <c r="B408" s="262" t="s">
        <v>6345</v>
      </c>
      <c r="C408" s="262" t="s">
        <v>4020</v>
      </c>
      <c r="D408" s="262" t="s">
        <v>8474</v>
      </c>
      <c r="E408" s="262" t="s">
        <v>4021</v>
      </c>
      <c r="F408" s="269" t="s">
        <v>322</v>
      </c>
      <c r="G408" s="269" t="s">
        <v>8412</v>
      </c>
    </row>
    <row r="409" spans="1:7" ht="30" customHeight="1" x14ac:dyDescent="0.2">
      <c r="A409" s="254">
        <v>2467</v>
      </c>
      <c r="B409" s="262" t="s">
        <v>6345</v>
      </c>
      <c r="C409" s="262" t="s">
        <v>4023</v>
      </c>
      <c r="D409" s="262" t="s">
        <v>7190</v>
      </c>
      <c r="E409" s="262" t="s">
        <v>4024</v>
      </c>
      <c r="F409" s="269" t="s">
        <v>322</v>
      </c>
      <c r="G409" s="269" t="s">
        <v>8138</v>
      </c>
    </row>
    <row r="410" spans="1:7" ht="30" customHeight="1" x14ac:dyDescent="0.2">
      <c r="A410" s="254">
        <v>2468</v>
      </c>
      <c r="B410" s="262" t="s">
        <v>6345</v>
      </c>
      <c r="C410" s="262" t="s">
        <v>4026</v>
      </c>
      <c r="D410" s="262" t="s">
        <v>7190</v>
      </c>
      <c r="E410" s="262" t="s">
        <v>4027</v>
      </c>
      <c r="F410" s="269" t="s">
        <v>322</v>
      </c>
      <c r="G410" s="269" t="s">
        <v>8138</v>
      </c>
    </row>
    <row r="411" spans="1:7" ht="30" customHeight="1" x14ac:dyDescent="0.2">
      <c r="A411" s="254">
        <v>2469</v>
      </c>
      <c r="B411" s="262" t="s">
        <v>6345</v>
      </c>
      <c r="C411" s="262" t="s">
        <v>4029</v>
      </c>
      <c r="D411" s="262" t="s">
        <v>9335</v>
      </c>
      <c r="E411" s="262" t="s">
        <v>4030</v>
      </c>
      <c r="F411" s="269" t="s">
        <v>565</v>
      </c>
      <c r="G411" s="269" t="s">
        <v>8984</v>
      </c>
    </row>
    <row r="412" spans="1:7" ht="30" customHeight="1" x14ac:dyDescent="0.2">
      <c r="A412" s="317">
        <v>2470</v>
      </c>
      <c r="B412" s="263" t="s">
        <v>6345</v>
      </c>
      <c r="C412" s="263" t="s">
        <v>6362</v>
      </c>
      <c r="D412" s="263" t="s">
        <v>8125</v>
      </c>
      <c r="E412" s="263" t="s">
        <v>4033</v>
      </c>
      <c r="F412" s="264" t="s">
        <v>40</v>
      </c>
      <c r="G412" s="265" t="s">
        <v>8076</v>
      </c>
    </row>
    <row r="413" spans="1:7" ht="30" customHeight="1" x14ac:dyDescent="0.2">
      <c r="A413" s="317"/>
      <c r="B413" s="263"/>
      <c r="C413" s="263"/>
      <c r="D413" s="263"/>
      <c r="E413" s="263"/>
      <c r="F413" s="264"/>
      <c r="G413" s="267"/>
    </row>
    <row r="414" spans="1:7" ht="30" customHeight="1" x14ac:dyDescent="0.2">
      <c r="A414" s="254">
        <v>2471</v>
      </c>
      <c r="B414" s="262" t="s">
        <v>6345</v>
      </c>
      <c r="C414" s="262" t="s">
        <v>4036</v>
      </c>
      <c r="D414" s="262" t="s">
        <v>8991</v>
      </c>
      <c r="E414" s="262" t="s">
        <v>4037</v>
      </c>
      <c r="F414" s="269" t="s">
        <v>6078</v>
      </c>
      <c r="G414" s="269" t="s">
        <v>8890</v>
      </c>
    </row>
    <row r="415" spans="1:7" ht="30" customHeight="1" x14ac:dyDescent="0.2">
      <c r="A415" s="254">
        <v>2472</v>
      </c>
      <c r="B415" s="262" t="s">
        <v>6345</v>
      </c>
      <c r="C415" s="262" t="s">
        <v>4039</v>
      </c>
      <c r="D415" s="262" t="s">
        <v>7470</v>
      </c>
      <c r="E415" s="262" t="s">
        <v>4040</v>
      </c>
      <c r="F415" s="269" t="s">
        <v>565</v>
      </c>
      <c r="G415" s="269" t="s">
        <v>7405</v>
      </c>
    </row>
    <row r="416" spans="1:7" ht="30" customHeight="1" x14ac:dyDescent="0.2">
      <c r="A416" s="254">
        <v>2473</v>
      </c>
      <c r="B416" s="262" t="s">
        <v>6345</v>
      </c>
      <c r="C416" s="262" t="s">
        <v>4043</v>
      </c>
      <c r="D416" s="262" t="s">
        <v>7471</v>
      </c>
      <c r="E416" s="262" t="s">
        <v>4044</v>
      </c>
      <c r="F416" s="269" t="s">
        <v>565</v>
      </c>
      <c r="G416" s="269" t="s">
        <v>7405</v>
      </c>
    </row>
    <row r="417" spans="1:7" ht="30" customHeight="1" x14ac:dyDescent="0.2">
      <c r="A417" s="254">
        <v>2474</v>
      </c>
      <c r="B417" s="262" t="s">
        <v>6345</v>
      </c>
      <c r="C417" s="262" t="s">
        <v>4046</v>
      </c>
      <c r="D417" s="262" t="s">
        <v>7472</v>
      </c>
      <c r="E417" s="262" t="s">
        <v>4047</v>
      </c>
      <c r="F417" s="269" t="s">
        <v>565</v>
      </c>
      <c r="G417" s="269" t="s">
        <v>7405</v>
      </c>
    </row>
    <row r="418" spans="1:7" ht="30" customHeight="1" x14ac:dyDescent="0.2">
      <c r="A418" s="254">
        <v>2475</v>
      </c>
      <c r="B418" s="262" t="s">
        <v>6345</v>
      </c>
      <c r="C418" s="262" t="s">
        <v>9966</v>
      </c>
      <c r="D418" s="262" t="s">
        <v>8727</v>
      </c>
      <c r="E418" s="262" t="s">
        <v>4047</v>
      </c>
      <c r="F418" s="269" t="s">
        <v>6078</v>
      </c>
      <c r="G418" s="269" t="s">
        <v>8890</v>
      </c>
    </row>
    <row r="419" spans="1:7" ht="30" customHeight="1" x14ac:dyDescent="0.2">
      <c r="A419" s="254">
        <v>2476</v>
      </c>
      <c r="B419" s="262" t="s">
        <v>6345</v>
      </c>
      <c r="C419" s="262" t="s">
        <v>4050</v>
      </c>
      <c r="D419" s="262" t="s">
        <v>7471</v>
      </c>
      <c r="E419" s="262" t="s">
        <v>4051</v>
      </c>
      <c r="F419" s="269" t="s">
        <v>565</v>
      </c>
      <c r="G419" s="269" t="s">
        <v>7405</v>
      </c>
    </row>
    <row r="420" spans="1:7" ht="30" customHeight="1" x14ac:dyDescent="0.2">
      <c r="A420" s="317">
        <v>2477</v>
      </c>
      <c r="B420" s="263" t="s">
        <v>6345</v>
      </c>
      <c r="C420" s="263" t="s">
        <v>6363</v>
      </c>
      <c r="D420" s="263" t="s">
        <v>8475</v>
      </c>
      <c r="E420" s="263" t="s">
        <v>4054</v>
      </c>
      <c r="F420" s="264" t="s">
        <v>322</v>
      </c>
      <c r="G420" s="265" t="s">
        <v>8412</v>
      </c>
    </row>
    <row r="421" spans="1:7" ht="30" customHeight="1" x14ac:dyDescent="0.2">
      <c r="A421" s="317"/>
      <c r="B421" s="263"/>
      <c r="C421" s="263"/>
      <c r="D421" s="263"/>
      <c r="E421" s="263"/>
      <c r="F421" s="264"/>
      <c r="G421" s="267"/>
    </row>
    <row r="422" spans="1:7" ht="30" customHeight="1" x14ac:dyDescent="0.2">
      <c r="A422" s="317">
        <v>2478</v>
      </c>
      <c r="B422" s="263" t="s">
        <v>6345</v>
      </c>
      <c r="C422" s="263" t="s">
        <v>6364</v>
      </c>
      <c r="D422" s="263" t="s">
        <v>8728</v>
      </c>
      <c r="E422" s="263" t="s">
        <v>4057</v>
      </c>
      <c r="F422" s="264" t="s">
        <v>6078</v>
      </c>
      <c r="G422" s="265" t="s">
        <v>8890</v>
      </c>
    </row>
    <row r="423" spans="1:7" ht="30" customHeight="1" x14ac:dyDescent="0.2">
      <c r="A423" s="317"/>
      <c r="B423" s="263"/>
      <c r="C423" s="263"/>
      <c r="D423" s="263"/>
      <c r="E423" s="263"/>
      <c r="F423" s="264"/>
      <c r="G423" s="267"/>
    </row>
    <row r="424" spans="1:7" ht="30" customHeight="1" x14ac:dyDescent="0.2">
      <c r="A424" s="317">
        <v>2479</v>
      </c>
      <c r="B424" s="263" t="s">
        <v>6345</v>
      </c>
      <c r="C424" s="263" t="s">
        <v>6365</v>
      </c>
      <c r="D424" s="354" t="s">
        <v>8729</v>
      </c>
      <c r="E424" s="263" t="s">
        <v>4059</v>
      </c>
      <c r="F424" s="264" t="s">
        <v>84</v>
      </c>
      <c r="G424" s="265" t="s">
        <v>8890</v>
      </c>
    </row>
    <row r="425" spans="1:7" ht="30" customHeight="1" x14ac:dyDescent="0.2">
      <c r="A425" s="317"/>
      <c r="B425" s="263"/>
      <c r="C425" s="263"/>
      <c r="D425" s="355"/>
      <c r="E425" s="263"/>
      <c r="F425" s="264"/>
      <c r="G425" s="266"/>
    </row>
    <row r="426" spans="1:7" ht="30" customHeight="1" x14ac:dyDescent="0.2">
      <c r="A426" s="317"/>
      <c r="B426" s="263"/>
      <c r="C426" s="263"/>
      <c r="D426" s="355"/>
      <c r="E426" s="263"/>
      <c r="F426" s="264"/>
      <c r="G426" s="266"/>
    </row>
    <row r="427" spans="1:7" ht="30" customHeight="1" x14ac:dyDescent="0.2">
      <c r="A427" s="317"/>
      <c r="B427" s="263"/>
      <c r="C427" s="263"/>
      <c r="D427" s="355"/>
      <c r="E427" s="263"/>
      <c r="F427" s="264"/>
      <c r="G427" s="266"/>
    </row>
    <row r="428" spans="1:7" ht="30" customHeight="1" x14ac:dyDescent="0.2">
      <c r="A428" s="317"/>
      <c r="B428" s="263"/>
      <c r="C428" s="263"/>
      <c r="D428" s="355"/>
      <c r="E428" s="263"/>
      <c r="F428" s="264"/>
      <c r="G428" s="266"/>
    </row>
    <row r="429" spans="1:7" ht="30" customHeight="1" x14ac:dyDescent="0.2">
      <c r="A429" s="317"/>
      <c r="B429" s="263"/>
      <c r="C429" s="263"/>
      <c r="D429" s="355"/>
      <c r="E429" s="263"/>
      <c r="F429" s="264"/>
      <c r="G429" s="266"/>
    </row>
    <row r="430" spans="1:7" ht="30" customHeight="1" x14ac:dyDescent="0.2">
      <c r="A430" s="317"/>
      <c r="B430" s="263"/>
      <c r="C430" s="263"/>
      <c r="D430" s="355"/>
      <c r="E430" s="263"/>
      <c r="F430" s="264"/>
      <c r="G430" s="266"/>
    </row>
    <row r="431" spans="1:7" ht="30" customHeight="1" x14ac:dyDescent="0.2">
      <c r="A431" s="317"/>
      <c r="B431" s="263"/>
      <c r="C431" s="263"/>
      <c r="D431" s="356"/>
      <c r="E431" s="263"/>
      <c r="F431" s="264"/>
      <c r="G431" s="267"/>
    </row>
    <row r="432" spans="1:7" ht="36" customHeight="1" x14ac:dyDescent="0.2">
      <c r="A432" s="317">
        <v>2480</v>
      </c>
      <c r="B432" s="263" t="s">
        <v>6345</v>
      </c>
      <c r="C432" s="263" t="s">
        <v>6366</v>
      </c>
      <c r="D432" s="263" t="s">
        <v>9182</v>
      </c>
      <c r="E432" s="263" t="s">
        <v>4065</v>
      </c>
      <c r="F432" s="264" t="s">
        <v>6170</v>
      </c>
      <c r="G432" s="265" t="s">
        <v>8890</v>
      </c>
    </row>
    <row r="433" spans="1:7" ht="30" customHeight="1" x14ac:dyDescent="0.2">
      <c r="A433" s="317"/>
      <c r="B433" s="263"/>
      <c r="C433" s="263"/>
      <c r="D433" s="263"/>
      <c r="E433" s="263"/>
      <c r="F433" s="264"/>
      <c r="G433" s="266"/>
    </row>
    <row r="434" spans="1:7" ht="30" customHeight="1" x14ac:dyDescent="0.2">
      <c r="A434" s="317"/>
      <c r="B434" s="263"/>
      <c r="C434" s="263"/>
      <c r="D434" s="263"/>
      <c r="E434" s="263"/>
      <c r="F434" s="264"/>
      <c r="G434" s="266"/>
    </row>
    <row r="435" spans="1:7" ht="30" customHeight="1" x14ac:dyDescent="0.2">
      <c r="A435" s="317"/>
      <c r="B435" s="263"/>
      <c r="C435" s="263"/>
      <c r="D435" s="263"/>
      <c r="E435" s="263"/>
      <c r="F435" s="264"/>
      <c r="G435" s="266"/>
    </row>
    <row r="436" spans="1:7" ht="42" customHeight="1" x14ac:dyDescent="0.2">
      <c r="A436" s="317"/>
      <c r="B436" s="263"/>
      <c r="C436" s="263"/>
      <c r="D436" s="263"/>
      <c r="E436" s="263"/>
      <c r="F436" s="264"/>
      <c r="G436" s="266"/>
    </row>
    <row r="437" spans="1:7" ht="30" customHeight="1" x14ac:dyDescent="0.2">
      <c r="A437" s="317"/>
      <c r="B437" s="263"/>
      <c r="C437" s="263"/>
      <c r="D437" s="263"/>
      <c r="E437" s="263"/>
      <c r="F437" s="264"/>
      <c r="G437" s="266"/>
    </row>
    <row r="438" spans="1:7" ht="88.5" customHeight="1" x14ac:dyDescent="0.2">
      <c r="A438" s="317"/>
      <c r="B438" s="263"/>
      <c r="C438" s="263"/>
      <c r="D438" s="263"/>
      <c r="E438" s="263"/>
      <c r="F438" s="264"/>
      <c r="G438" s="267"/>
    </row>
    <row r="439" spans="1:7" ht="30" customHeight="1" x14ac:dyDescent="0.2">
      <c r="A439" s="317">
        <v>2481</v>
      </c>
      <c r="B439" s="263" t="s">
        <v>6345</v>
      </c>
      <c r="C439" s="268" t="s">
        <v>6367</v>
      </c>
      <c r="D439" s="263" t="s">
        <v>8385</v>
      </c>
      <c r="E439" s="263" t="s">
        <v>4073</v>
      </c>
      <c r="F439" s="264" t="s">
        <v>565</v>
      </c>
      <c r="G439" s="265" t="s">
        <v>8257</v>
      </c>
    </row>
    <row r="440" spans="1:7" ht="30" customHeight="1" x14ac:dyDescent="0.2">
      <c r="A440" s="317"/>
      <c r="B440" s="263"/>
      <c r="C440" s="268"/>
      <c r="D440" s="263"/>
      <c r="E440" s="263"/>
      <c r="F440" s="264"/>
      <c r="G440" s="267"/>
    </row>
    <row r="441" spans="1:7" ht="30" customHeight="1" x14ac:dyDescent="0.2">
      <c r="A441" s="317">
        <v>2482</v>
      </c>
      <c r="B441" s="263" t="s">
        <v>6345</v>
      </c>
      <c r="C441" s="263" t="s">
        <v>6368</v>
      </c>
      <c r="D441" s="263" t="s">
        <v>8126</v>
      </c>
      <c r="E441" s="263" t="s">
        <v>4077</v>
      </c>
      <c r="F441" s="264" t="s">
        <v>565</v>
      </c>
      <c r="G441" s="265" t="s">
        <v>8076</v>
      </c>
    </row>
    <row r="442" spans="1:7" ht="30" customHeight="1" x14ac:dyDescent="0.2">
      <c r="A442" s="317"/>
      <c r="B442" s="263"/>
      <c r="C442" s="263"/>
      <c r="D442" s="263"/>
      <c r="E442" s="263"/>
      <c r="F442" s="264"/>
      <c r="G442" s="266"/>
    </row>
    <row r="443" spans="1:7" ht="30" customHeight="1" x14ac:dyDescent="0.2">
      <c r="A443" s="317"/>
      <c r="B443" s="263"/>
      <c r="C443" s="263"/>
      <c r="D443" s="263"/>
      <c r="E443" s="263"/>
      <c r="F443" s="264"/>
      <c r="G443" s="266"/>
    </row>
    <row r="444" spans="1:7" ht="30" customHeight="1" x14ac:dyDescent="0.2">
      <c r="A444" s="317"/>
      <c r="B444" s="263"/>
      <c r="C444" s="263"/>
      <c r="D444" s="263"/>
      <c r="E444" s="263"/>
      <c r="F444" s="264"/>
      <c r="G444" s="267"/>
    </row>
    <row r="445" spans="1:7" ht="30" customHeight="1" x14ac:dyDescent="0.2">
      <c r="A445" s="317">
        <v>2483</v>
      </c>
      <c r="B445" s="263" t="s">
        <v>6345</v>
      </c>
      <c r="C445" s="262" t="s">
        <v>9973</v>
      </c>
      <c r="D445" s="263" t="s">
        <v>9336</v>
      </c>
      <c r="E445" s="263" t="s">
        <v>4082</v>
      </c>
      <c r="F445" s="264" t="s">
        <v>565</v>
      </c>
      <c r="G445" s="265" t="s">
        <v>8984</v>
      </c>
    </row>
    <row r="446" spans="1:7" ht="30" customHeight="1" x14ac:dyDescent="0.2">
      <c r="A446" s="317"/>
      <c r="B446" s="263"/>
      <c r="C446" s="262" t="s">
        <v>6369</v>
      </c>
      <c r="D446" s="263"/>
      <c r="E446" s="263"/>
      <c r="F446" s="264"/>
      <c r="G446" s="266"/>
    </row>
    <row r="447" spans="1:7" ht="30" customHeight="1" x14ac:dyDescent="0.2">
      <c r="A447" s="317"/>
      <c r="B447" s="263"/>
      <c r="C447" s="262" t="s">
        <v>6370</v>
      </c>
      <c r="D447" s="263"/>
      <c r="E447" s="263"/>
      <c r="F447" s="264"/>
      <c r="G447" s="267"/>
    </row>
    <row r="448" spans="1:7" ht="30" customHeight="1" x14ac:dyDescent="0.2">
      <c r="A448" s="254">
        <v>2484</v>
      </c>
      <c r="B448" s="262" t="s">
        <v>6345</v>
      </c>
      <c r="C448" s="262" t="s">
        <v>9974</v>
      </c>
      <c r="D448" s="262" t="s">
        <v>8127</v>
      </c>
      <c r="E448" s="262" t="s">
        <v>4086</v>
      </c>
      <c r="F448" s="269" t="s">
        <v>565</v>
      </c>
      <c r="G448" s="269" t="s">
        <v>8076</v>
      </c>
    </row>
    <row r="449" spans="1:7" ht="30" customHeight="1" x14ac:dyDescent="0.2">
      <c r="A449" s="254">
        <v>2485</v>
      </c>
      <c r="B449" s="262" t="s">
        <v>6345</v>
      </c>
      <c r="C449" s="262" t="s">
        <v>9975</v>
      </c>
      <c r="D449" s="262" t="s">
        <v>7920</v>
      </c>
      <c r="E449" s="262" t="s">
        <v>4088</v>
      </c>
      <c r="F449" s="269" t="s">
        <v>565</v>
      </c>
      <c r="G449" s="269" t="s">
        <v>7906</v>
      </c>
    </row>
    <row r="450" spans="1:7" ht="30" customHeight="1" x14ac:dyDescent="0.2">
      <c r="A450" s="254">
        <v>2486</v>
      </c>
      <c r="B450" s="262" t="s">
        <v>6345</v>
      </c>
      <c r="C450" s="262" t="s">
        <v>4090</v>
      </c>
      <c r="D450" s="262" t="s">
        <v>9132</v>
      </c>
      <c r="E450" s="262" t="s">
        <v>4091</v>
      </c>
      <c r="F450" s="269" t="s">
        <v>84</v>
      </c>
      <c r="G450" s="269" t="s">
        <v>8890</v>
      </c>
    </row>
    <row r="451" spans="1:7" ht="30" customHeight="1" x14ac:dyDescent="0.2">
      <c r="A451" s="317">
        <v>2487</v>
      </c>
      <c r="B451" s="263" t="s">
        <v>6345</v>
      </c>
      <c r="C451" s="263" t="s">
        <v>6371</v>
      </c>
      <c r="D451" s="263" t="s">
        <v>8992</v>
      </c>
      <c r="E451" s="263" t="s">
        <v>4094</v>
      </c>
      <c r="F451" s="264" t="s">
        <v>6078</v>
      </c>
      <c r="G451" s="265" t="s">
        <v>8890</v>
      </c>
    </row>
    <row r="452" spans="1:7" ht="30" customHeight="1" x14ac:dyDescent="0.2">
      <c r="A452" s="317"/>
      <c r="B452" s="263"/>
      <c r="C452" s="263"/>
      <c r="D452" s="263"/>
      <c r="E452" s="263"/>
      <c r="F452" s="264"/>
      <c r="G452" s="266"/>
    </row>
    <row r="453" spans="1:7" ht="30" customHeight="1" x14ac:dyDescent="0.2">
      <c r="A453" s="317"/>
      <c r="B453" s="263"/>
      <c r="C453" s="263"/>
      <c r="D453" s="263"/>
      <c r="E453" s="263"/>
      <c r="F453" s="264"/>
      <c r="G453" s="267"/>
    </row>
    <row r="454" spans="1:7" ht="30" customHeight="1" x14ac:dyDescent="0.2">
      <c r="A454" s="254">
        <v>2488</v>
      </c>
      <c r="B454" s="262" t="s">
        <v>6345</v>
      </c>
      <c r="C454" s="262" t="s">
        <v>4098</v>
      </c>
      <c r="D454" s="262" t="s">
        <v>9039</v>
      </c>
      <c r="E454" s="262" t="s">
        <v>4099</v>
      </c>
      <c r="F454" s="269" t="s">
        <v>120</v>
      </c>
      <c r="G454" s="269" t="s">
        <v>8984</v>
      </c>
    </row>
    <row r="455" spans="1:7" ht="30" customHeight="1" x14ac:dyDescent="0.2">
      <c r="A455" s="317">
        <v>2489</v>
      </c>
      <c r="B455" s="263" t="s">
        <v>6345</v>
      </c>
      <c r="C455" s="262" t="s">
        <v>4101</v>
      </c>
      <c r="D455" s="263" t="s">
        <v>8993</v>
      </c>
      <c r="E455" s="263" t="s">
        <v>4102</v>
      </c>
      <c r="F455" s="264" t="s">
        <v>6078</v>
      </c>
      <c r="G455" s="265" t="s">
        <v>8890</v>
      </c>
    </row>
    <row r="456" spans="1:7" ht="30" customHeight="1" x14ac:dyDescent="0.2">
      <c r="A456" s="317"/>
      <c r="B456" s="263"/>
      <c r="C456" s="357" t="s">
        <v>9976</v>
      </c>
      <c r="D456" s="263"/>
      <c r="E456" s="263"/>
      <c r="F456" s="264"/>
      <c r="G456" s="266"/>
    </row>
    <row r="457" spans="1:7" ht="30" customHeight="1" x14ac:dyDescent="0.2">
      <c r="A457" s="317"/>
      <c r="B457" s="263"/>
      <c r="C457" s="262" t="s">
        <v>4103</v>
      </c>
      <c r="D457" s="263"/>
      <c r="E457" s="263"/>
      <c r="F457" s="264"/>
      <c r="G457" s="266"/>
    </row>
    <row r="458" spans="1:7" ht="30" customHeight="1" x14ac:dyDescent="0.2">
      <c r="A458" s="317"/>
      <c r="B458" s="263"/>
      <c r="C458" s="357" t="s">
        <v>4104</v>
      </c>
      <c r="D458" s="263"/>
      <c r="E458" s="263"/>
      <c r="F458" s="264"/>
      <c r="G458" s="266"/>
    </row>
    <row r="459" spans="1:7" ht="30" customHeight="1" x14ac:dyDescent="0.2">
      <c r="A459" s="317"/>
      <c r="B459" s="263"/>
      <c r="C459" s="262" t="s">
        <v>9977</v>
      </c>
      <c r="D459" s="263"/>
      <c r="E459" s="263"/>
      <c r="F459" s="264"/>
      <c r="G459" s="266"/>
    </row>
    <row r="460" spans="1:7" ht="30" customHeight="1" x14ac:dyDescent="0.2">
      <c r="A460" s="317"/>
      <c r="B460" s="263"/>
      <c r="C460" s="262" t="s">
        <v>9978</v>
      </c>
      <c r="D460" s="263"/>
      <c r="E460" s="263"/>
      <c r="F460" s="264"/>
      <c r="G460" s="266"/>
    </row>
    <row r="461" spans="1:7" ht="30" customHeight="1" x14ac:dyDescent="0.2">
      <c r="A461" s="317"/>
      <c r="B461" s="263"/>
      <c r="C461" s="262" t="s">
        <v>9979</v>
      </c>
      <c r="D461" s="263"/>
      <c r="E461" s="263"/>
      <c r="F461" s="264"/>
      <c r="G461" s="267"/>
    </row>
    <row r="462" spans="1:7" ht="30" customHeight="1" x14ac:dyDescent="0.2">
      <c r="A462" s="254">
        <v>2490</v>
      </c>
      <c r="B462" s="262" t="s">
        <v>6345</v>
      </c>
      <c r="C462" s="262" t="s">
        <v>4106</v>
      </c>
      <c r="D462" s="262" t="s">
        <v>8994</v>
      </c>
      <c r="E462" s="262" t="s">
        <v>4107</v>
      </c>
      <c r="F462" s="269" t="s">
        <v>6078</v>
      </c>
      <c r="G462" s="269" t="s">
        <v>8890</v>
      </c>
    </row>
    <row r="463" spans="1:7" ht="30" customHeight="1" x14ac:dyDescent="0.2">
      <c r="A463" s="254">
        <v>2491</v>
      </c>
      <c r="B463" s="262" t="s">
        <v>6345</v>
      </c>
      <c r="C463" s="262" t="s">
        <v>4109</v>
      </c>
      <c r="D463" s="262" t="s">
        <v>8476</v>
      </c>
      <c r="E463" s="262" t="s">
        <v>4110</v>
      </c>
      <c r="F463" s="269" t="s">
        <v>322</v>
      </c>
      <c r="G463" s="269" t="s">
        <v>8412</v>
      </c>
    </row>
    <row r="464" spans="1:7" ht="30" customHeight="1" x14ac:dyDescent="0.2">
      <c r="A464" s="317">
        <v>2492</v>
      </c>
      <c r="B464" s="263" t="s">
        <v>6345</v>
      </c>
      <c r="C464" s="262" t="s">
        <v>9980</v>
      </c>
      <c r="D464" s="263" t="s">
        <v>8995</v>
      </c>
      <c r="E464" s="263" t="s">
        <v>4112</v>
      </c>
      <c r="F464" s="264" t="s">
        <v>84</v>
      </c>
      <c r="G464" s="265" t="s">
        <v>8890</v>
      </c>
    </row>
    <row r="465" spans="1:7" ht="30" customHeight="1" x14ac:dyDescent="0.2">
      <c r="A465" s="317"/>
      <c r="B465" s="263"/>
      <c r="C465" s="262" t="s">
        <v>4113</v>
      </c>
      <c r="D465" s="263"/>
      <c r="E465" s="263"/>
      <c r="F465" s="264"/>
      <c r="G465" s="267"/>
    </row>
    <row r="466" spans="1:7" ht="30" customHeight="1" x14ac:dyDescent="0.2">
      <c r="A466" s="317">
        <v>2493</v>
      </c>
      <c r="B466" s="263" t="s">
        <v>6345</v>
      </c>
      <c r="C466" s="262" t="s">
        <v>9981</v>
      </c>
      <c r="D466" s="263" t="s">
        <v>8657</v>
      </c>
      <c r="E466" s="263" t="s">
        <v>4112</v>
      </c>
      <c r="F466" s="264" t="s">
        <v>84</v>
      </c>
      <c r="G466" s="265" t="s">
        <v>8890</v>
      </c>
    </row>
    <row r="467" spans="1:7" ht="30" customHeight="1" x14ac:dyDescent="0.2">
      <c r="A467" s="317"/>
      <c r="B467" s="263"/>
      <c r="C467" s="262" t="s">
        <v>4115</v>
      </c>
      <c r="D467" s="263"/>
      <c r="E467" s="263"/>
      <c r="F467" s="264"/>
      <c r="G467" s="266"/>
    </row>
    <row r="468" spans="1:7" ht="30" customHeight="1" x14ac:dyDescent="0.2">
      <c r="A468" s="317"/>
      <c r="B468" s="263"/>
      <c r="C468" s="262" t="s">
        <v>4116</v>
      </c>
      <c r="D468" s="263"/>
      <c r="E468" s="263"/>
      <c r="F468" s="264"/>
      <c r="G468" s="266"/>
    </row>
    <row r="469" spans="1:7" ht="30" customHeight="1" x14ac:dyDescent="0.2">
      <c r="A469" s="317"/>
      <c r="B469" s="263"/>
      <c r="C469" s="262" t="s">
        <v>4117</v>
      </c>
      <c r="D469" s="263"/>
      <c r="E469" s="263"/>
      <c r="F469" s="264"/>
      <c r="G469" s="266"/>
    </row>
    <row r="470" spans="1:7" ht="30" customHeight="1" x14ac:dyDescent="0.2">
      <c r="A470" s="317"/>
      <c r="B470" s="263"/>
      <c r="C470" s="262" t="s">
        <v>4118</v>
      </c>
      <c r="D470" s="263"/>
      <c r="E470" s="263"/>
      <c r="F470" s="264"/>
      <c r="G470" s="267"/>
    </row>
    <row r="471" spans="1:7" ht="30" customHeight="1" x14ac:dyDescent="0.2">
      <c r="A471" s="317">
        <v>2494</v>
      </c>
      <c r="B471" s="263" t="s">
        <v>6345</v>
      </c>
      <c r="C471" s="262" t="s">
        <v>9982</v>
      </c>
      <c r="D471" s="263" t="s">
        <v>7064</v>
      </c>
      <c r="E471" s="263" t="s">
        <v>4112</v>
      </c>
      <c r="F471" s="264" t="s">
        <v>84</v>
      </c>
      <c r="G471" s="265" t="s">
        <v>8890</v>
      </c>
    </row>
    <row r="472" spans="1:7" ht="30" customHeight="1" x14ac:dyDescent="0.2">
      <c r="A472" s="317"/>
      <c r="B472" s="263"/>
      <c r="C472" s="262" t="s">
        <v>4120</v>
      </c>
      <c r="D472" s="263"/>
      <c r="E472" s="263"/>
      <c r="F472" s="264"/>
      <c r="G472" s="267"/>
    </row>
    <row r="473" spans="1:7" ht="30" customHeight="1" x14ac:dyDescent="0.2">
      <c r="A473" s="317">
        <v>2495</v>
      </c>
      <c r="B473" s="263" t="s">
        <v>6345</v>
      </c>
      <c r="C473" s="262" t="s">
        <v>9983</v>
      </c>
      <c r="D473" s="263" t="s">
        <v>8996</v>
      </c>
      <c r="E473" s="263" t="s">
        <v>4112</v>
      </c>
      <c r="F473" s="264" t="s">
        <v>84</v>
      </c>
      <c r="G473" s="265" t="s">
        <v>8890</v>
      </c>
    </row>
    <row r="474" spans="1:7" ht="30" customHeight="1" x14ac:dyDescent="0.2">
      <c r="A474" s="317"/>
      <c r="B474" s="263"/>
      <c r="C474" s="262" t="s">
        <v>4122</v>
      </c>
      <c r="D474" s="263"/>
      <c r="E474" s="263"/>
      <c r="F474" s="264"/>
      <c r="G474" s="267"/>
    </row>
    <row r="475" spans="1:7" ht="30" customHeight="1" x14ac:dyDescent="0.2">
      <c r="A475" s="317">
        <v>2496</v>
      </c>
      <c r="B475" s="263" t="s">
        <v>6345</v>
      </c>
      <c r="C475" s="262" t="s">
        <v>9984</v>
      </c>
      <c r="D475" s="263" t="s">
        <v>8239</v>
      </c>
      <c r="E475" s="263" t="s">
        <v>4124</v>
      </c>
      <c r="F475" s="264" t="s">
        <v>322</v>
      </c>
      <c r="G475" s="265" t="s">
        <v>8234</v>
      </c>
    </row>
    <row r="476" spans="1:7" ht="30" customHeight="1" x14ac:dyDescent="0.2">
      <c r="A476" s="317"/>
      <c r="B476" s="263"/>
      <c r="C476" s="262" t="s">
        <v>4125</v>
      </c>
      <c r="D476" s="263"/>
      <c r="E476" s="263"/>
      <c r="F476" s="264"/>
      <c r="G476" s="267"/>
    </row>
    <row r="477" spans="1:7" ht="30" customHeight="1" x14ac:dyDescent="0.2">
      <c r="A477" s="254">
        <v>2497</v>
      </c>
      <c r="B477" s="262" t="s">
        <v>6345</v>
      </c>
      <c r="C477" s="262" t="s">
        <v>4127</v>
      </c>
      <c r="D477" s="262" t="s">
        <v>8477</v>
      </c>
      <c r="E477" s="262" t="s">
        <v>4128</v>
      </c>
      <c r="F477" s="269" t="s">
        <v>322</v>
      </c>
      <c r="G477" s="269" t="s">
        <v>8412</v>
      </c>
    </row>
    <row r="478" spans="1:7" ht="30" customHeight="1" x14ac:dyDescent="0.2">
      <c r="A478" s="254">
        <v>2498</v>
      </c>
      <c r="B478" s="262" t="s">
        <v>6345</v>
      </c>
      <c r="C478" s="262" t="s">
        <v>4130</v>
      </c>
      <c r="D478" s="262" t="s">
        <v>648</v>
      </c>
      <c r="E478" s="262" t="s">
        <v>4131</v>
      </c>
      <c r="F478" s="269" t="s">
        <v>322</v>
      </c>
      <c r="G478" s="269" t="s">
        <v>8138</v>
      </c>
    </row>
    <row r="479" spans="1:7" ht="30" customHeight="1" x14ac:dyDescent="0.2">
      <c r="A479" s="254">
        <v>2499</v>
      </c>
      <c r="B479" s="262" t="s">
        <v>6345</v>
      </c>
      <c r="C479" s="262" t="s">
        <v>4133</v>
      </c>
      <c r="D479" s="262" t="s">
        <v>7473</v>
      </c>
      <c r="E479" s="262" t="s">
        <v>4134</v>
      </c>
      <c r="F479" s="269" t="s">
        <v>565</v>
      </c>
      <c r="G479" s="269" t="s">
        <v>7405</v>
      </c>
    </row>
    <row r="480" spans="1:7" ht="30" customHeight="1" x14ac:dyDescent="0.2">
      <c r="A480" s="254">
        <v>2500</v>
      </c>
      <c r="B480" s="262" t="s">
        <v>6345</v>
      </c>
      <c r="C480" s="262" t="s">
        <v>4136</v>
      </c>
      <c r="D480" s="262" t="s">
        <v>7474</v>
      </c>
      <c r="E480" s="262" t="s">
        <v>4134</v>
      </c>
      <c r="F480" s="269" t="s">
        <v>565</v>
      </c>
      <c r="G480" s="269" t="s">
        <v>7405</v>
      </c>
    </row>
    <row r="481" spans="1:7" ht="30" customHeight="1" x14ac:dyDescent="0.2">
      <c r="A481" s="254">
        <v>2501</v>
      </c>
      <c r="B481" s="262" t="s">
        <v>6345</v>
      </c>
      <c r="C481" s="262" t="s">
        <v>4138</v>
      </c>
      <c r="D481" s="262" t="s">
        <v>8128</v>
      </c>
      <c r="E481" s="262" t="s">
        <v>4139</v>
      </c>
      <c r="F481" s="269" t="s">
        <v>565</v>
      </c>
      <c r="G481" s="269" t="s">
        <v>8076</v>
      </c>
    </row>
    <row r="482" spans="1:7" ht="30" customHeight="1" x14ac:dyDescent="0.2">
      <c r="A482" s="254">
        <v>2502</v>
      </c>
      <c r="B482" s="262" t="s">
        <v>6345</v>
      </c>
      <c r="C482" s="262" t="s">
        <v>9985</v>
      </c>
      <c r="D482" s="262" t="s">
        <v>7475</v>
      </c>
      <c r="E482" s="262" t="s">
        <v>4141</v>
      </c>
      <c r="F482" s="269" t="s">
        <v>565</v>
      </c>
      <c r="G482" s="269" t="s">
        <v>7405</v>
      </c>
    </row>
    <row r="483" spans="1:7" ht="30" customHeight="1" x14ac:dyDescent="0.2">
      <c r="A483" s="317">
        <v>2503</v>
      </c>
      <c r="B483" s="263" t="s">
        <v>6345</v>
      </c>
      <c r="C483" s="262" t="s">
        <v>9986</v>
      </c>
      <c r="D483" s="263" t="s">
        <v>7911</v>
      </c>
      <c r="E483" s="263" t="s">
        <v>4143</v>
      </c>
      <c r="F483" s="264" t="s">
        <v>565</v>
      </c>
      <c r="G483" s="265" t="s">
        <v>7906</v>
      </c>
    </row>
    <row r="484" spans="1:7" ht="30" customHeight="1" x14ac:dyDescent="0.2">
      <c r="A484" s="317"/>
      <c r="B484" s="263"/>
      <c r="C484" s="262" t="s">
        <v>4144</v>
      </c>
      <c r="D484" s="263"/>
      <c r="E484" s="263"/>
      <c r="F484" s="264"/>
      <c r="G484" s="267"/>
    </row>
    <row r="485" spans="1:7" ht="30" customHeight="1" x14ac:dyDescent="0.2">
      <c r="A485" s="254">
        <v>2504</v>
      </c>
      <c r="B485" s="262" t="s">
        <v>6345</v>
      </c>
      <c r="C485" s="262" t="s">
        <v>4146</v>
      </c>
      <c r="D485" s="262" t="s">
        <v>8997</v>
      </c>
      <c r="E485" s="262" t="s">
        <v>4147</v>
      </c>
      <c r="F485" s="269" t="s">
        <v>84</v>
      </c>
      <c r="G485" s="269" t="s">
        <v>8890</v>
      </c>
    </row>
    <row r="486" spans="1:7" ht="30" customHeight="1" x14ac:dyDescent="0.2">
      <c r="A486" s="317">
        <v>2506</v>
      </c>
      <c r="B486" s="263" t="s">
        <v>6345</v>
      </c>
      <c r="C486" s="262" t="s">
        <v>4149</v>
      </c>
      <c r="D486" s="263" t="s">
        <v>7476</v>
      </c>
      <c r="E486" s="263" t="s">
        <v>4150</v>
      </c>
      <c r="F486" s="264" t="s">
        <v>565</v>
      </c>
      <c r="G486" s="265" t="s">
        <v>7405</v>
      </c>
    </row>
    <row r="487" spans="1:7" ht="30" customHeight="1" x14ac:dyDescent="0.2">
      <c r="A487" s="317"/>
      <c r="B487" s="263"/>
      <c r="C487" s="262" t="s">
        <v>4151</v>
      </c>
      <c r="D487" s="263"/>
      <c r="E487" s="263"/>
      <c r="F487" s="264"/>
      <c r="G487" s="266"/>
    </row>
    <row r="488" spans="1:7" ht="30" customHeight="1" x14ac:dyDescent="0.2">
      <c r="A488" s="317"/>
      <c r="B488" s="263"/>
      <c r="C488" s="262" t="s">
        <v>4152</v>
      </c>
      <c r="D488" s="263"/>
      <c r="E488" s="263"/>
      <c r="F488" s="264"/>
      <c r="G488" s="266"/>
    </row>
    <row r="489" spans="1:7" ht="30" customHeight="1" x14ac:dyDescent="0.2">
      <c r="A489" s="317"/>
      <c r="B489" s="263"/>
      <c r="C489" s="262" t="s">
        <v>9987</v>
      </c>
      <c r="D489" s="263"/>
      <c r="E489" s="263"/>
      <c r="F489" s="264"/>
      <c r="G489" s="266"/>
    </row>
    <row r="490" spans="1:7" ht="30" customHeight="1" x14ac:dyDescent="0.2">
      <c r="A490" s="317"/>
      <c r="B490" s="263"/>
      <c r="C490" s="262" t="s">
        <v>4153</v>
      </c>
      <c r="D490" s="263"/>
      <c r="E490" s="263"/>
      <c r="F490" s="264"/>
      <c r="G490" s="266"/>
    </row>
    <row r="491" spans="1:7" ht="30" customHeight="1" x14ac:dyDescent="0.2">
      <c r="A491" s="317"/>
      <c r="B491" s="263"/>
      <c r="C491" s="262" t="s">
        <v>4154</v>
      </c>
      <c r="D491" s="263"/>
      <c r="E491" s="263"/>
      <c r="F491" s="264"/>
      <c r="G491" s="266"/>
    </row>
    <row r="492" spans="1:7" ht="30" customHeight="1" x14ac:dyDescent="0.2">
      <c r="A492" s="317"/>
      <c r="B492" s="263"/>
      <c r="C492" s="262" t="s">
        <v>4155</v>
      </c>
      <c r="D492" s="263"/>
      <c r="E492" s="263"/>
      <c r="F492" s="264"/>
      <c r="G492" s="266"/>
    </row>
    <row r="493" spans="1:7" ht="30" customHeight="1" x14ac:dyDescent="0.2">
      <c r="A493" s="317"/>
      <c r="B493" s="263"/>
      <c r="C493" s="262" t="s">
        <v>4156</v>
      </c>
      <c r="D493" s="263"/>
      <c r="E493" s="263"/>
      <c r="F493" s="264"/>
      <c r="G493" s="266"/>
    </row>
    <row r="494" spans="1:7" ht="30" customHeight="1" x14ac:dyDescent="0.2">
      <c r="A494" s="317"/>
      <c r="B494" s="263"/>
      <c r="C494" s="262" t="s">
        <v>4157</v>
      </c>
      <c r="D494" s="263"/>
      <c r="E494" s="263"/>
      <c r="F494" s="264"/>
      <c r="G494" s="267"/>
    </row>
    <row r="495" spans="1:7" ht="30" customHeight="1" x14ac:dyDescent="0.2">
      <c r="A495" s="254">
        <v>2507</v>
      </c>
      <c r="B495" s="262" t="s">
        <v>6345</v>
      </c>
      <c r="C495" s="262" t="s">
        <v>4159</v>
      </c>
      <c r="D495" s="262" t="s">
        <v>7477</v>
      </c>
      <c r="E495" s="262" t="s">
        <v>4160</v>
      </c>
      <c r="F495" s="269" t="s">
        <v>565</v>
      </c>
      <c r="G495" s="269" t="s">
        <v>7405</v>
      </c>
    </row>
    <row r="496" spans="1:7" ht="30" customHeight="1" x14ac:dyDescent="0.2">
      <c r="A496" s="254">
        <v>2508</v>
      </c>
      <c r="B496" s="262" t="s">
        <v>6345</v>
      </c>
      <c r="C496" s="262" t="s">
        <v>4162</v>
      </c>
      <c r="D496" s="262" t="s">
        <v>7912</v>
      </c>
      <c r="E496" s="262" t="s">
        <v>4163</v>
      </c>
      <c r="F496" s="269" t="s">
        <v>565</v>
      </c>
      <c r="G496" s="269" t="s">
        <v>7906</v>
      </c>
    </row>
    <row r="497" spans="1:7" ht="30" customHeight="1" x14ac:dyDescent="0.2">
      <c r="A497" s="254">
        <v>2509</v>
      </c>
      <c r="B497" s="262" t="s">
        <v>6345</v>
      </c>
      <c r="C497" s="262" t="s">
        <v>4159</v>
      </c>
      <c r="D497" s="262" t="s">
        <v>7477</v>
      </c>
      <c r="E497" s="262" t="s">
        <v>4160</v>
      </c>
      <c r="F497" s="269" t="s">
        <v>565</v>
      </c>
      <c r="G497" s="269" t="s">
        <v>7405</v>
      </c>
    </row>
    <row r="498" spans="1:7" ht="30" customHeight="1" x14ac:dyDescent="0.2">
      <c r="A498" s="254">
        <v>2510</v>
      </c>
      <c r="B498" s="262" t="s">
        <v>6345</v>
      </c>
      <c r="C498" s="262" t="s">
        <v>4166</v>
      </c>
      <c r="D498" s="262" t="s">
        <v>7478</v>
      </c>
      <c r="E498" s="262" t="s">
        <v>4167</v>
      </c>
      <c r="F498" s="269" t="s">
        <v>565</v>
      </c>
      <c r="G498" s="269" t="s">
        <v>7405</v>
      </c>
    </row>
    <row r="499" spans="1:7" ht="30" customHeight="1" x14ac:dyDescent="0.2">
      <c r="A499" s="254">
        <v>2511</v>
      </c>
      <c r="B499" s="262" t="s">
        <v>6345</v>
      </c>
      <c r="C499" s="262" t="s">
        <v>4169</v>
      </c>
      <c r="D499" s="262" t="s">
        <v>7479</v>
      </c>
      <c r="E499" s="262" t="s">
        <v>4170</v>
      </c>
      <c r="F499" s="269" t="s">
        <v>565</v>
      </c>
      <c r="G499" s="269" t="s">
        <v>7405</v>
      </c>
    </row>
    <row r="500" spans="1:7" ht="30" customHeight="1" x14ac:dyDescent="0.2">
      <c r="A500" s="254">
        <v>2512</v>
      </c>
      <c r="B500" s="262" t="s">
        <v>6345</v>
      </c>
      <c r="C500" s="262" t="s">
        <v>4172</v>
      </c>
      <c r="D500" s="262" t="s">
        <v>7065</v>
      </c>
      <c r="E500" s="262" t="s">
        <v>4173</v>
      </c>
      <c r="F500" s="269" t="s">
        <v>84</v>
      </c>
      <c r="G500" s="269" t="s">
        <v>8890</v>
      </c>
    </row>
    <row r="501" spans="1:7" ht="30" customHeight="1" x14ac:dyDescent="0.2">
      <c r="A501" s="254">
        <v>2513</v>
      </c>
      <c r="B501" s="262" t="s">
        <v>6345</v>
      </c>
      <c r="C501" s="262" t="s">
        <v>4175</v>
      </c>
      <c r="D501" s="262" t="s">
        <v>8998</v>
      </c>
      <c r="E501" s="262" t="s">
        <v>4176</v>
      </c>
      <c r="F501" s="269" t="s">
        <v>84</v>
      </c>
      <c r="G501" s="269" t="s">
        <v>8890</v>
      </c>
    </row>
    <row r="502" spans="1:7" ht="30" customHeight="1" x14ac:dyDescent="0.2">
      <c r="A502" s="254">
        <v>2514</v>
      </c>
      <c r="B502" s="262" t="s">
        <v>6345</v>
      </c>
      <c r="C502" s="262" t="s">
        <v>4178</v>
      </c>
      <c r="D502" s="262" t="s">
        <v>8129</v>
      </c>
      <c r="E502" s="262" t="s">
        <v>4176</v>
      </c>
      <c r="F502" s="269" t="s">
        <v>565</v>
      </c>
      <c r="G502" s="269" t="s">
        <v>8076</v>
      </c>
    </row>
    <row r="503" spans="1:7" ht="30" customHeight="1" x14ac:dyDescent="0.2">
      <c r="A503" s="254">
        <v>2515</v>
      </c>
      <c r="B503" s="262" t="s">
        <v>6345</v>
      </c>
      <c r="C503" s="262" t="s">
        <v>4180</v>
      </c>
      <c r="D503" s="262" t="s">
        <v>7921</v>
      </c>
      <c r="E503" s="262" t="s">
        <v>4176</v>
      </c>
      <c r="F503" s="269" t="s">
        <v>565</v>
      </c>
      <c r="G503" s="269" t="s">
        <v>7906</v>
      </c>
    </row>
    <row r="504" spans="1:7" ht="30" customHeight="1" x14ac:dyDescent="0.2">
      <c r="A504" s="254">
        <v>2516</v>
      </c>
      <c r="B504" s="262" t="s">
        <v>6345</v>
      </c>
      <c r="C504" s="262" t="s">
        <v>6372</v>
      </c>
      <c r="D504" s="262" t="s">
        <v>9337</v>
      </c>
      <c r="E504" s="262" t="s">
        <v>4176</v>
      </c>
      <c r="F504" s="269" t="s">
        <v>565</v>
      </c>
      <c r="G504" s="269" t="s">
        <v>8984</v>
      </c>
    </row>
    <row r="505" spans="1:7" ht="30" customHeight="1" x14ac:dyDescent="0.2">
      <c r="A505" s="254">
        <v>2517</v>
      </c>
      <c r="B505" s="262" t="s">
        <v>6345</v>
      </c>
      <c r="C505" s="262" t="s">
        <v>6373</v>
      </c>
      <c r="D505" s="351" t="s">
        <v>7347</v>
      </c>
      <c r="E505" s="262" t="s">
        <v>4176</v>
      </c>
      <c r="F505" s="271" t="s">
        <v>6067</v>
      </c>
      <c r="G505" s="271" t="s">
        <v>8947</v>
      </c>
    </row>
    <row r="506" spans="1:7" ht="30" customHeight="1" x14ac:dyDescent="0.2">
      <c r="A506" s="254">
        <v>2518</v>
      </c>
      <c r="B506" s="262" t="s">
        <v>6345</v>
      </c>
      <c r="C506" s="262" t="s">
        <v>6374</v>
      </c>
      <c r="D506" s="351" t="s">
        <v>9114</v>
      </c>
      <c r="E506" s="262" t="s">
        <v>4176</v>
      </c>
      <c r="F506" s="271" t="s">
        <v>6067</v>
      </c>
      <c r="G506" s="271" t="s">
        <v>8947</v>
      </c>
    </row>
    <row r="507" spans="1:7" ht="30" customHeight="1" x14ac:dyDescent="0.2">
      <c r="A507" s="254">
        <v>2519</v>
      </c>
      <c r="B507" s="262" t="s">
        <v>6345</v>
      </c>
      <c r="C507" s="262" t="s">
        <v>6375</v>
      </c>
      <c r="D507" s="351" t="s">
        <v>9114</v>
      </c>
      <c r="E507" s="262" t="s">
        <v>4176</v>
      </c>
      <c r="F507" s="271" t="s">
        <v>6067</v>
      </c>
      <c r="G507" s="271" t="s">
        <v>8947</v>
      </c>
    </row>
    <row r="508" spans="1:7" ht="30" customHeight="1" x14ac:dyDescent="0.2">
      <c r="A508" s="254">
        <v>2520</v>
      </c>
      <c r="B508" s="262" t="s">
        <v>6345</v>
      </c>
      <c r="C508" s="262" t="s">
        <v>6376</v>
      </c>
      <c r="D508" s="262" t="s">
        <v>9338</v>
      </c>
      <c r="E508" s="262" t="s">
        <v>4176</v>
      </c>
      <c r="F508" s="269" t="s">
        <v>565</v>
      </c>
      <c r="G508" s="269" t="s">
        <v>8984</v>
      </c>
    </row>
    <row r="509" spans="1:7" ht="30" customHeight="1" x14ac:dyDescent="0.2">
      <c r="A509" s="317">
        <v>2521</v>
      </c>
      <c r="B509" s="263" t="s">
        <v>6345</v>
      </c>
      <c r="C509" s="262" t="s">
        <v>9988</v>
      </c>
      <c r="D509" s="263" t="s">
        <v>8130</v>
      </c>
      <c r="E509" s="262" t="s">
        <v>4182</v>
      </c>
      <c r="F509" s="264" t="s">
        <v>565</v>
      </c>
      <c r="G509" s="265" t="s">
        <v>8076</v>
      </c>
    </row>
    <row r="510" spans="1:7" ht="30" customHeight="1" x14ac:dyDescent="0.2">
      <c r="A510" s="317"/>
      <c r="B510" s="263"/>
      <c r="C510" s="262" t="s">
        <v>4183</v>
      </c>
      <c r="D510" s="263"/>
      <c r="E510" s="262" t="s">
        <v>4184</v>
      </c>
      <c r="F510" s="264"/>
      <c r="G510" s="266"/>
    </row>
    <row r="511" spans="1:7" ht="30" customHeight="1" x14ac:dyDescent="0.2">
      <c r="A511" s="317"/>
      <c r="B511" s="263"/>
      <c r="C511" s="262" t="s">
        <v>4185</v>
      </c>
      <c r="D511" s="263"/>
      <c r="E511" s="262" t="s">
        <v>4186</v>
      </c>
      <c r="F511" s="264"/>
      <c r="G511" s="266"/>
    </row>
    <row r="512" spans="1:7" ht="30" customHeight="1" x14ac:dyDescent="0.2">
      <c r="A512" s="317"/>
      <c r="B512" s="263"/>
      <c r="C512" s="262" t="s">
        <v>4187</v>
      </c>
      <c r="D512" s="263"/>
      <c r="E512" s="262"/>
      <c r="F512" s="264"/>
      <c r="G512" s="267"/>
    </row>
    <row r="513" spans="1:7" ht="30" customHeight="1" x14ac:dyDescent="0.2">
      <c r="A513" s="317">
        <v>2522</v>
      </c>
      <c r="B513" s="263" t="s">
        <v>6345</v>
      </c>
      <c r="C513" s="263" t="s">
        <v>4189</v>
      </c>
      <c r="D513" s="263" t="s">
        <v>7480</v>
      </c>
      <c r="E513" s="262" t="s">
        <v>4190</v>
      </c>
      <c r="F513" s="264" t="s">
        <v>565</v>
      </c>
      <c r="G513" s="265" t="s">
        <v>7405</v>
      </c>
    </row>
    <row r="514" spans="1:7" ht="30" customHeight="1" x14ac:dyDescent="0.2">
      <c r="A514" s="317"/>
      <c r="B514" s="263"/>
      <c r="C514" s="263"/>
      <c r="D514" s="263"/>
      <c r="E514" s="262" t="s">
        <v>4191</v>
      </c>
      <c r="F514" s="264"/>
      <c r="G514" s="267"/>
    </row>
    <row r="515" spans="1:7" ht="30" customHeight="1" x14ac:dyDescent="0.2">
      <c r="A515" s="254">
        <v>2523</v>
      </c>
      <c r="B515" s="262" t="s">
        <v>6345</v>
      </c>
      <c r="C515" s="262" t="s">
        <v>4193</v>
      </c>
      <c r="D515" s="262" t="s">
        <v>8131</v>
      </c>
      <c r="E515" s="262" t="s">
        <v>4194</v>
      </c>
      <c r="F515" s="269" t="s">
        <v>565</v>
      </c>
      <c r="G515" s="269" t="s">
        <v>8076</v>
      </c>
    </row>
    <row r="516" spans="1:7" ht="30" customHeight="1" x14ac:dyDescent="0.2">
      <c r="A516" s="254">
        <v>2524</v>
      </c>
      <c r="B516" s="262" t="s">
        <v>6345</v>
      </c>
      <c r="C516" s="262" t="s">
        <v>4196</v>
      </c>
      <c r="D516" s="262" t="s">
        <v>7481</v>
      </c>
      <c r="E516" s="262" t="s">
        <v>4197</v>
      </c>
      <c r="F516" s="269" t="s">
        <v>565</v>
      </c>
      <c r="G516" s="269" t="s">
        <v>7405</v>
      </c>
    </row>
    <row r="517" spans="1:7" ht="30" customHeight="1" x14ac:dyDescent="0.2">
      <c r="A517" s="254">
        <v>2525</v>
      </c>
      <c r="B517" s="262" t="s">
        <v>6345</v>
      </c>
      <c r="C517" s="262" t="s">
        <v>9989</v>
      </c>
      <c r="D517" s="262" t="s">
        <v>7624</v>
      </c>
      <c r="E517" s="262" t="s">
        <v>3445</v>
      </c>
      <c r="F517" s="269" t="s">
        <v>565</v>
      </c>
      <c r="G517" s="269" t="s">
        <v>7713</v>
      </c>
    </row>
    <row r="518" spans="1:7" ht="30" customHeight="1" x14ac:dyDescent="0.2">
      <c r="A518" s="254">
        <v>2526</v>
      </c>
      <c r="B518" s="262" t="s">
        <v>6345</v>
      </c>
      <c r="C518" s="262" t="s">
        <v>6377</v>
      </c>
      <c r="D518" s="262" t="s">
        <v>7482</v>
      </c>
      <c r="E518" s="262" t="s">
        <v>3445</v>
      </c>
      <c r="F518" s="269" t="s">
        <v>565</v>
      </c>
      <c r="G518" s="269" t="s">
        <v>7405</v>
      </c>
    </row>
    <row r="519" spans="1:7" ht="30" customHeight="1" x14ac:dyDescent="0.2">
      <c r="A519" s="254">
        <v>2527</v>
      </c>
      <c r="B519" s="262" t="s">
        <v>6345</v>
      </c>
      <c r="C519" s="262" t="s">
        <v>4202</v>
      </c>
      <c r="D519" s="262" t="s">
        <v>7483</v>
      </c>
      <c r="E519" s="262" t="s">
        <v>4203</v>
      </c>
      <c r="F519" s="269" t="s">
        <v>565</v>
      </c>
      <c r="G519" s="269" t="s">
        <v>7405</v>
      </c>
    </row>
    <row r="520" spans="1:7" ht="30" customHeight="1" x14ac:dyDescent="0.2">
      <c r="A520" s="254">
        <v>2528</v>
      </c>
      <c r="B520" s="262" t="s">
        <v>6345</v>
      </c>
      <c r="C520" s="262" t="s">
        <v>4205</v>
      </c>
      <c r="D520" s="262" t="s">
        <v>7484</v>
      </c>
      <c r="E520" s="262" t="s">
        <v>6378</v>
      </c>
      <c r="F520" s="269" t="s">
        <v>565</v>
      </c>
      <c r="G520" s="269" t="s">
        <v>7405</v>
      </c>
    </row>
    <row r="521" spans="1:7" ht="237" customHeight="1" x14ac:dyDescent="0.2">
      <c r="A521" s="254">
        <v>2529</v>
      </c>
      <c r="B521" s="262" t="s">
        <v>6345</v>
      </c>
      <c r="C521" s="262" t="s">
        <v>6379</v>
      </c>
      <c r="D521" s="262" t="s">
        <v>9141</v>
      </c>
      <c r="E521" s="262" t="s">
        <v>4208</v>
      </c>
      <c r="F521" s="269" t="s">
        <v>565</v>
      </c>
      <c r="G521" s="269" t="s">
        <v>9136</v>
      </c>
    </row>
    <row r="522" spans="1:7" ht="30" customHeight="1" x14ac:dyDescent="0.2">
      <c r="A522" s="317">
        <v>2530</v>
      </c>
      <c r="B522" s="263" t="s">
        <v>6345</v>
      </c>
      <c r="C522" s="262" t="s">
        <v>4212</v>
      </c>
      <c r="D522" s="263" t="s">
        <v>8132</v>
      </c>
      <c r="E522" s="263" t="s">
        <v>5694</v>
      </c>
      <c r="F522" s="264" t="s">
        <v>565</v>
      </c>
      <c r="G522" s="265" t="s">
        <v>8076</v>
      </c>
    </row>
    <row r="523" spans="1:7" ht="30" customHeight="1" x14ac:dyDescent="0.2">
      <c r="A523" s="317"/>
      <c r="B523" s="263"/>
      <c r="C523" s="262" t="s">
        <v>4213</v>
      </c>
      <c r="D523" s="263"/>
      <c r="E523" s="263"/>
      <c r="F523" s="264"/>
      <c r="G523" s="267"/>
    </row>
    <row r="524" spans="1:7" ht="30" customHeight="1" x14ac:dyDescent="0.2">
      <c r="A524" s="317">
        <v>2531</v>
      </c>
      <c r="B524" s="263" t="s">
        <v>6345</v>
      </c>
      <c r="C524" s="263" t="s">
        <v>6380</v>
      </c>
      <c r="D524" s="263" t="s">
        <v>9339</v>
      </c>
      <c r="E524" s="263" t="s">
        <v>6381</v>
      </c>
      <c r="F524" s="264" t="s">
        <v>565</v>
      </c>
      <c r="G524" s="265" t="s">
        <v>8984</v>
      </c>
    </row>
    <row r="525" spans="1:7" ht="30" customHeight="1" x14ac:dyDescent="0.2">
      <c r="A525" s="317"/>
      <c r="B525" s="263"/>
      <c r="C525" s="263"/>
      <c r="D525" s="263"/>
      <c r="E525" s="263"/>
      <c r="F525" s="264"/>
      <c r="G525" s="267"/>
    </row>
    <row r="526" spans="1:7" ht="30" customHeight="1" x14ac:dyDescent="0.2">
      <c r="A526" s="317">
        <v>2532</v>
      </c>
      <c r="B526" s="263" t="s">
        <v>6345</v>
      </c>
      <c r="C526" s="263" t="s">
        <v>6382</v>
      </c>
      <c r="D526" s="263" t="s">
        <v>7485</v>
      </c>
      <c r="E526" s="263" t="s">
        <v>6381</v>
      </c>
      <c r="F526" s="264" t="s">
        <v>565</v>
      </c>
      <c r="G526" s="265" t="s">
        <v>7405</v>
      </c>
    </row>
    <row r="527" spans="1:7" ht="30" customHeight="1" x14ac:dyDescent="0.2">
      <c r="A527" s="317"/>
      <c r="B527" s="263"/>
      <c r="C527" s="263"/>
      <c r="D527" s="263"/>
      <c r="E527" s="263"/>
      <c r="F527" s="264"/>
      <c r="G527" s="267"/>
    </row>
    <row r="528" spans="1:7" ht="30" customHeight="1" x14ac:dyDescent="0.2">
      <c r="A528" s="317">
        <v>2533</v>
      </c>
      <c r="B528" s="263" t="s">
        <v>6345</v>
      </c>
      <c r="C528" s="263" t="s">
        <v>6383</v>
      </c>
      <c r="D528" s="263" t="s">
        <v>7486</v>
      </c>
      <c r="E528" s="263" t="s">
        <v>6381</v>
      </c>
      <c r="F528" s="264" t="s">
        <v>565</v>
      </c>
      <c r="G528" s="265" t="s">
        <v>7405</v>
      </c>
    </row>
    <row r="529" spans="1:7" ht="30" customHeight="1" x14ac:dyDescent="0.2">
      <c r="A529" s="317"/>
      <c r="B529" s="263"/>
      <c r="C529" s="263"/>
      <c r="D529" s="263"/>
      <c r="E529" s="263"/>
      <c r="F529" s="264"/>
      <c r="G529" s="267"/>
    </row>
    <row r="530" spans="1:7" ht="30" customHeight="1" x14ac:dyDescent="0.2">
      <c r="A530" s="317">
        <v>2534</v>
      </c>
      <c r="B530" s="263" t="s">
        <v>6345</v>
      </c>
      <c r="C530" s="263" t="s">
        <v>6384</v>
      </c>
      <c r="D530" s="263" t="s">
        <v>9340</v>
      </c>
      <c r="E530" s="263" t="s">
        <v>6381</v>
      </c>
      <c r="F530" s="264" t="s">
        <v>565</v>
      </c>
      <c r="G530" s="265" t="s">
        <v>8984</v>
      </c>
    </row>
    <row r="531" spans="1:7" ht="30" customHeight="1" x14ac:dyDescent="0.2">
      <c r="A531" s="317"/>
      <c r="B531" s="263"/>
      <c r="C531" s="263"/>
      <c r="D531" s="263"/>
      <c r="E531" s="263"/>
      <c r="F531" s="264"/>
      <c r="G531" s="267"/>
    </row>
    <row r="532" spans="1:7" ht="30" customHeight="1" x14ac:dyDescent="0.2">
      <c r="A532" s="317">
        <v>2535</v>
      </c>
      <c r="B532" s="263" t="s">
        <v>6345</v>
      </c>
      <c r="C532" s="263" t="s">
        <v>6385</v>
      </c>
      <c r="D532" s="263" t="s">
        <v>7487</v>
      </c>
      <c r="E532" s="263" t="s">
        <v>6381</v>
      </c>
      <c r="F532" s="264" t="s">
        <v>565</v>
      </c>
      <c r="G532" s="265" t="s">
        <v>7405</v>
      </c>
    </row>
    <row r="533" spans="1:7" ht="30" customHeight="1" x14ac:dyDescent="0.2">
      <c r="A533" s="317"/>
      <c r="B533" s="263"/>
      <c r="C533" s="263"/>
      <c r="D533" s="263"/>
      <c r="E533" s="263"/>
      <c r="F533" s="264"/>
      <c r="G533" s="267"/>
    </row>
    <row r="534" spans="1:7" ht="30" customHeight="1" x14ac:dyDescent="0.2">
      <c r="A534" s="317">
        <v>2536</v>
      </c>
      <c r="B534" s="263" t="s">
        <v>6345</v>
      </c>
      <c r="C534" s="263" t="s">
        <v>6386</v>
      </c>
      <c r="D534" s="263" t="s">
        <v>8133</v>
      </c>
      <c r="E534" s="263" t="s">
        <v>6387</v>
      </c>
      <c r="F534" s="264" t="s">
        <v>565</v>
      </c>
      <c r="G534" s="265" t="s">
        <v>8076</v>
      </c>
    </row>
    <row r="535" spans="1:7" ht="30" customHeight="1" x14ac:dyDescent="0.2">
      <c r="A535" s="317"/>
      <c r="B535" s="263"/>
      <c r="C535" s="263"/>
      <c r="D535" s="263"/>
      <c r="E535" s="263"/>
      <c r="F535" s="264"/>
      <c r="G535" s="267"/>
    </row>
    <row r="536" spans="1:7" ht="30" customHeight="1" x14ac:dyDescent="0.2">
      <c r="A536" s="317">
        <v>2537</v>
      </c>
      <c r="B536" s="263" t="s">
        <v>6345</v>
      </c>
      <c r="C536" s="263" t="s">
        <v>6388</v>
      </c>
      <c r="D536" s="263" t="s">
        <v>8134</v>
      </c>
      <c r="E536" s="263" t="s">
        <v>6387</v>
      </c>
      <c r="F536" s="264" t="s">
        <v>565</v>
      </c>
      <c r="G536" s="265" t="s">
        <v>8076</v>
      </c>
    </row>
    <row r="537" spans="1:7" ht="30" customHeight="1" x14ac:dyDescent="0.2">
      <c r="A537" s="317"/>
      <c r="B537" s="263"/>
      <c r="C537" s="263"/>
      <c r="D537" s="263"/>
      <c r="E537" s="263"/>
      <c r="F537" s="264"/>
      <c r="G537" s="267"/>
    </row>
    <row r="538" spans="1:7" ht="30" customHeight="1" x14ac:dyDescent="0.2">
      <c r="A538" s="317">
        <v>2538</v>
      </c>
      <c r="B538" s="263" t="s">
        <v>6345</v>
      </c>
      <c r="C538" s="263" t="s">
        <v>6389</v>
      </c>
      <c r="D538" s="263" t="s">
        <v>8271</v>
      </c>
      <c r="E538" s="263" t="s">
        <v>6390</v>
      </c>
      <c r="F538" s="264" t="s">
        <v>565</v>
      </c>
      <c r="G538" s="265" t="s">
        <v>8257</v>
      </c>
    </row>
    <row r="539" spans="1:7" ht="30" customHeight="1" x14ac:dyDescent="0.2">
      <c r="A539" s="317"/>
      <c r="B539" s="263"/>
      <c r="C539" s="263"/>
      <c r="D539" s="263"/>
      <c r="E539" s="263"/>
      <c r="F539" s="264"/>
      <c r="G539" s="267"/>
    </row>
    <row r="540" spans="1:7" ht="30" customHeight="1" x14ac:dyDescent="0.2">
      <c r="A540" s="254">
        <v>2539</v>
      </c>
      <c r="B540" s="262" t="s">
        <v>6345</v>
      </c>
      <c r="C540" s="262" t="s">
        <v>6391</v>
      </c>
      <c r="D540" s="262" t="s">
        <v>7488</v>
      </c>
      <c r="E540" s="262" t="s">
        <v>6392</v>
      </c>
      <c r="F540" s="269" t="s">
        <v>565</v>
      </c>
      <c r="G540" s="269" t="s">
        <v>7405</v>
      </c>
    </row>
    <row r="541" spans="1:7" ht="30" customHeight="1" x14ac:dyDescent="0.2">
      <c r="A541" s="254">
        <v>2540</v>
      </c>
      <c r="B541" s="262" t="s">
        <v>6345</v>
      </c>
      <c r="C541" s="262" t="s">
        <v>4215</v>
      </c>
      <c r="D541" s="262" t="s">
        <v>7625</v>
      </c>
      <c r="E541" s="262" t="s">
        <v>6393</v>
      </c>
      <c r="F541" s="269" t="s">
        <v>565</v>
      </c>
      <c r="G541" s="269" t="s">
        <v>7713</v>
      </c>
    </row>
    <row r="542" spans="1:7" ht="30" customHeight="1" x14ac:dyDescent="0.2">
      <c r="A542" s="254">
        <v>2541</v>
      </c>
      <c r="B542" s="262" t="s">
        <v>6345</v>
      </c>
      <c r="C542" s="262" t="s">
        <v>4217</v>
      </c>
      <c r="D542" s="262" t="s">
        <v>7489</v>
      </c>
      <c r="E542" s="262" t="s">
        <v>847</v>
      </c>
      <c r="F542" s="269" t="s">
        <v>565</v>
      </c>
      <c r="G542" s="269" t="s">
        <v>7405</v>
      </c>
    </row>
    <row r="543" spans="1:7" ht="30" customHeight="1" x14ac:dyDescent="0.2">
      <c r="A543" s="254">
        <v>2542</v>
      </c>
      <c r="B543" s="262" t="s">
        <v>6345</v>
      </c>
      <c r="C543" s="262" t="s">
        <v>4219</v>
      </c>
      <c r="D543" s="262" t="s">
        <v>7490</v>
      </c>
      <c r="E543" s="262" t="s">
        <v>6394</v>
      </c>
      <c r="F543" s="269" t="s">
        <v>565</v>
      </c>
      <c r="G543" s="269" t="s">
        <v>7405</v>
      </c>
    </row>
    <row r="544" spans="1:7" ht="30" customHeight="1" x14ac:dyDescent="0.2">
      <c r="A544" s="254">
        <v>2543</v>
      </c>
      <c r="B544" s="262" t="s">
        <v>6345</v>
      </c>
      <c r="C544" s="262" t="s">
        <v>4221</v>
      </c>
      <c r="D544" s="262" t="s">
        <v>7491</v>
      </c>
      <c r="E544" s="262" t="s">
        <v>6395</v>
      </c>
      <c r="F544" s="269" t="s">
        <v>565</v>
      </c>
      <c r="G544" s="269" t="s">
        <v>7405</v>
      </c>
    </row>
    <row r="545" spans="1:7" ht="30" customHeight="1" x14ac:dyDescent="0.2">
      <c r="A545" s="254">
        <v>2544</v>
      </c>
      <c r="B545" s="262" t="s">
        <v>6345</v>
      </c>
      <c r="C545" s="262" t="s">
        <v>9990</v>
      </c>
      <c r="D545" s="262" t="s">
        <v>9341</v>
      </c>
      <c r="E545" s="262" t="s">
        <v>6396</v>
      </c>
      <c r="F545" s="269" t="s">
        <v>565</v>
      </c>
      <c r="G545" s="269" t="s">
        <v>8984</v>
      </c>
    </row>
    <row r="546" spans="1:7" ht="30" customHeight="1" x14ac:dyDescent="0.2">
      <c r="A546" s="254">
        <v>2545</v>
      </c>
      <c r="B546" s="262" t="s">
        <v>6345</v>
      </c>
      <c r="C546" s="262" t="s">
        <v>4224</v>
      </c>
      <c r="D546" s="262" t="s">
        <v>874</v>
      </c>
      <c r="E546" s="262" t="s">
        <v>4225</v>
      </c>
      <c r="F546" s="269" t="s">
        <v>565</v>
      </c>
      <c r="G546" s="269" t="s">
        <v>7405</v>
      </c>
    </row>
    <row r="547" spans="1:7" ht="30" customHeight="1" x14ac:dyDescent="0.2">
      <c r="A547" s="254">
        <v>2546</v>
      </c>
      <c r="B547" s="262" t="s">
        <v>6345</v>
      </c>
      <c r="C547" s="262" t="s">
        <v>4227</v>
      </c>
      <c r="D547" s="262" t="s">
        <v>7492</v>
      </c>
      <c r="E547" s="262" t="s">
        <v>4225</v>
      </c>
      <c r="F547" s="269" t="s">
        <v>565</v>
      </c>
      <c r="G547" s="269" t="s">
        <v>7405</v>
      </c>
    </row>
    <row r="548" spans="1:7" ht="30" customHeight="1" x14ac:dyDescent="0.2">
      <c r="A548" s="254">
        <v>2547</v>
      </c>
      <c r="B548" s="262" t="s">
        <v>6345</v>
      </c>
      <c r="C548" s="262" t="s">
        <v>4229</v>
      </c>
      <c r="D548" s="262" t="s">
        <v>9342</v>
      </c>
      <c r="E548" s="262" t="s">
        <v>6397</v>
      </c>
      <c r="F548" s="269" t="s">
        <v>565</v>
      </c>
      <c r="G548" s="269" t="s">
        <v>8984</v>
      </c>
    </row>
    <row r="549" spans="1:7" ht="30" customHeight="1" x14ac:dyDescent="0.2">
      <c r="A549" s="317">
        <v>2548</v>
      </c>
      <c r="B549" s="263" t="s">
        <v>6345</v>
      </c>
      <c r="C549" s="262" t="s">
        <v>4231</v>
      </c>
      <c r="D549" s="263" t="s">
        <v>7626</v>
      </c>
      <c r="E549" s="263" t="s">
        <v>6398</v>
      </c>
      <c r="F549" s="264" t="s">
        <v>565</v>
      </c>
      <c r="G549" s="265" t="s">
        <v>7713</v>
      </c>
    </row>
    <row r="550" spans="1:7" ht="30" customHeight="1" x14ac:dyDescent="0.2">
      <c r="A550" s="317"/>
      <c r="B550" s="263"/>
      <c r="C550" s="357" t="s">
        <v>4232</v>
      </c>
      <c r="D550" s="263"/>
      <c r="E550" s="263"/>
      <c r="F550" s="264"/>
      <c r="G550" s="267"/>
    </row>
    <row r="551" spans="1:7" ht="30" customHeight="1" x14ac:dyDescent="0.2">
      <c r="A551" s="317">
        <v>2549</v>
      </c>
      <c r="B551" s="263" t="s">
        <v>6345</v>
      </c>
      <c r="C551" s="262" t="s">
        <v>9991</v>
      </c>
      <c r="D551" s="263" t="s">
        <v>7627</v>
      </c>
      <c r="E551" s="263" t="s">
        <v>6399</v>
      </c>
      <c r="F551" s="264" t="s">
        <v>565</v>
      </c>
      <c r="G551" s="265" t="s">
        <v>7713</v>
      </c>
    </row>
    <row r="552" spans="1:7" ht="30" customHeight="1" x14ac:dyDescent="0.2">
      <c r="A552" s="317"/>
      <c r="B552" s="263"/>
      <c r="C552" s="262" t="s">
        <v>4234</v>
      </c>
      <c r="D552" s="263"/>
      <c r="E552" s="263"/>
      <c r="F552" s="264"/>
      <c r="G552" s="267"/>
    </row>
    <row r="553" spans="1:7" ht="30" customHeight="1" x14ac:dyDescent="0.2">
      <c r="A553" s="254">
        <v>2550</v>
      </c>
      <c r="B553" s="262" t="s">
        <v>6345</v>
      </c>
      <c r="C553" s="262" t="s">
        <v>4236</v>
      </c>
      <c r="D553" s="262" t="s">
        <v>7493</v>
      </c>
      <c r="E553" s="262" t="s">
        <v>6400</v>
      </c>
      <c r="F553" s="269" t="s">
        <v>565</v>
      </c>
      <c r="G553" s="269" t="s">
        <v>7405</v>
      </c>
    </row>
    <row r="554" spans="1:7" ht="30" customHeight="1" x14ac:dyDescent="0.2">
      <c r="A554" s="254">
        <v>2551</v>
      </c>
      <c r="B554" s="262" t="s">
        <v>6345</v>
      </c>
      <c r="C554" s="262" t="s">
        <v>6401</v>
      </c>
      <c r="D554" s="262" t="s">
        <v>7494</v>
      </c>
      <c r="E554" s="262" t="s">
        <v>6402</v>
      </c>
      <c r="F554" s="269" t="s">
        <v>565</v>
      </c>
      <c r="G554" s="269" t="s">
        <v>7405</v>
      </c>
    </row>
    <row r="555" spans="1:7" ht="30" customHeight="1" x14ac:dyDescent="0.2">
      <c r="A555" s="254">
        <v>2552</v>
      </c>
      <c r="B555" s="262" t="s">
        <v>6345</v>
      </c>
      <c r="C555" s="262" t="s">
        <v>9992</v>
      </c>
      <c r="D555" s="262" t="s">
        <v>7628</v>
      </c>
      <c r="E555" s="262" t="s">
        <v>4238</v>
      </c>
      <c r="F555" s="269" t="s">
        <v>565</v>
      </c>
      <c r="G555" s="269" t="s">
        <v>7713</v>
      </c>
    </row>
    <row r="556" spans="1:7" ht="30" customHeight="1" x14ac:dyDescent="0.2">
      <c r="A556" s="317">
        <v>2553</v>
      </c>
      <c r="B556" s="263" t="s">
        <v>6345</v>
      </c>
      <c r="C556" s="262" t="s">
        <v>9993</v>
      </c>
      <c r="D556" s="263" t="s">
        <v>7495</v>
      </c>
      <c r="E556" s="263" t="s">
        <v>2311</v>
      </c>
      <c r="F556" s="264" t="s">
        <v>565</v>
      </c>
      <c r="G556" s="265" t="s">
        <v>7405</v>
      </c>
    </row>
    <row r="557" spans="1:7" ht="30" customHeight="1" x14ac:dyDescent="0.2">
      <c r="A557" s="317"/>
      <c r="B557" s="263"/>
      <c r="C557" s="262" t="s">
        <v>4240</v>
      </c>
      <c r="D557" s="263"/>
      <c r="E557" s="263"/>
      <c r="F557" s="264"/>
      <c r="G557" s="267"/>
    </row>
    <row r="558" spans="1:7" ht="30" customHeight="1" x14ac:dyDescent="0.2">
      <c r="A558" s="254">
        <v>2554</v>
      </c>
      <c r="B558" s="262" t="s">
        <v>6345</v>
      </c>
      <c r="C558" s="262" t="s">
        <v>4242</v>
      </c>
      <c r="D558" s="262" t="s">
        <v>7496</v>
      </c>
      <c r="E558" s="262" t="s">
        <v>2311</v>
      </c>
      <c r="F558" s="269" t="s">
        <v>565</v>
      </c>
      <c r="G558" s="269" t="s">
        <v>7405</v>
      </c>
    </row>
    <row r="559" spans="1:7" ht="30" customHeight="1" x14ac:dyDescent="0.2">
      <c r="A559" s="254">
        <v>2556</v>
      </c>
      <c r="B559" s="262" t="s">
        <v>6345</v>
      </c>
      <c r="C559" s="262" t="s">
        <v>6403</v>
      </c>
      <c r="D559" s="262" t="s">
        <v>7497</v>
      </c>
      <c r="E559" s="262" t="s">
        <v>6404</v>
      </c>
      <c r="F559" s="269" t="s">
        <v>565</v>
      </c>
      <c r="G559" s="269" t="s">
        <v>7405</v>
      </c>
    </row>
    <row r="560" spans="1:7" ht="30" customHeight="1" x14ac:dyDescent="0.2">
      <c r="A560" s="254">
        <v>2557</v>
      </c>
      <c r="B560" s="262" t="s">
        <v>6345</v>
      </c>
      <c r="C560" s="262" t="s">
        <v>6405</v>
      </c>
      <c r="D560" s="262" t="s">
        <v>7498</v>
      </c>
      <c r="E560" s="262" t="s">
        <v>6406</v>
      </c>
      <c r="F560" s="269" t="s">
        <v>565</v>
      </c>
      <c r="G560" s="269" t="s">
        <v>7405</v>
      </c>
    </row>
    <row r="561" spans="1:7" ht="30" customHeight="1" x14ac:dyDescent="0.2">
      <c r="A561" s="254">
        <v>2558</v>
      </c>
      <c r="B561" s="262" t="s">
        <v>6345</v>
      </c>
      <c r="C561" s="262" t="s">
        <v>6407</v>
      </c>
      <c r="D561" s="262" t="s">
        <v>7499</v>
      </c>
      <c r="E561" s="262" t="s">
        <v>6408</v>
      </c>
      <c r="F561" s="269" t="s">
        <v>565</v>
      </c>
      <c r="G561" s="269" t="s">
        <v>7405</v>
      </c>
    </row>
    <row r="562" spans="1:7" ht="30" customHeight="1" x14ac:dyDescent="0.2">
      <c r="A562" s="317">
        <v>2559</v>
      </c>
      <c r="B562" s="263" t="s">
        <v>6345</v>
      </c>
      <c r="C562" s="262" t="s">
        <v>9994</v>
      </c>
      <c r="D562" s="263" t="s">
        <v>7500</v>
      </c>
      <c r="E562" s="263" t="s">
        <v>6409</v>
      </c>
      <c r="F562" s="264" t="s">
        <v>565</v>
      </c>
      <c r="G562" s="265" t="s">
        <v>7405</v>
      </c>
    </row>
    <row r="563" spans="1:7" ht="30" customHeight="1" x14ac:dyDescent="0.2">
      <c r="A563" s="317"/>
      <c r="B563" s="263"/>
      <c r="C563" s="262" t="s">
        <v>9995</v>
      </c>
      <c r="D563" s="263"/>
      <c r="E563" s="263"/>
      <c r="F563" s="264"/>
      <c r="G563" s="267"/>
    </row>
    <row r="564" spans="1:7" ht="30" customHeight="1" x14ac:dyDescent="0.2">
      <c r="A564" s="317">
        <v>2560</v>
      </c>
      <c r="B564" s="263" t="s">
        <v>6345</v>
      </c>
      <c r="C564" s="262" t="s">
        <v>9996</v>
      </c>
      <c r="D564" s="263" t="s">
        <v>7501</v>
      </c>
      <c r="E564" s="263" t="s">
        <v>4247</v>
      </c>
      <c r="F564" s="264" t="s">
        <v>565</v>
      </c>
      <c r="G564" s="265" t="s">
        <v>7405</v>
      </c>
    </row>
    <row r="565" spans="1:7" ht="30" customHeight="1" x14ac:dyDescent="0.2">
      <c r="A565" s="317"/>
      <c r="B565" s="263"/>
      <c r="C565" s="262" t="s">
        <v>9997</v>
      </c>
      <c r="D565" s="263"/>
      <c r="E565" s="263"/>
      <c r="F565" s="264"/>
      <c r="G565" s="267"/>
    </row>
    <row r="566" spans="1:7" ht="30" customHeight="1" x14ac:dyDescent="0.2">
      <c r="A566" s="317">
        <v>2561</v>
      </c>
      <c r="B566" s="263" t="s">
        <v>6345</v>
      </c>
      <c r="C566" s="262" t="s">
        <v>9998</v>
      </c>
      <c r="D566" s="263" t="s">
        <v>7501</v>
      </c>
      <c r="E566" s="263" t="s">
        <v>4249</v>
      </c>
      <c r="F566" s="264" t="s">
        <v>565</v>
      </c>
      <c r="G566" s="265" t="s">
        <v>7405</v>
      </c>
    </row>
    <row r="567" spans="1:7" ht="30" customHeight="1" x14ac:dyDescent="0.2">
      <c r="A567" s="317"/>
      <c r="B567" s="263"/>
      <c r="C567" s="262" t="s">
        <v>9999</v>
      </c>
      <c r="D567" s="263"/>
      <c r="E567" s="263"/>
      <c r="F567" s="264"/>
      <c r="G567" s="267"/>
    </row>
    <row r="568" spans="1:7" ht="30" customHeight="1" x14ac:dyDescent="0.2">
      <c r="A568" s="254">
        <v>2562</v>
      </c>
      <c r="B568" s="262" t="s">
        <v>6345</v>
      </c>
      <c r="C568" s="262" t="s">
        <v>10000</v>
      </c>
      <c r="D568" s="262" t="s">
        <v>7502</v>
      </c>
      <c r="E568" s="262" t="s">
        <v>4252</v>
      </c>
      <c r="F568" s="269" t="s">
        <v>565</v>
      </c>
      <c r="G568" s="269" t="s">
        <v>7405</v>
      </c>
    </row>
    <row r="569" spans="1:7" ht="30" customHeight="1" x14ac:dyDescent="0.2">
      <c r="A569" s="254">
        <v>2563</v>
      </c>
      <c r="B569" s="262" t="s">
        <v>6345</v>
      </c>
      <c r="C569" s="262" t="s">
        <v>4254</v>
      </c>
      <c r="D569" s="262" t="s">
        <v>8135</v>
      </c>
      <c r="E569" s="262" t="s">
        <v>4256</v>
      </c>
      <c r="F569" s="269" t="s">
        <v>565</v>
      </c>
      <c r="G569" s="269" t="s">
        <v>8076</v>
      </c>
    </row>
    <row r="570" spans="1:7" ht="30" customHeight="1" x14ac:dyDescent="0.2">
      <c r="A570" s="317">
        <v>2564</v>
      </c>
      <c r="B570" s="263" t="s">
        <v>6345</v>
      </c>
      <c r="C570" s="262" t="s">
        <v>10001</v>
      </c>
      <c r="D570" s="263" t="s">
        <v>7503</v>
      </c>
      <c r="E570" s="263" t="s">
        <v>4259</v>
      </c>
      <c r="F570" s="264" t="s">
        <v>565</v>
      </c>
      <c r="G570" s="265" t="s">
        <v>7405</v>
      </c>
    </row>
    <row r="571" spans="1:7" ht="30" customHeight="1" x14ac:dyDescent="0.2">
      <c r="A571" s="317"/>
      <c r="B571" s="263"/>
      <c r="C571" s="262" t="s">
        <v>4260</v>
      </c>
      <c r="D571" s="263"/>
      <c r="E571" s="263"/>
      <c r="F571" s="264"/>
      <c r="G571" s="267"/>
    </row>
    <row r="572" spans="1:7" ht="30" customHeight="1" x14ac:dyDescent="0.2">
      <c r="A572" s="254">
        <v>2566</v>
      </c>
      <c r="B572" s="262" t="s">
        <v>6345</v>
      </c>
      <c r="C572" s="262" t="s">
        <v>6410</v>
      </c>
      <c r="D572" s="262" t="s">
        <v>7504</v>
      </c>
      <c r="E572" s="262" t="s">
        <v>4256</v>
      </c>
      <c r="F572" s="269" t="s">
        <v>565</v>
      </c>
      <c r="G572" s="269" t="s">
        <v>7405</v>
      </c>
    </row>
    <row r="573" spans="1:7" ht="30" customHeight="1" x14ac:dyDescent="0.2">
      <c r="A573" s="254">
        <v>2567</v>
      </c>
      <c r="B573" s="262" t="s">
        <v>6345</v>
      </c>
      <c r="C573" s="262" t="s">
        <v>4262</v>
      </c>
      <c r="D573" s="262" t="s">
        <v>7922</v>
      </c>
      <c r="E573" s="262" t="s">
        <v>4263</v>
      </c>
      <c r="F573" s="269" t="s">
        <v>565</v>
      </c>
      <c r="G573" s="269" t="s">
        <v>7906</v>
      </c>
    </row>
    <row r="574" spans="1:7" ht="30" customHeight="1" x14ac:dyDescent="0.2">
      <c r="A574" s="254">
        <v>2568</v>
      </c>
      <c r="B574" s="262" t="s">
        <v>6345</v>
      </c>
      <c r="C574" s="262" t="s">
        <v>4265</v>
      </c>
      <c r="D574" s="262" t="s">
        <v>7923</v>
      </c>
      <c r="E574" s="262" t="s">
        <v>4263</v>
      </c>
      <c r="F574" s="269" t="s">
        <v>565</v>
      </c>
      <c r="G574" s="269" t="s">
        <v>7906</v>
      </c>
    </row>
    <row r="575" spans="1:7" ht="30" customHeight="1" x14ac:dyDescent="0.2">
      <c r="A575" s="254">
        <v>2569</v>
      </c>
      <c r="B575" s="262" t="s">
        <v>6345</v>
      </c>
      <c r="C575" s="262" t="s">
        <v>4267</v>
      </c>
      <c r="D575" s="262" t="s">
        <v>9343</v>
      </c>
      <c r="E575" s="262" t="s">
        <v>4263</v>
      </c>
      <c r="F575" s="269" t="s">
        <v>565</v>
      </c>
      <c r="G575" s="269" t="s">
        <v>8984</v>
      </c>
    </row>
    <row r="576" spans="1:7" ht="30" customHeight="1" x14ac:dyDescent="0.2">
      <c r="A576" s="254">
        <v>2570</v>
      </c>
      <c r="B576" s="262" t="s">
        <v>6345</v>
      </c>
      <c r="C576" s="262" t="s">
        <v>4269</v>
      </c>
      <c r="D576" s="262" t="s">
        <v>9344</v>
      </c>
      <c r="E576" s="262" t="s">
        <v>4263</v>
      </c>
      <c r="F576" s="269" t="s">
        <v>565</v>
      </c>
      <c r="G576" s="269" t="s">
        <v>8984</v>
      </c>
    </row>
    <row r="577" spans="1:7" ht="30" customHeight="1" x14ac:dyDescent="0.2">
      <c r="A577" s="254">
        <v>2571</v>
      </c>
      <c r="B577" s="262" t="s">
        <v>6345</v>
      </c>
      <c r="C577" s="262" t="s">
        <v>4271</v>
      </c>
      <c r="D577" s="262" t="s">
        <v>7924</v>
      </c>
      <c r="E577" s="262" t="s">
        <v>4263</v>
      </c>
      <c r="F577" s="269" t="s">
        <v>565</v>
      </c>
      <c r="G577" s="269" t="s">
        <v>7906</v>
      </c>
    </row>
    <row r="578" spans="1:7" ht="30" customHeight="1" x14ac:dyDescent="0.2">
      <c r="A578" s="254">
        <v>2572</v>
      </c>
      <c r="B578" s="262" t="s">
        <v>6345</v>
      </c>
      <c r="C578" s="262" t="s">
        <v>4273</v>
      </c>
      <c r="D578" s="262" t="s">
        <v>8136</v>
      </c>
      <c r="E578" s="262" t="s">
        <v>4263</v>
      </c>
      <c r="F578" s="269" t="s">
        <v>565</v>
      </c>
      <c r="G578" s="269" t="s">
        <v>8076</v>
      </c>
    </row>
    <row r="579" spans="1:7" ht="30" customHeight="1" x14ac:dyDescent="0.2">
      <c r="A579" s="254">
        <v>2573</v>
      </c>
      <c r="B579" s="262" t="s">
        <v>6345</v>
      </c>
      <c r="C579" s="262" t="s">
        <v>4275</v>
      </c>
      <c r="D579" s="262" t="s">
        <v>7925</v>
      </c>
      <c r="E579" s="262" t="s">
        <v>4263</v>
      </c>
      <c r="F579" s="269" t="s">
        <v>565</v>
      </c>
      <c r="G579" s="269" t="s">
        <v>7906</v>
      </c>
    </row>
    <row r="580" spans="1:7" ht="30" customHeight="1" x14ac:dyDescent="0.2">
      <c r="A580" s="254">
        <v>2574</v>
      </c>
      <c r="B580" s="262" t="s">
        <v>6345</v>
      </c>
      <c r="C580" s="358" t="s">
        <v>10002</v>
      </c>
      <c r="D580" s="262" t="s">
        <v>7926</v>
      </c>
      <c r="E580" s="262" t="s">
        <v>4263</v>
      </c>
      <c r="F580" s="269" t="s">
        <v>565</v>
      </c>
      <c r="G580" s="269" t="s">
        <v>7906</v>
      </c>
    </row>
    <row r="581" spans="1:7" ht="30" customHeight="1" x14ac:dyDescent="0.2">
      <c r="A581" s="254">
        <v>2575</v>
      </c>
      <c r="B581" s="262" t="s">
        <v>6345</v>
      </c>
      <c r="C581" s="358" t="s">
        <v>10003</v>
      </c>
      <c r="D581" s="262" t="s">
        <v>7927</v>
      </c>
      <c r="E581" s="262" t="s">
        <v>4263</v>
      </c>
      <c r="F581" s="269" t="s">
        <v>565</v>
      </c>
      <c r="G581" s="269" t="s">
        <v>7906</v>
      </c>
    </row>
    <row r="582" spans="1:7" ht="30" customHeight="1" x14ac:dyDescent="0.2">
      <c r="A582" s="254">
        <v>2576</v>
      </c>
      <c r="B582" s="262" t="s">
        <v>6345</v>
      </c>
      <c r="C582" s="358" t="s">
        <v>10004</v>
      </c>
      <c r="D582" s="262" t="s">
        <v>8272</v>
      </c>
      <c r="E582" s="262" t="s">
        <v>4263</v>
      </c>
      <c r="F582" s="269" t="s">
        <v>565</v>
      </c>
      <c r="G582" s="269" t="s">
        <v>8257</v>
      </c>
    </row>
    <row r="583" spans="1:7" ht="30" customHeight="1" x14ac:dyDescent="0.2">
      <c r="A583" s="254">
        <v>2577</v>
      </c>
      <c r="B583" s="262" t="s">
        <v>6345</v>
      </c>
      <c r="C583" s="262" t="s">
        <v>4281</v>
      </c>
      <c r="D583" s="253" t="s">
        <v>7928</v>
      </c>
      <c r="E583" s="262" t="s">
        <v>4263</v>
      </c>
      <c r="F583" s="269" t="s">
        <v>565</v>
      </c>
      <c r="G583" s="269" t="s">
        <v>7906</v>
      </c>
    </row>
    <row r="584" spans="1:7" ht="30" customHeight="1" x14ac:dyDescent="0.2">
      <c r="A584" s="254">
        <v>2578</v>
      </c>
      <c r="B584" s="262" t="s">
        <v>6345</v>
      </c>
      <c r="C584" s="262" t="s">
        <v>4283</v>
      </c>
      <c r="D584" s="262" t="s">
        <v>7505</v>
      </c>
      <c r="E584" s="262" t="s">
        <v>4285</v>
      </c>
      <c r="F584" s="269" t="s">
        <v>565</v>
      </c>
      <c r="G584" s="269" t="s">
        <v>7405</v>
      </c>
    </row>
    <row r="585" spans="1:7" ht="30" customHeight="1" x14ac:dyDescent="0.2">
      <c r="A585" s="254">
        <v>2579</v>
      </c>
      <c r="B585" s="262" t="s">
        <v>6345</v>
      </c>
      <c r="C585" s="262" t="s">
        <v>4287</v>
      </c>
      <c r="D585" s="262" t="s">
        <v>7506</v>
      </c>
      <c r="E585" s="262" t="s">
        <v>4285</v>
      </c>
      <c r="F585" s="269" t="s">
        <v>565</v>
      </c>
      <c r="G585" s="269" t="s">
        <v>7405</v>
      </c>
    </row>
    <row r="586" spans="1:7" ht="30" customHeight="1" x14ac:dyDescent="0.2">
      <c r="A586" s="254">
        <v>2580</v>
      </c>
      <c r="B586" s="262" t="s">
        <v>6345</v>
      </c>
      <c r="C586" s="262" t="s">
        <v>4289</v>
      </c>
      <c r="D586" s="262" t="s">
        <v>7507</v>
      </c>
      <c r="E586" s="262" t="s">
        <v>4285</v>
      </c>
      <c r="F586" s="269" t="s">
        <v>565</v>
      </c>
      <c r="G586" s="269" t="s">
        <v>7405</v>
      </c>
    </row>
    <row r="587" spans="1:7" ht="30" customHeight="1" x14ac:dyDescent="0.2">
      <c r="A587" s="254">
        <v>2581</v>
      </c>
      <c r="B587" s="262" t="s">
        <v>6411</v>
      </c>
      <c r="C587" s="262" t="s">
        <v>4292</v>
      </c>
      <c r="D587" s="262" t="s">
        <v>8137</v>
      </c>
      <c r="E587" s="262" t="s">
        <v>4285</v>
      </c>
      <c r="F587" s="269" t="s">
        <v>565</v>
      </c>
      <c r="G587" s="269" t="s">
        <v>8076</v>
      </c>
    </row>
    <row r="588" spans="1:7" ht="30" customHeight="1" x14ac:dyDescent="0.2">
      <c r="A588" s="254">
        <v>2582</v>
      </c>
      <c r="B588" s="262" t="s">
        <v>6412</v>
      </c>
      <c r="C588" s="262" t="s">
        <v>6413</v>
      </c>
      <c r="D588" s="351" t="s">
        <v>9111</v>
      </c>
      <c r="E588" s="262" t="s">
        <v>4285</v>
      </c>
      <c r="F588" s="271" t="s">
        <v>6067</v>
      </c>
      <c r="G588" s="271" t="s">
        <v>8947</v>
      </c>
    </row>
    <row r="589" spans="1:7" ht="30" customHeight="1" x14ac:dyDescent="0.2">
      <c r="A589" s="254">
        <v>2583</v>
      </c>
      <c r="B589" s="262" t="s">
        <v>6345</v>
      </c>
      <c r="C589" s="262" t="s">
        <v>6414</v>
      </c>
      <c r="D589" s="351" t="s">
        <v>9115</v>
      </c>
      <c r="E589" s="262" t="s">
        <v>4285</v>
      </c>
      <c r="F589" s="271" t="s">
        <v>6067</v>
      </c>
      <c r="G589" s="271" t="s">
        <v>8947</v>
      </c>
    </row>
    <row r="590" spans="1:7" ht="30" customHeight="1" x14ac:dyDescent="0.2">
      <c r="A590" s="254">
        <v>2584</v>
      </c>
      <c r="B590" s="262" t="s">
        <v>6345</v>
      </c>
      <c r="C590" s="262" t="s">
        <v>6415</v>
      </c>
      <c r="D590" s="262" t="s">
        <v>7508</v>
      </c>
      <c r="E590" s="262" t="s">
        <v>4285</v>
      </c>
      <c r="F590" s="269" t="s">
        <v>565</v>
      </c>
      <c r="G590" s="269" t="s">
        <v>7405</v>
      </c>
    </row>
    <row r="591" spans="1:7" ht="30" customHeight="1" x14ac:dyDescent="0.2">
      <c r="A591" s="316">
        <v>2585</v>
      </c>
      <c r="B591" s="262" t="s">
        <v>6416</v>
      </c>
      <c r="C591" s="262" t="s">
        <v>6417</v>
      </c>
      <c r="D591" s="262" t="s">
        <v>7380</v>
      </c>
      <c r="E591" s="262" t="s">
        <v>6418</v>
      </c>
      <c r="F591" s="269" t="s">
        <v>6046</v>
      </c>
      <c r="G591" s="269" t="s">
        <v>7364</v>
      </c>
    </row>
    <row r="592" spans="1:7" ht="30" customHeight="1" x14ac:dyDescent="0.2">
      <c r="A592" s="316">
        <v>2586</v>
      </c>
      <c r="B592" s="262" t="s">
        <v>6416</v>
      </c>
      <c r="C592" s="262" t="s">
        <v>6419</v>
      </c>
      <c r="D592" s="262" t="s">
        <v>8247</v>
      </c>
      <c r="E592" s="262" t="s">
        <v>6420</v>
      </c>
      <c r="F592" s="269" t="s">
        <v>565</v>
      </c>
      <c r="G592" s="269" t="s">
        <v>8234</v>
      </c>
    </row>
    <row r="593" spans="1:7" ht="30" customHeight="1" x14ac:dyDescent="0.2">
      <c r="A593" s="254">
        <v>2587</v>
      </c>
      <c r="B593" s="262" t="s">
        <v>6416</v>
      </c>
      <c r="C593" s="262" t="s">
        <v>6421</v>
      </c>
      <c r="D593" s="262" t="s">
        <v>7381</v>
      </c>
      <c r="E593" s="262" t="s">
        <v>6422</v>
      </c>
      <c r="F593" s="269" t="s">
        <v>322</v>
      </c>
      <c r="G593" s="269" t="s">
        <v>7364</v>
      </c>
    </row>
    <row r="594" spans="1:7" ht="30" customHeight="1" x14ac:dyDescent="0.2">
      <c r="A594" s="316">
        <v>2588</v>
      </c>
      <c r="B594" s="262" t="s">
        <v>6416</v>
      </c>
      <c r="C594" s="262" t="s">
        <v>6423</v>
      </c>
      <c r="D594" s="262" t="s">
        <v>8837</v>
      </c>
      <c r="E594" s="262" t="s">
        <v>6424</v>
      </c>
      <c r="F594" s="269" t="s">
        <v>74</v>
      </c>
      <c r="G594" s="269" t="s">
        <v>8668</v>
      </c>
    </row>
    <row r="595" spans="1:7" ht="30" customHeight="1" x14ac:dyDescent="0.2">
      <c r="A595" s="316">
        <v>2589</v>
      </c>
      <c r="B595" s="262" t="s">
        <v>6416</v>
      </c>
      <c r="C595" s="262" t="s">
        <v>6425</v>
      </c>
      <c r="D595" s="262" t="s">
        <v>8837</v>
      </c>
      <c r="E595" s="262" t="s">
        <v>6426</v>
      </c>
      <c r="F595" s="269" t="s">
        <v>74</v>
      </c>
      <c r="G595" s="269" t="s">
        <v>8668</v>
      </c>
    </row>
    <row r="596" spans="1:7" ht="30" customHeight="1" x14ac:dyDescent="0.2">
      <c r="A596" s="254">
        <v>2590</v>
      </c>
      <c r="B596" s="262" t="s">
        <v>6416</v>
      </c>
      <c r="C596" s="262" t="s">
        <v>6427</v>
      </c>
      <c r="D596" s="262" t="s">
        <v>7382</v>
      </c>
      <c r="E596" s="262" t="s">
        <v>6428</v>
      </c>
      <c r="F596" s="269" t="s">
        <v>322</v>
      </c>
      <c r="G596" s="269" t="s">
        <v>7364</v>
      </c>
    </row>
    <row r="597" spans="1:7" ht="30" customHeight="1" x14ac:dyDescent="0.2">
      <c r="A597" s="316">
        <v>2591</v>
      </c>
      <c r="B597" s="262" t="s">
        <v>6416</v>
      </c>
      <c r="C597" s="262" t="s">
        <v>6429</v>
      </c>
      <c r="D597" s="262" t="s">
        <v>8139</v>
      </c>
      <c r="E597" s="262" t="s">
        <v>6430</v>
      </c>
      <c r="F597" s="269" t="s">
        <v>2065</v>
      </c>
      <c r="G597" s="269" t="s">
        <v>8412</v>
      </c>
    </row>
    <row r="598" spans="1:7" ht="30" customHeight="1" x14ac:dyDescent="0.2">
      <c r="A598" s="316">
        <v>2592</v>
      </c>
      <c r="B598" s="262" t="s">
        <v>6416</v>
      </c>
      <c r="C598" s="262" t="s">
        <v>6431</v>
      </c>
      <c r="D598" s="262" t="s">
        <v>3082</v>
      </c>
      <c r="E598" s="262" t="s">
        <v>6432</v>
      </c>
      <c r="F598" s="269" t="s">
        <v>322</v>
      </c>
      <c r="G598" s="269" t="s">
        <v>8138</v>
      </c>
    </row>
    <row r="599" spans="1:7" ht="30" customHeight="1" x14ac:dyDescent="0.2">
      <c r="A599" s="254">
        <v>2593</v>
      </c>
      <c r="B599" s="262" t="s">
        <v>6416</v>
      </c>
      <c r="C599" s="262" t="s">
        <v>6433</v>
      </c>
      <c r="D599" s="262" t="s">
        <v>8999</v>
      </c>
      <c r="E599" s="262" t="s">
        <v>6434</v>
      </c>
      <c r="F599" s="269" t="s">
        <v>84</v>
      </c>
      <c r="G599" s="269" t="s">
        <v>8890</v>
      </c>
    </row>
    <row r="600" spans="1:7" ht="30" customHeight="1" x14ac:dyDescent="0.2">
      <c r="A600" s="316">
        <v>2594</v>
      </c>
      <c r="B600" s="262" t="s">
        <v>6416</v>
      </c>
      <c r="C600" s="262" t="s">
        <v>6435</v>
      </c>
      <c r="D600" s="262" t="s">
        <v>8524</v>
      </c>
      <c r="E600" s="262" t="s">
        <v>6436</v>
      </c>
      <c r="F600" s="269" t="s">
        <v>322</v>
      </c>
      <c r="G600" s="269" t="s">
        <v>8412</v>
      </c>
    </row>
    <row r="601" spans="1:7" ht="30" customHeight="1" x14ac:dyDescent="0.2">
      <c r="A601" s="316">
        <v>2595</v>
      </c>
      <c r="B601" s="262" t="s">
        <v>6416</v>
      </c>
      <c r="C601" s="262" t="s">
        <v>6437</v>
      </c>
      <c r="D601" s="262" t="s">
        <v>7509</v>
      </c>
      <c r="E601" s="262" t="s">
        <v>6438</v>
      </c>
      <c r="F601" s="269" t="s">
        <v>565</v>
      </c>
      <c r="G601" s="269" t="s">
        <v>7405</v>
      </c>
    </row>
    <row r="602" spans="1:7" ht="30" customHeight="1" x14ac:dyDescent="0.2">
      <c r="A602" s="254">
        <v>2596</v>
      </c>
      <c r="B602" s="262" t="s">
        <v>6416</v>
      </c>
      <c r="C602" s="262" t="s">
        <v>6439</v>
      </c>
      <c r="D602" s="262" t="s">
        <v>7510</v>
      </c>
      <c r="E602" s="262" t="s">
        <v>6440</v>
      </c>
      <c r="F602" s="269" t="s">
        <v>565</v>
      </c>
      <c r="G602" s="269" t="s">
        <v>7405</v>
      </c>
    </row>
    <row r="603" spans="1:7" ht="30" customHeight="1" x14ac:dyDescent="0.2">
      <c r="A603" s="316">
        <v>2597</v>
      </c>
      <c r="B603" s="262" t="s">
        <v>6416</v>
      </c>
      <c r="C603" s="262" t="s">
        <v>6441</v>
      </c>
      <c r="D603" s="262" t="s">
        <v>7965</v>
      </c>
      <c r="E603" s="262" t="s">
        <v>6442</v>
      </c>
      <c r="F603" s="256" t="s">
        <v>565</v>
      </c>
      <c r="G603" s="256" t="s">
        <v>7962</v>
      </c>
    </row>
    <row r="604" spans="1:7" ht="30" customHeight="1" x14ac:dyDescent="0.2">
      <c r="A604" s="316">
        <v>2598</v>
      </c>
      <c r="B604" s="262" t="s">
        <v>6416</v>
      </c>
      <c r="C604" s="262" t="s">
        <v>6441</v>
      </c>
      <c r="D604" s="262" t="s">
        <v>9345</v>
      </c>
      <c r="E604" s="262" t="s">
        <v>6443</v>
      </c>
      <c r="F604" s="269" t="s">
        <v>565</v>
      </c>
      <c r="G604" s="269" t="s">
        <v>8984</v>
      </c>
    </row>
    <row r="605" spans="1:7" ht="30" customHeight="1" x14ac:dyDescent="0.2">
      <c r="A605" s="254">
        <v>2599</v>
      </c>
      <c r="B605" s="262" t="s">
        <v>6416</v>
      </c>
      <c r="C605" s="262" t="s">
        <v>6444</v>
      </c>
      <c r="D605" s="262" t="s">
        <v>7541</v>
      </c>
      <c r="E605" s="262" t="s">
        <v>6445</v>
      </c>
      <c r="F605" s="269" t="s">
        <v>565</v>
      </c>
      <c r="G605" s="269" t="s">
        <v>7542</v>
      </c>
    </row>
    <row r="606" spans="1:7" ht="161.25" customHeight="1" x14ac:dyDescent="0.2">
      <c r="A606" s="316">
        <v>2600</v>
      </c>
      <c r="B606" s="262" t="s">
        <v>6416</v>
      </c>
      <c r="C606" s="262" t="s">
        <v>6446</v>
      </c>
      <c r="D606" s="262" t="s">
        <v>8478</v>
      </c>
      <c r="E606" s="262" t="s">
        <v>6447</v>
      </c>
      <c r="F606" s="269" t="s">
        <v>6264</v>
      </c>
      <c r="G606" s="269" t="s">
        <v>8412</v>
      </c>
    </row>
    <row r="607" spans="1:7" ht="30" customHeight="1" x14ac:dyDescent="0.2">
      <c r="A607" s="316">
        <v>2601</v>
      </c>
      <c r="B607" s="262" t="s">
        <v>6416</v>
      </c>
      <c r="C607" s="262" t="s">
        <v>6448</v>
      </c>
      <c r="D607" s="262" t="s">
        <v>8664</v>
      </c>
      <c r="E607" s="262" t="s">
        <v>6449</v>
      </c>
      <c r="F607" s="269" t="s">
        <v>6078</v>
      </c>
      <c r="G607" s="269" t="s">
        <v>8577</v>
      </c>
    </row>
    <row r="608" spans="1:7" ht="30" customHeight="1" x14ac:dyDescent="0.2">
      <c r="A608" s="254">
        <v>2602</v>
      </c>
      <c r="B608" s="262" t="s">
        <v>6416</v>
      </c>
      <c r="C608" s="262" t="s">
        <v>6450</v>
      </c>
      <c r="D608" s="262" t="s">
        <v>7966</v>
      </c>
      <c r="E608" s="262" t="s">
        <v>6451</v>
      </c>
      <c r="F608" s="269" t="s">
        <v>6078</v>
      </c>
      <c r="G608" s="269" t="s">
        <v>7967</v>
      </c>
    </row>
    <row r="609" spans="1:7" ht="30" customHeight="1" x14ac:dyDescent="0.2">
      <c r="A609" s="316">
        <v>2603</v>
      </c>
      <c r="B609" s="262" t="s">
        <v>6416</v>
      </c>
      <c r="C609" s="262" t="s">
        <v>6452</v>
      </c>
      <c r="D609" s="262" t="s">
        <v>9000</v>
      </c>
      <c r="E609" s="262" t="s">
        <v>6453</v>
      </c>
      <c r="F609" s="269" t="s">
        <v>6078</v>
      </c>
      <c r="G609" s="269" t="s">
        <v>8890</v>
      </c>
    </row>
    <row r="610" spans="1:7" ht="121.5" customHeight="1" x14ac:dyDescent="0.2">
      <c r="A610" s="316">
        <v>2604</v>
      </c>
      <c r="B610" s="262" t="s">
        <v>6416</v>
      </c>
      <c r="C610" s="262" t="s">
        <v>6454</v>
      </c>
      <c r="D610" s="353" t="s">
        <v>9001</v>
      </c>
      <c r="E610" s="262" t="s">
        <v>6455</v>
      </c>
      <c r="F610" s="269" t="s">
        <v>6078</v>
      </c>
      <c r="G610" s="269" t="s">
        <v>8890</v>
      </c>
    </row>
    <row r="611" spans="1:7" ht="30" customHeight="1" x14ac:dyDescent="0.2">
      <c r="A611" s="254">
        <v>2605</v>
      </c>
      <c r="B611" s="262" t="s">
        <v>6416</v>
      </c>
      <c r="C611" s="262" t="s">
        <v>6456</v>
      </c>
      <c r="D611" s="353" t="s">
        <v>9002</v>
      </c>
      <c r="E611" s="262" t="s">
        <v>6457</v>
      </c>
      <c r="F611" s="269" t="s">
        <v>6078</v>
      </c>
      <c r="G611" s="269" t="s">
        <v>8890</v>
      </c>
    </row>
    <row r="612" spans="1:7" ht="30" customHeight="1" x14ac:dyDescent="0.2">
      <c r="A612" s="316">
        <v>2606</v>
      </c>
      <c r="B612" s="262" t="s">
        <v>6416</v>
      </c>
      <c r="C612" s="262" t="s">
        <v>6458</v>
      </c>
      <c r="D612" s="353" t="s">
        <v>9014</v>
      </c>
      <c r="E612" s="262" t="s">
        <v>6459</v>
      </c>
      <c r="F612" s="269" t="s">
        <v>6078</v>
      </c>
      <c r="G612" s="269" t="s">
        <v>8890</v>
      </c>
    </row>
    <row r="613" spans="1:7" ht="30" customHeight="1" x14ac:dyDescent="0.2">
      <c r="A613" s="316">
        <v>2607</v>
      </c>
      <c r="B613" s="262" t="s">
        <v>6416</v>
      </c>
      <c r="C613" s="262" t="s">
        <v>6460</v>
      </c>
      <c r="D613" s="262" t="s">
        <v>8973</v>
      </c>
      <c r="E613" s="262" t="s">
        <v>6461</v>
      </c>
      <c r="F613" s="269" t="s">
        <v>6078</v>
      </c>
      <c r="G613" s="269" t="s">
        <v>8971</v>
      </c>
    </row>
    <row r="614" spans="1:7" ht="30" customHeight="1" x14ac:dyDescent="0.2">
      <c r="A614" s="254">
        <v>2608</v>
      </c>
      <c r="B614" s="262" t="s">
        <v>6416</v>
      </c>
      <c r="C614" s="262" t="s">
        <v>6462</v>
      </c>
      <c r="D614" s="353" t="s">
        <v>9014</v>
      </c>
      <c r="E614" s="262" t="s">
        <v>6463</v>
      </c>
      <c r="F614" s="269" t="s">
        <v>6078</v>
      </c>
      <c r="G614" s="269" t="s">
        <v>8890</v>
      </c>
    </row>
    <row r="615" spans="1:7" ht="30" customHeight="1" x14ac:dyDescent="0.2">
      <c r="A615" s="316">
        <v>2609</v>
      </c>
      <c r="B615" s="262" t="s">
        <v>6416</v>
      </c>
      <c r="C615" s="262" t="s">
        <v>6464</v>
      </c>
      <c r="D615" s="353" t="s">
        <v>9003</v>
      </c>
      <c r="E615" s="262" t="s">
        <v>6465</v>
      </c>
      <c r="F615" s="269" t="s">
        <v>6078</v>
      </c>
      <c r="G615" s="269" t="s">
        <v>8890</v>
      </c>
    </row>
    <row r="616" spans="1:7" ht="30" customHeight="1" x14ac:dyDescent="0.2">
      <c r="A616" s="316">
        <v>2610</v>
      </c>
      <c r="B616" s="262" t="s">
        <v>6416</v>
      </c>
      <c r="C616" s="262" t="s">
        <v>6466</v>
      </c>
      <c r="D616" s="353" t="s">
        <v>9004</v>
      </c>
      <c r="E616" s="262" t="s">
        <v>6467</v>
      </c>
      <c r="F616" s="269" t="s">
        <v>6078</v>
      </c>
      <c r="G616" s="269" t="s">
        <v>8890</v>
      </c>
    </row>
    <row r="617" spans="1:7" ht="30" customHeight="1" x14ac:dyDescent="0.2">
      <c r="A617" s="254">
        <v>2611</v>
      </c>
      <c r="B617" s="262" t="s">
        <v>6416</v>
      </c>
      <c r="C617" s="262" t="s">
        <v>6468</v>
      </c>
      <c r="D617" s="255" t="s">
        <v>9005</v>
      </c>
      <c r="E617" s="262" t="s">
        <v>6469</v>
      </c>
      <c r="F617" s="269" t="s">
        <v>6078</v>
      </c>
      <c r="G617" s="269" t="s">
        <v>8890</v>
      </c>
    </row>
    <row r="618" spans="1:7" ht="30" customHeight="1" x14ac:dyDescent="0.2">
      <c r="A618" s="316">
        <v>2612</v>
      </c>
      <c r="B618" s="262" t="s">
        <v>6416</v>
      </c>
      <c r="C618" s="262" t="s">
        <v>6470</v>
      </c>
      <c r="D618" s="353" t="s">
        <v>9560</v>
      </c>
      <c r="E618" s="262" t="s">
        <v>6471</v>
      </c>
      <c r="F618" s="269" t="s">
        <v>6078</v>
      </c>
      <c r="G618" s="269" t="s">
        <v>8890</v>
      </c>
    </row>
    <row r="619" spans="1:7" ht="30" customHeight="1" x14ac:dyDescent="0.2">
      <c r="A619" s="316">
        <v>2613</v>
      </c>
      <c r="B619" s="262" t="s">
        <v>6416</v>
      </c>
      <c r="C619" s="262" t="s">
        <v>6472</v>
      </c>
      <c r="D619" s="353" t="s">
        <v>9561</v>
      </c>
      <c r="E619" s="262" t="s">
        <v>6473</v>
      </c>
      <c r="F619" s="269" t="s">
        <v>6078</v>
      </c>
      <c r="G619" s="269" t="s">
        <v>8890</v>
      </c>
    </row>
    <row r="620" spans="1:7" ht="30" customHeight="1" x14ac:dyDescent="0.2">
      <c r="A620" s="254">
        <v>2614</v>
      </c>
      <c r="B620" s="262" t="s">
        <v>6416</v>
      </c>
      <c r="C620" s="262" t="s">
        <v>6474</v>
      </c>
      <c r="D620" s="353" t="s">
        <v>8999</v>
      </c>
      <c r="E620" s="357" t="s">
        <v>10190</v>
      </c>
      <c r="F620" s="269" t="s">
        <v>6078</v>
      </c>
      <c r="G620" s="269" t="s">
        <v>8890</v>
      </c>
    </row>
    <row r="621" spans="1:7" ht="30" customHeight="1" x14ac:dyDescent="0.2">
      <c r="A621" s="316">
        <v>2615</v>
      </c>
      <c r="B621" s="262" t="s">
        <v>6416</v>
      </c>
      <c r="C621" s="262" t="s">
        <v>6475</v>
      </c>
      <c r="D621" s="353" t="s">
        <v>9562</v>
      </c>
      <c r="E621" s="262" t="s">
        <v>6476</v>
      </c>
      <c r="F621" s="269" t="s">
        <v>6078</v>
      </c>
      <c r="G621" s="269" t="s">
        <v>8890</v>
      </c>
    </row>
    <row r="622" spans="1:7" ht="30" customHeight="1" x14ac:dyDescent="0.2">
      <c r="A622" s="316">
        <v>2616</v>
      </c>
      <c r="B622" s="262" t="s">
        <v>6416</v>
      </c>
      <c r="C622" s="262" t="s">
        <v>6477</v>
      </c>
      <c r="D622" s="255" t="s">
        <v>9006</v>
      </c>
      <c r="E622" s="262" t="s">
        <v>6478</v>
      </c>
      <c r="F622" s="269" t="s">
        <v>6078</v>
      </c>
      <c r="G622" s="269" t="s">
        <v>8890</v>
      </c>
    </row>
    <row r="623" spans="1:7" ht="30" customHeight="1" x14ac:dyDescent="0.2">
      <c r="A623" s="254">
        <v>2617</v>
      </c>
      <c r="B623" s="262" t="s">
        <v>6416</v>
      </c>
      <c r="C623" s="262" t="s">
        <v>6479</v>
      </c>
      <c r="D623" s="353" t="s">
        <v>9007</v>
      </c>
      <c r="E623" s="262" t="s">
        <v>6480</v>
      </c>
      <c r="F623" s="269" t="s">
        <v>6078</v>
      </c>
      <c r="G623" s="269" t="s">
        <v>8890</v>
      </c>
    </row>
    <row r="624" spans="1:7" ht="30" customHeight="1" x14ac:dyDescent="0.2">
      <c r="A624" s="316">
        <v>2618</v>
      </c>
      <c r="B624" s="262" t="s">
        <v>6416</v>
      </c>
      <c r="C624" s="262" t="s">
        <v>6481</v>
      </c>
      <c r="D624" s="255" t="s">
        <v>9008</v>
      </c>
      <c r="E624" s="262" t="s">
        <v>6482</v>
      </c>
      <c r="F624" s="269" t="s">
        <v>6078</v>
      </c>
      <c r="G624" s="269" t="s">
        <v>8890</v>
      </c>
    </row>
    <row r="625" spans="1:7" ht="30" customHeight="1" x14ac:dyDescent="0.2">
      <c r="A625" s="254">
        <v>2619</v>
      </c>
      <c r="B625" s="262" t="s">
        <v>6416</v>
      </c>
      <c r="C625" s="262" t="s">
        <v>6483</v>
      </c>
      <c r="D625" s="255" t="s">
        <v>9563</v>
      </c>
      <c r="E625" s="262" t="s">
        <v>6484</v>
      </c>
      <c r="F625" s="269" t="s">
        <v>6078</v>
      </c>
      <c r="G625" s="269" t="s">
        <v>8890</v>
      </c>
    </row>
    <row r="626" spans="1:7" ht="30" customHeight="1" x14ac:dyDescent="0.2">
      <c r="A626" s="316">
        <v>2620</v>
      </c>
      <c r="B626" s="262" t="s">
        <v>6416</v>
      </c>
      <c r="C626" s="262" t="s">
        <v>6485</v>
      </c>
      <c r="D626" s="351" t="s">
        <v>9564</v>
      </c>
      <c r="E626" s="262" t="s">
        <v>6486</v>
      </c>
      <c r="F626" s="269" t="s">
        <v>6078</v>
      </c>
      <c r="G626" s="269" t="s">
        <v>8890</v>
      </c>
    </row>
    <row r="627" spans="1:7" ht="30" customHeight="1" x14ac:dyDescent="0.2">
      <c r="A627" s="318">
        <v>2621</v>
      </c>
      <c r="B627" s="263" t="s">
        <v>6487</v>
      </c>
      <c r="C627" s="255" t="s">
        <v>10191</v>
      </c>
      <c r="D627" s="359" t="s">
        <v>9010</v>
      </c>
      <c r="E627" s="350" t="s">
        <v>4477</v>
      </c>
      <c r="F627" s="308" t="s">
        <v>84</v>
      </c>
      <c r="G627" s="359" t="s">
        <v>8890</v>
      </c>
    </row>
    <row r="628" spans="1:7" ht="30" customHeight="1" x14ac:dyDescent="0.2">
      <c r="A628" s="318"/>
      <c r="B628" s="263"/>
      <c r="C628" s="255" t="s">
        <v>10192</v>
      </c>
      <c r="D628" s="360"/>
      <c r="E628" s="350"/>
      <c r="F628" s="308"/>
      <c r="G628" s="360"/>
    </row>
    <row r="629" spans="1:7" ht="30" customHeight="1" x14ac:dyDescent="0.2">
      <c r="A629" s="318"/>
      <c r="B629" s="263"/>
      <c r="C629" s="255" t="s">
        <v>10193</v>
      </c>
      <c r="D629" s="361"/>
      <c r="E629" s="350"/>
      <c r="F629" s="308"/>
      <c r="G629" s="361"/>
    </row>
    <row r="630" spans="1:7" ht="30" customHeight="1" x14ac:dyDescent="0.2">
      <c r="A630" s="254">
        <v>2622</v>
      </c>
      <c r="B630" s="255" t="s">
        <v>6487</v>
      </c>
      <c r="C630" s="255" t="s">
        <v>6488</v>
      </c>
      <c r="D630" s="255" t="s">
        <v>9009</v>
      </c>
      <c r="E630" s="255" t="s">
        <v>6489</v>
      </c>
      <c r="F630" s="256" t="s">
        <v>84</v>
      </c>
      <c r="G630" s="256" t="s">
        <v>8890</v>
      </c>
    </row>
    <row r="631" spans="1:7" ht="30" customHeight="1" x14ac:dyDescent="0.2">
      <c r="A631" s="316">
        <v>2623</v>
      </c>
      <c r="B631" s="255" t="s">
        <v>6487</v>
      </c>
      <c r="C631" s="255" t="s">
        <v>6490</v>
      </c>
      <c r="D631" s="255" t="s">
        <v>9011</v>
      </c>
      <c r="E631" s="255" t="s">
        <v>6491</v>
      </c>
      <c r="F631" s="256" t="s">
        <v>84</v>
      </c>
      <c r="G631" s="256" t="s">
        <v>8890</v>
      </c>
    </row>
    <row r="632" spans="1:7" ht="30" customHeight="1" x14ac:dyDescent="0.2">
      <c r="A632" s="316">
        <v>2624</v>
      </c>
      <c r="B632" s="255" t="s">
        <v>6487</v>
      </c>
      <c r="C632" s="255" t="s">
        <v>6492</v>
      </c>
      <c r="D632" s="255" t="s">
        <v>8103</v>
      </c>
      <c r="E632" s="255" t="s">
        <v>6493</v>
      </c>
      <c r="F632" s="271" t="s">
        <v>74</v>
      </c>
      <c r="G632" s="271" t="s">
        <v>8090</v>
      </c>
    </row>
    <row r="633" spans="1:7" ht="30" customHeight="1" x14ac:dyDescent="0.2">
      <c r="A633" s="254">
        <v>2625</v>
      </c>
      <c r="B633" s="255" t="s">
        <v>6487</v>
      </c>
      <c r="C633" s="262" t="s">
        <v>6494</v>
      </c>
      <c r="D633" s="255" t="s">
        <v>8104</v>
      </c>
      <c r="E633" s="255" t="s">
        <v>6495</v>
      </c>
      <c r="F633" s="271" t="s">
        <v>74</v>
      </c>
      <c r="G633" s="271" t="s">
        <v>8090</v>
      </c>
    </row>
    <row r="634" spans="1:7" ht="30" customHeight="1" x14ac:dyDescent="0.2">
      <c r="A634" s="316">
        <v>2626</v>
      </c>
      <c r="B634" s="255" t="s">
        <v>6487</v>
      </c>
      <c r="C634" s="255" t="s">
        <v>6496</v>
      </c>
      <c r="D634" s="255" t="s">
        <v>7383</v>
      </c>
      <c r="E634" s="255" t="s">
        <v>6497</v>
      </c>
      <c r="F634" s="269" t="s">
        <v>6046</v>
      </c>
      <c r="G634" s="269" t="s">
        <v>7364</v>
      </c>
    </row>
    <row r="635" spans="1:7" ht="30" customHeight="1" x14ac:dyDescent="0.2">
      <c r="A635" s="316">
        <v>2627</v>
      </c>
      <c r="B635" s="255" t="s">
        <v>6487</v>
      </c>
      <c r="C635" s="262" t="s">
        <v>6498</v>
      </c>
      <c r="D635" s="255" t="s">
        <v>7384</v>
      </c>
      <c r="E635" s="255" t="s">
        <v>6499</v>
      </c>
      <c r="F635" s="269" t="s">
        <v>6046</v>
      </c>
      <c r="G635" s="269" t="s">
        <v>7364</v>
      </c>
    </row>
    <row r="636" spans="1:7" ht="30" customHeight="1" x14ac:dyDescent="0.2">
      <c r="A636" s="254">
        <v>2628</v>
      </c>
      <c r="B636" s="255" t="s">
        <v>6487</v>
      </c>
      <c r="C636" s="255" t="s">
        <v>6500</v>
      </c>
      <c r="D636" s="255" t="s">
        <v>7543</v>
      </c>
      <c r="E636" s="255" t="s">
        <v>2954</v>
      </c>
      <c r="F636" s="269" t="s">
        <v>565</v>
      </c>
      <c r="G636" s="269" t="s">
        <v>7542</v>
      </c>
    </row>
    <row r="637" spans="1:7" ht="30" customHeight="1" x14ac:dyDescent="0.2">
      <c r="A637" s="316">
        <v>2629</v>
      </c>
      <c r="B637" s="255" t="s">
        <v>6487</v>
      </c>
      <c r="C637" s="255" t="s">
        <v>6501</v>
      </c>
      <c r="D637" s="255" t="s">
        <v>8279</v>
      </c>
      <c r="E637" s="255" t="s">
        <v>6502</v>
      </c>
      <c r="F637" s="271" t="s">
        <v>565</v>
      </c>
      <c r="G637" s="271" t="s">
        <v>8257</v>
      </c>
    </row>
    <row r="638" spans="1:7" ht="30" customHeight="1" x14ac:dyDescent="0.2">
      <c r="A638" s="316">
        <v>2630</v>
      </c>
      <c r="B638" s="255" t="s">
        <v>6487</v>
      </c>
      <c r="C638" s="255" t="s">
        <v>6503</v>
      </c>
      <c r="D638" s="255" t="s">
        <v>8280</v>
      </c>
      <c r="E638" s="255" t="s">
        <v>6502</v>
      </c>
      <c r="F638" s="271" t="s">
        <v>565</v>
      </c>
      <c r="G638" s="271" t="s">
        <v>8257</v>
      </c>
    </row>
    <row r="639" spans="1:7" ht="30" customHeight="1" x14ac:dyDescent="0.2">
      <c r="A639" s="254">
        <v>2631</v>
      </c>
      <c r="B639" s="255" t="s">
        <v>6487</v>
      </c>
      <c r="C639" s="255" t="s">
        <v>6504</v>
      </c>
      <c r="D639" s="255" t="s">
        <v>8281</v>
      </c>
      <c r="E639" s="255" t="s">
        <v>6502</v>
      </c>
      <c r="F639" s="271" t="s">
        <v>565</v>
      </c>
      <c r="G639" s="271" t="s">
        <v>8257</v>
      </c>
    </row>
    <row r="640" spans="1:7" ht="30" customHeight="1" x14ac:dyDescent="0.2">
      <c r="A640" s="316">
        <v>2632</v>
      </c>
      <c r="B640" s="255" t="s">
        <v>6487</v>
      </c>
      <c r="C640" s="255" t="s">
        <v>10194</v>
      </c>
      <c r="D640" s="255" t="s">
        <v>9346</v>
      </c>
      <c r="E640" s="255" t="s">
        <v>6505</v>
      </c>
      <c r="F640" s="269" t="s">
        <v>565</v>
      </c>
      <c r="G640" s="269" t="s">
        <v>8984</v>
      </c>
    </row>
    <row r="641" spans="1:7" ht="30" customHeight="1" x14ac:dyDescent="0.2">
      <c r="A641" s="316">
        <v>2633</v>
      </c>
      <c r="B641" s="255" t="s">
        <v>6487</v>
      </c>
      <c r="C641" s="255" t="s">
        <v>10195</v>
      </c>
      <c r="D641" s="255" t="s">
        <v>7544</v>
      </c>
      <c r="E641" s="255" t="s">
        <v>6505</v>
      </c>
      <c r="F641" s="269" t="s">
        <v>565</v>
      </c>
      <c r="G641" s="269" t="s">
        <v>7542</v>
      </c>
    </row>
    <row r="642" spans="1:7" ht="30" customHeight="1" x14ac:dyDescent="0.2">
      <c r="A642" s="254">
        <v>2634</v>
      </c>
      <c r="B642" s="255" t="s">
        <v>6487</v>
      </c>
      <c r="C642" s="255" t="s">
        <v>10196</v>
      </c>
      <c r="D642" s="255" t="s">
        <v>7545</v>
      </c>
      <c r="E642" s="255" t="s">
        <v>6505</v>
      </c>
      <c r="F642" s="256" t="s">
        <v>565</v>
      </c>
      <c r="G642" s="256" t="s">
        <v>7542</v>
      </c>
    </row>
    <row r="643" spans="1:7" ht="30" customHeight="1" x14ac:dyDescent="0.2">
      <c r="A643" s="316">
        <v>2635</v>
      </c>
      <c r="B643" s="255" t="s">
        <v>6487</v>
      </c>
      <c r="C643" s="255" t="s">
        <v>10197</v>
      </c>
      <c r="D643" s="255" t="s">
        <v>7546</v>
      </c>
      <c r="E643" s="255" t="s">
        <v>6505</v>
      </c>
      <c r="F643" s="256" t="s">
        <v>565</v>
      </c>
      <c r="G643" s="256" t="s">
        <v>7542</v>
      </c>
    </row>
    <row r="644" spans="1:7" ht="30" customHeight="1" x14ac:dyDescent="0.2">
      <c r="A644" s="316">
        <v>2636</v>
      </c>
      <c r="B644" s="255" t="s">
        <v>6487</v>
      </c>
      <c r="C644" s="255" t="s">
        <v>10198</v>
      </c>
      <c r="D644" s="255" t="s">
        <v>9347</v>
      </c>
      <c r="E644" s="255" t="s">
        <v>6505</v>
      </c>
      <c r="F644" s="256" t="s">
        <v>565</v>
      </c>
      <c r="G644" s="256" t="s">
        <v>8984</v>
      </c>
    </row>
    <row r="645" spans="1:7" ht="30" customHeight="1" x14ac:dyDescent="0.2">
      <c r="A645" s="254">
        <v>2637</v>
      </c>
      <c r="B645" s="255" t="s">
        <v>6487</v>
      </c>
      <c r="C645" s="255" t="s">
        <v>10199</v>
      </c>
      <c r="D645" s="255" t="s">
        <v>7547</v>
      </c>
      <c r="E645" s="255" t="s">
        <v>6505</v>
      </c>
      <c r="F645" s="256" t="s">
        <v>565</v>
      </c>
      <c r="G645" s="256" t="s">
        <v>7542</v>
      </c>
    </row>
    <row r="646" spans="1:7" ht="30" customHeight="1" x14ac:dyDescent="0.2">
      <c r="A646" s="316">
        <v>2638</v>
      </c>
      <c r="B646" s="255" t="s">
        <v>6487</v>
      </c>
      <c r="C646" s="255" t="s">
        <v>10200</v>
      </c>
      <c r="D646" s="255" t="s">
        <v>7548</v>
      </c>
      <c r="E646" s="255" t="s">
        <v>6505</v>
      </c>
      <c r="F646" s="256" t="s">
        <v>565</v>
      </c>
      <c r="G646" s="256" t="s">
        <v>7542</v>
      </c>
    </row>
    <row r="647" spans="1:7" ht="30" customHeight="1" x14ac:dyDescent="0.2">
      <c r="A647" s="316">
        <v>2639</v>
      </c>
      <c r="B647" s="255" t="s">
        <v>6487</v>
      </c>
      <c r="C647" s="255" t="s">
        <v>10201</v>
      </c>
      <c r="D647" s="255" t="s">
        <v>7549</v>
      </c>
      <c r="E647" s="255" t="s">
        <v>6505</v>
      </c>
      <c r="F647" s="256" t="s">
        <v>565</v>
      </c>
      <c r="G647" s="256" t="s">
        <v>7542</v>
      </c>
    </row>
    <row r="648" spans="1:7" ht="30" customHeight="1" x14ac:dyDescent="0.2">
      <c r="A648" s="254">
        <v>2640</v>
      </c>
      <c r="B648" s="255" t="s">
        <v>6487</v>
      </c>
      <c r="C648" s="255" t="s">
        <v>10202</v>
      </c>
      <c r="D648" s="255" t="s">
        <v>7550</v>
      </c>
      <c r="E648" s="255" t="s">
        <v>6505</v>
      </c>
      <c r="F648" s="256" t="s">
        <v>565</v>
      </c>
      <c r="G648" s="256" t="s">
        <v>7542</v>
      </c>
    </row>
    <row r="649" spans="1:7" ht="30" customHeight="1" x14ac:dyDescent="0.2">
      <c r="A649" s="316">
        <v>2641</v>
      </c>
      <c r="B649" s="255" t="s">
        <v>6487</v>
      </c>
      <c r="C649" s="255" t="s">
        <v>10203</v>
      </c>
      <c r="D649" s="255" t="s">
        <v>7551</v>
      </c>
      <c r="E649" s="255" t="s">
        <v>6505</v>
      </c>
      <c r="F649" s="256" t="s">
        <v>565</v>
      </c>
      <c r="G649" s="256" t="s">
        <v>7542</v>
      </c>
    </row>
    <row r="650" spans="1:7" ht="30" customHeight="1" x14ac:dyDescent="0.2">
      <c r="A650" s="316">
        <v>2642</v>
      </c>
      <c r="B650" s="255" t="s">
        <v>6487</v>
      </c>
      <c r="C650" s="255" t="s">
        <v>10204</v>
      </c>
      <c r="D650" s="255" t="s">
        <v>7552</v>
      </c>
      <c r="E650" s="255" t="s">
        <v>6505</v>
      </c>
      <c r="F650" s="256" t="s">
        <v>565</v>
      </c>
      <c r="G650" s="256" t="s">
        <v>7542</v>
      </c>
    </row>
    <row r="651" spans="1:7" ht="30" customHeight="1" x14ac:dyDescent="0.2">
      <c r="A651" s="254">
        <v>2643</v>
      </c>
      <c r="B651" s="255" t="s">
        <v>6487</v>
      </c>
      <c r="C651" s="255" t="s">
        <v>10205</v>
      </c>
      <c r="D651" s="255" t="s">
        <v>7553</v>
      </c>
      <c r="E651" s="255" t="s">
        <v>6505</v>
      </c>
      <c r="F651" s="256" t="s">
        <v>565</v>
      </c>
      <c r="G651" s="256" t="s">
        <v>7542</v>
      </c>
    </row>
    <row r="652" spans="1:7" ht="30" customHeight="1" x14ac:dyDescent="0.2">
      <c r="A652" s="316">
        <v>2644</v>
      </c>
      <c r="B652" s="255" t="s">
        <v>6487</v>
      </c>
      <c r="C652" s="255" t="s">
        <v>10206</v>
      </c>
      <c r="D652" s="255" t="s">
        <v>7554</v>
      </c>
      <c r="E652" s="255" t="s">
        <v>6505</v>
      </c>
      <c r="F652" s="256" t="s">
        <v>565</v>
      </c>
      <c r="G652" s="256" t="s">
        <v>7542</v>
      </c>
    </row>
    <row r="653" spans="1:7" ht="30" customHeight="1" x14ac:dyDescent="0.2">
      <c r="A653" s="316">
        <v>2645</v>
      </c>
      <c r="B653" s="255" t="s">
        <v>6487</v>
      </c>
      <c r="C653" s="255" t="s">
        <v>10207</v>
      </c>
      <c r="D653" s="255" t="s">
        <v>7555</v>
      </c>
      <c r="E653" s="255" t="s">
        <v>6505</v>
      </c>
      <c r="F653" s="256" t="s">
        <v>565</v>
      </c>
      <c r="G653" s="256" t="s">
        <v>7542</v>
      </c>
    </row>
    <row r="654" spans="1:7" ht="30" customHeight="1" x14ac:dyDescent="0.2">
      <c r="A654" s="254">
        <v>2646</v>
      </c>
      <c r="B654" s="255" t="s">
        <v>6487</v>
      </c>
      <c r="C654" s="255" t="s">
        <v>10208</v>
      </c>
      <c r="D654" s="255" t="s">
        <v>7556</v>
      </c>
      <c r="E654" s="255" t="s">
        <v>6505</v>
      </c>
      <c r="F654" s="256" t="s">
        <v>565</v>
      </c>
      <c r="G654" s="256" t="s">
        <v>7542</v>
      </c>
    </row>
    <row r="655" spans="1:7" ht="30" customHeight="1" x14ac:dyDescent="0.2">
      <c r="A655" s="316">
        <v>2647</v>
      </c>
      <c r="B655" s="255" t="s">
        <v>6487</v>
      </c>
      <c r="C655" s="349" t="s">
        <v>10209</v>
      </c>
      <c r="D655" s="255" t="s">
        <v>9348</v>
      </c>
      <c r="E655" s="255" t="s">
        <v>6505</v>
      </c>
      <c r="F655" s="256" t="s">
        <v>565</v>
      </c>
      <c r="G655" s="256" t="s">
        <v>8984</v>
      </c>
    </row>
    <row r="656" spans="1:7" ht="30" customHeight="1" x14ac:dyDescent="0.2">
      <c r="A656" s="316">
        <v>2648</v>
      </c>
      <c r="B656" s="255" t="s">
        <v>6487</v>
      </c>
      <c r="C656" s="349" t="s">
        <v>10210</v>
      </c>
      <c r="D656" s="255" t="s">
        <v>9349</v>
      </c>
      <c r="E656" s="255" t="s">
        <v>6505</v>
      </c>
      <c r="F656" s="256" t="s">
        <v>565</v>
      </c>
      <c r="G656" s="256" t="s">
        <v>8984</v>
      </c>
    </row>
    <row r="657" spans="1:7" ht="30" customHeight="1" x14ac:dyDescent="0.2">
      <c r="A657" s="254">
        <v>2649</v>
      </c>
      <c r="B657" s="255" t="s">
        <v>6487</v>
      </c>
      <c r="C657" s="349" t="s">
        <v>10211</v>
      </c>
      <c r="D657" s="255" t="s">
        <v>7557</v>
      </c>
      <c r="E657" s="255" t="s">
        <v>6505</v>
      </c>
      <c r="F657" s="256" t="s">
        <v>565</v>
      </c>
      <c r="G657" s="256" t="s">
        <v>7542</v>
      </c>
    </row>
    <row r="658" spans="1:7" ht="30" customHeight="1" x14ac:dyDescent="0.2">
      <c r="A658" s="316">
        <v>2650</v>
      </c>
      <c r="B658" s="255" t="s">
        <v>6487</v>
      </c>
      <c r="C658" s="349" t="s">
        <v>10212</v>
      </c>
      <c r="D658" s="255" t="s">
        <v>7558</v>
      </c>
      <c r="E658" s="255" t="s">
        <v>6505</v>
      </c>
      <c r="F658" s="256" t="s">
        <v>565</v>
      </c>
      <c r="G658" s="256" t="s">
        <v>7542</v>
      </c>
    </row>
    <row r="659" spans="1:7" ht="30" customHeight="1" x14ac:dyDescent="0.2">
      <c r="A659" s="316">
        <v>2651</v>
      </c>
      <c r="B659" s="255" t="s">
        <v>6487</v>
      </c>
      <c r="C659" s="349" t="s">
        <v>10213</v>
      </c>
      <c r="D659" s="255" t="s">
        <v>7559</v>
      </c>
      <c r="E659" s="255" t="s">
        <v>6505</v>
      </c>
      <c r="F659" s="256" t="s">
        <v>565</v>
      </c>
      <c r="G659" s="256" t="s">
        <v>7542</v>
      </c>
    </row>
    <row r="660" spans="1:7" ht="30" customHeight="1" x14ac:dyDescent="0.2">
      <c r="A660" s="254">
        <v>2652</v>
      </c>
      <c r="B660" s="255" t="s">
        <v>6487</v>
      </c>
      <c r="C660" s="349" t="s">
        <v>10214</v>
      </c>
      <c r="D660" s="255" t="s">
        <v>7560</v>
      </c>
      <c r="E660" s="255" t="s">
        <v>6505</v>
      </c>
      <c r="F660" s="256" t="s">
        <v>565</v>
      </c>
      <c r="G660" s="256" t="s">
        <v>7542</v>
      </c>
    </row>
    <row r="661" spans="1:7" ht="30" customHeight="1" x14ac:dyDescent="0.2">
      <c r="A661" s="316">
        <v>2653</v>
      </c>
      <c r="B661" s="255" t="s">
        <v>6487</v>
      </c>
      <c r="C661" s="349" t="s">
        <v>10215</v>
      </c>
      <c r="D661" s="255" t="s">
        <v>7561</v>
      </c>
      <c r="E661" s="255" t="s">
        <v>6505</v>
      </c>
      <c r="F661" s="256" t="s">
        <v>565</v>
      </c>
      <c r="G661" s="256" t="s">
        <v>7542</v>
      </c>
    </row>
    <row r="662" spans="1:7" ht="30" customHeight="1" x14ac:dyDescent="0.2">
      <c r="A662" s="316">
        <v>2654</v>
      </c>
      <c r="B662" s="255" t="s">
        <v>6487</v>
      </c>
      <c r="C662" s="349" t="s">
        <v>10216</v>
      </c>
      <c r="D662" s="255" t="s">
        <v>7562</v>
      </c>
      <c r="E662" s="255" t="s">
        <v>6505</v>
      </c>
      <c r="F662" s="256" t="s">
        <v>565</v>
      </c>
      <c r="G662" s="256" t="s">
        <v>7542</v>
      </c>
    </row>
    <row r="663" spans="1:7" ht="30" customHeight="1" x14ac:dyDescent="0.2">
      <c r="A663" s="254">
        <v>2655</v>
      </c>
      <c r="B663" s="255" t="s">
        <v>6487</v>
      </c>
      <c r="C663" s="349" t="s">
        <v>10217</v>
      </c>
      <c r="D663" s="255" t="s">
        <v>7563</v>
      </c>
      <c r="E663" s="255" t="s">
        <v>6505</v>
      </c>
      <c r="F663" s="256" t="s">
        <v>565</v>
      </c>
      <c r="G663" s="256" t="s">
        <v>7542</v>
      </c>
    </row>
    <row r="664" spans="1:7" ht="30" customHeight="1" x14ac:dyDescent="0.2">
      <c r="A664" s="316">
        <v>2656</v>
      </c>
      <c r="B664" s="255" t="s">
        <v>6487</v>
      </c>
      <c r="C664" s="349" t="s">
        <v>10218</v>
      </c>
      <c r="D664" s="255" t="s">
        <v>7564</v>
      </c>
      <c r="E664" s="255" t="s">
        <v>6505</v>
      </c>
      <c r="F664" s="256" t="s">
        <v>565</v>
      </c>
      <c r="G664" s="256" t="s">
        <v>7542</v>
      </c>
    </row>
    <row r="665" spans="1:7" ht="30" customHeight="1" x14ac:dyDescent="0.2">
      <c r="A665" s="316">
        <v>2657</v>
      </c>
      <c r="B665" s="255" t="s">
        <v>6487</v>
      </c>
      <c r="C665" s="349" t="s">
        <v>10219</v>
      </c>
      <c r="D665" s="255" t="s">
        <v>8248</v>
      </c>
      <c r="E665" s="255" t="s">
        <v>6505</v>
      </c>
      <c r="F665" s="256" t="s">
        <v>565</v>
      </c>
      <c r="G665" s="256" t="s">
        <v>8234</v>
      </c>
    </row>
    <row r="666" spans="1:7" ht="30" customHeight="1" x14ac:dyDescent="0.2">
      <c r="A666" s="254">
        <v>2658</v>
      </c>
      <c r="B666" s="255" t="s">
        <v>6487</v>
      </c>
      <c r="C666" s="349" t="s">
        <v>10220</v>
      </c>
      <c r="D666" s="255" t="s">
        <v>7565</v>
      </c>
      <c r="E666" s="255" t="s">
        <v>6505</v>
      </c>
      <c r="F666" s="256" t="s">
        <v>565</v>
      </c>
      <c r="G666" s="256" t="s">
        <v>7542</v>
      </c>
    </row>
    <row r="667" spans="1:7" ht="30" customHeight="1" x14ac:dyDescent="0.2">
      <c r="A667" s="316">
        <v>2659</v>
      </c>
      <c r="B667" s="255" t="s">
        <v>6487</v>
      </c>
      <c r="C667" s="349" t="s">
        <v>10221</v>
      </c>
      <c r="D667" s="255" t="s">
        <v>7566</v>
      </c>
      <c r="E667" s="255" t="s">
        <v>6505</v>
      </c>
      <c r="F667" s="256" t="s">
        <v>565</v>
      </c>
      <c r="G667" s="256" t="s">
        <v>7542</v>
      </c>
    </row>
    <row r="668" spans="1:7" ht="30" customHeight="1" x14ac:dyDescent="0.2">
      <c r="A668" s="316">
        <v>2660</v>
      </c>
      <c r="B668" s="255" t="s">
        <v>6487</v>
      </c>
      <c r="C668" s="349" t="s">
        <v>10222</v>
      </c>
      <c r="D668" s="351" t="s">
        <v>9350</v>
      </c>
      <c r="E668" s="255" t="s">
        <v>6505</v>
      </c>
      <c r="F668" s="256" t="s">
        <v>565</v>
      </c>
      <c r="G668" s="256" t="s">
        <v>8984</v>
      </c>
    </row>
    <row r="669" spans="1:7" ht="30" customHeight="1" x14ac:dyDescent="0.2">
      <c r="A669" s="254">
        <v>2661</v>
      </c>
      <c r="B669" s="255" t="s">
        <v>6487</v>
      </c>
      <c r="C669" s="349" t="s">
        <v>10223</v>
      </c>
      <c r="D669" s="351" t="s">
        <v>9351</v>
      </c>
      <c r="E669" s="255" t="s">
        <v>6505</v>
      </c>
      <c r="F669" s="256" t="s">
        <v>565</v>
      </c>
      <c r="G669" s="256" t="s">
        <v>8984</v>
      </c>
    </row>
    <row r="670" spans="1:7" ht="30" customHeight="1" x14ac:dyDescent="0.2">
      <c r="A670" s="316">
        <v>2662</v>
      </c>
      <c r="B670" s="255" t="s">
        <v>6487</v>
      </c>
      <c r="C670" s="349" t="s">
        <v>10224</v>
      </c>
      <c r="D670" s="255" t="s">
        <v>7968</v>
      </c>
      <c r="E670" s="255" t="s">
        <v>6505</v>
      </c>
      <c r="F670" s="256" t="s">
        <v>565</v>
      </c>
      <c r="G670" s="256" t="s">
        <v>7962</v>
      </c>
    </row>
    <row r="671" spans="1:7" ht="30" customHeight="1" x14ac:dyDescent="0.2">
      <c r="A671" s="316">
        <v>2663</v>
      </c>
      <c r="B671" s="255" t="s">
        <v>6487</v>
      </c>
      <c r="C671" s="349" t="s">
        <v>10225</v>
      </c>
      <c r="D671" s="255" t="s">
        <v>8052</v>
      </c>
      <c r="E671" s="255" t="s">
        <v>6505</v>
      </c>
      <c r="F671" s="256" t="s">
        <v>565</v>
      </c>
      <c r="G671" s="256" t="s">
        <v>8050</v>
      </c>
    </row>
    <row r="672" spans="1:7" ht="30" customHeight="1" x14ac:dyDescent="0.2">
      <c r="A672" s="254">
        <v>2664</v>
      </c>
      <c r="B672" s="255" t="s">
        <v>6487</v>
      </c>
      <c r="C672" s="349" t="s">
        <v>10226</v>
      </c>
      <c r="D672" s="255" t="s">
        <v>7969</v>
      </c>
      <c r="E672" s="255" t="s">
        <v>6505</v>
      </c>
      <c r="F672" s="256" t="s">
        <v>565</v>
      </c>
      <c r="G672" s="256" t="s">
        <v>7962</v>
      </c>
    </row>
    <row r="673" spans="1:7" ht="30" customHeight="1" x14ac:dyDescent="0.2">
      <c r="A673" s="316">
        <v>2665</v>
      </c>
      <c r="B673" s="255" t="s">
        <v>6487</v>
      </c>
      <c r="C673" s="349" t="s">
        <v>10227</v>
      </c>
      <c r="D673" s="255" t="s">
        <v>7970</v>
      </c>
      <c r="E673" s="255" t="s">
        <v>6505</v>
      </c>
      <c r="F673" s="256" t="s">
        <v>565</v>
      </c>
      <c r="G673" s="256" t="s">
        <v>7962</v>
      </c>
    </row>
    <row r="674" spans="1:7" ht="30" customHeight="1" x14ac:dyDescent="0.2">
      <c r="A674" s="317">
        <v>2666</v>
      </c>
      <c r="B674" s="263" t="s">
        <v>6506</v>
      </c>
      <c r="C674" s="253" t="s">
        <v>6507</v>
      </c>
      <c r="D674" s="263" t="s">
        <v>7567</v>
      </c>
      <c r="E674" s="263" t="s">
        <v>6508</v>
      </c>
      <c r="F674" s="264" t="s">
        <v>565</v>
      </c>
      <c r="G674" s="265" t="s">
        <v>7542</v>
      </c>
    </row>
    <row r="675" spans="1:7" ht="30" customHeight="1" x14ac:dyDescent="0.2">
      <c r="A675" s="317"/>
      <c r="B675" s="263"/>
      <c r="C675" s="262"/>
      <c r="D675" s="263"/>
      <c r="E675" s="263"/>
      <c r="F675" s="264"/>
      <c r="G675" s="266"/>
    </row>
    <row r="676" spans="1:7" ht="30" customHeight="1" x14ac:dyDescent="0.2">
      <c r="A676" s="317"/>
      <c r="B676" s="263"/>
      <c r="C676" s="262" t="s">
        <v>6509</v>
      </c>
      <c r="D676" s="263"/>
      <c r="E676" s="263"/>
      <c r="F676" s="264"/>
      <c r="G676" s="267"/>
    </row>
    <row r="677" spans="1:7" ht="30" customHeight="1" x14ac:dyDescent="0.2">
      <c r="A677" s="317">
        <v>2667</v>
      </c>
      <c r="B677" s="263" t="s">
        <v>6506</v>
      </c>
      <c r="C677" s="253" t="s">
        <v>6510</v>
      </c>
      <c r="D677" s="263" t="s">
        <v>7567</v>
      </c>
      <c r="E677" s="263" t="s">
        <v>6511</v>
      </c>
      <c r="F677" s="264" t="s">
        <v>565</v>
      </c>
      <c r="G677" s="265" t="s">
        <v>7542</v>
      </c>
    </row>
    <row r="678" spans="1:7" ht="30" customHeight="1" x14ac:dyDescent="0.2">
      <c r="A678" s="317"/>
      <c r="B678" s="263"/>
      <c r="C678" s="262"/>
      <c r="D678" s="263"/>
      <c r="E678" s="263"/>
      <c r="F678" s="264"/>
      <c r="G678" s="266"/>
    </row>
    <row r="679" spans="1:7" ht="30" customHeight="1" x14ac:dyDescent="0.2">
      <c r="A679" s="317"/>
      <c r="B679" s="263"/>
      <c r="C679" s="262" t="s">
        <v>6512</v>
      </c>
      <c r="D679" s="263"/>
      <c r="E679" s="263"/>
      <c r="F679" s="264"/>
      <c r="G679" s="267"/>
    </row>
    <row r="680" spans="1:7" ht="30" customHeight="1" x14ac:dyDescent="0.2">
      <c r="A680" s="317">
        <v>2668</v>
      </c>
      <c r="B680" s="263" t="s">
        <v>6506</v>
      </c>
      <c r="C680" s="253" t="s">
        <v>6513</v>
      </c>
      <c r="D680" s="263" t="s">
        <v>9352</v>
      </c>
      <c r="E680" s="263" t="s">
        <v>6511</v>
      </c>
      <c r="F680" s="264" t="s">
        <v>565</v>
      </c>
      <c r="G680" s="265" t="s">
        <v>8984</v>
      </c>
    </row>
    <row r="681" spans="1:7" ht="30" customHeight="1" x14ac:dyDescent="0.2">
      <c r="A681" s="317"/>
      <c r="B681" s="263"/>
      <c r="C681" s="262" t="s">
        <v>575</v>
      </c>
      <c r="D681" s="263"/>
      <c r="E681" s="263"/>
      <c r="F681" s="264"/>
      <c r="G681" s="266"/>
    </row>
    <row r="682" spans="1:7" ht="30" customHeight="1" x14ac:dyDescent="0.2">
      <c r="A682" s="317"/>
      <c r="B682" s="263"/>
      <c r="C682" s="262" t="s">
        <v>6514</v>
      </c>
      <c r="D682" s="263"/>
      <c r="E682" s="263"/>
      <c r="F682" s="264"/>
      <c r="G682" s="266"/>
    </row>
    <row r="683" spans="1:7" ht="30" customHeight="1" x14ac:dyDescent="0.2">
      <c r="A683" s="317"/>
      <c r="B683" s="263"/>
      <c r="C683" s="262"/>
      <c r="D683" s="263"/>
      <c r="E683" s="263"/>
      <c r="F683" s="264"/>
      <c r="G683" s="266"/>
    </row>
    <row r="684" spans="1:7" ht="30" customHeight="1" x14ac:dyDescent="0.2">
      <c r="A684" s="317"/>
      <c r="B684" s="263"/>
      <c r="C684" s="262" t="s">
        <v>6515</v>
      </c>
      <c r="D684" s="263"/>
      <c r="E684" s="263"/>
      <c r="F684" s="264"/>
      <c r="G684" s="267"/>
    </row>
    <row r="685" spans="1:7" ht="30" customHeight="1" x14ac:dyDescent="0.2">
      <c r="A685" s="317">
        <v>2669</v>
      </c>
      <c r="B685" s="263" t="s">
        <v>6506</v>
      </c>
      <c r="C685" s="253" t="s">
        <v>6516</v>
      </c>
      <c r="D685" s="263" t="s">
        <v>7567</v>
      </c>
      <c r="E685" s="263" t="s">
        <v>6511</v>
      </c>
      <c r="F685" s="264" t="s">
        <v>565</v>
      </c>
      <c r="G685" s="265" t="s">
        <v>7542</v>
      </c>
    </row>
    <row r="686" spans="1:7" ht="30" customHeight="1" x14ac:dyDescent="0.2">
      <c r="A686" s="317"/>
      <c r="B686" s="263"/>
      <c r="C686" s="262"/>
      <c r="D686" s="263"/>
      <c r="E686" s="263"/>
      <c r="F686" s="264"/>
      <c r="G686" s="266"/>
    </row>
    <row r="687" spans="1:7" ht="30" customHeight="1" x14ac:dyDescent="0.2">
      <c r="A687" s="317"/>
      <c r="B687" s="263"/>
      <c r="C687" s="262" t="s">
        <v>6517</v>
      </c>
      <c r="D687" s="263"/>
      <c r="E687" s="263"/>
      <c r="F687" s="264"/>
      <c r="G687" s="266"/>
    </row>
    <row r="688" spans="1:7" ht="30" customHeight="1" x14ac:dyDescent="0.2">
      <c r="A688" s="317"/>
      <c r="B688" s="263"/>
      <c r="C688" s="262"/>
      <c r="D688" s="263"/>
      <c r="E688" s="263"/>
      <c r="F688" s="264"/>
      <c r="G688" s="267"/>
    </row>
    <row r="689" spans="1:7" ht="30" customHeight="1" x14ac:dyDescent="0.2">
      <c r="A689" s="317">
        <v>2670</v>
      </c>
      <c r="B689" s="263" t="s">
        <v>6506</v>
      </c>
      <c r="C689" s="253" t="s">
        <v>6518</v>
      </c>
      <c r="D689" s="263" t="s">
        <v>7567</v>
      </c>
      <c r="E689" s="263" t="s">
        <v>6511</v>
      </c>
      <c r="F689" s="264" t="s">
        <v>565</v>
      </c>
      <c r="G689" s="265" t="s">
        <v>7542</v>
      </c>
    </row>
    <row r="690" spans="1:7" ht="30" customHeight="1" x14ac:dyDescent="0.2">
      <c r="A690" s="317"/>
      <c r="B690" s="263"/>
      <c r="C690" s="262"/>
      <c r="D690" s="263"/>
      <c r="E690" s="263"/>
      <c r="F690" s="264"/>
      <c r="G690" s="266"/>
    </row>
    <row r="691" spans="1:7" ht="30" customHeight="1" x14ac:dyDescent="0.2">
      <c r="A691" s="317"/>
      <c r="B691" s="263"/>
      <c r="C691" s="262" t="s">
        <v>6519</v>
      </c>
      <c r="D691" s="263"/>
      <c r="E691" s="263"/>
      <c r="F691" s="264"/>
      <c r="G691" s="266"/>
    </row>
    <row r="692" spans="1:7" ht="30" customHeight="1" x14ac:dyDescent="0.2">
      <c r="A692" s="317"/>
      <c r="B692" s="263"/>
      <c r="C692" s="262" t="s">
        <v>575</v>
      </c>
      <c r="D692" s="263"/>
      <c r="E692" s="263"/>
      <c r="F692" s="264"/>
      <c r="G692" s="267"/>
    </row>
    <row r="693" spans="1:7" ht="30" customHeight="1" x14ac:dyDescent="0.2">
      <c r="A693" s="317">
        <v>2671</v>
      </c>
      <c r="B693" s="263" t="s">
        <v>6506</v>
      </c>
      <c r="C693" s="262" t="s">
        <v>6520</v>
      </c>
      <c r="D693" s="263" t="s">
        <v>8249</v>
      </c>
      <c r="E693" s="263" t="s">
        <v>6511</v>
      </c>
      <c r="F693" s="264" t="s">
        <v>565</v>
      </c>
      <c r="G693" s="265" t="s">
        <v>8234</v>
      </c>
    </row>
    <row r="694" spans="1:7" ht="30" customHeight="1" x14ac:dyDescent="0.2">
      <c r="A694" s="317"/>
      <c r="B694" s="263"/>
      <c r="C694" s="262"/>
      <c r="D694" s="263"/>
      <c r="E694" s="263"/>
      <c r="F694" s="264"/>
      <c r="G694" s="266"/>
    </row>
    <row r="695" spans="1:7" ht="30" customHeight="1" x14ac:dyDescent="0.2">
      <c r="A695" s="317"/>
      <c r="B695" s="263"/>
      <c r="C695" s="262" t="s">
        <v>6521</v>
      </c>
      <c r="D695" s="263"/>
      <c r="E695" s="263"/>
      <c r="F695" s="264"/>
      <c r="G695" s="266"/>
    </row>
    <row r="696" spans="1:7" ht="30" customHeight="1" x14ac:dyDescent="0.2">
      <c r="A696" s="317"/>
      <c r="B696" s="263"/>
      <c r="C696" s="262" t="s">
        <v>6522</v>
      </c>
      <c r="D696" s="263"/>
      <c r="E696" s="263"/>
      <c r="F696" s="264"/>
      <c r="G696" s="266"/>
    </row>
    <row r="697" spans="1:7" ht="30" customHeight="1" x14ac:dyDescent="0.2">
      <c r="A697" s="317"/>
      <c r="B697" s="263"/>
      <c r="C697" s="262" t="s">
        <v>6523</v>
      </c>
      <c r="D697" s="263"/>
      <c r="E697" s="263"/>
      <c r="F697" s="264"/>
      <c r="G697" s="266"/>
    </row>
    <row r="698" spans="1:7" ht="30" customHeight="1" x14ac:dyDescent="0.2">
      <c r="A698" s="317"/>
      <c r="B698" s="263"/>
      <c r="C698" s="262" t="s">
        <v>6524</v>
      </c>
      <c r="D698" s="263"/>
      <c r="E698" s="263"/>
      <c r="F698" s="264"/>
      <c r="G698" s="267"/>
    </row>
    <row r="699" spans="1:7" ht="30" customHeight="1" x14ac:dyDescent="0.2">
      <c r="A699" s="317">
        <v>2672</v>
      </c>
      <c r="B699" s="263" t="s">
        <v>6506</v>
      </c>
      <c r="C699" s="262" t="s">
        <v>6525</v>
      </c>
      <c r="D699" s="263" t="s">
        <v>8053</v>
      </c>
      <c r="E699" s="263" t="s">
        <v>6511</v>
      </c>
      <c r="F699" s="264" t="s">
        <v>565</v>
      </c>
      <c r="G699" s="265" t="s">
        <v>8050</v>
      </c>
    </row>
    <row r="700" spans="1:7" ht="30" customHeight="1" x14ac:dyDescent="0.2">
      <c r="A700" s="317"/>
      <c r="B700" s="263"/>
      <c r="C700" s="262"/>
      <c r="D700" s="263"/>
      <c r="E700" s="263"/>
      <c r="F700" s="264"/>
      <c r="G700" s="266"/>
    </row>
    <row r="701" spans="1:7" ht="30" customHeight="1" x14ac:dyDescent="0.2">
      <c r="A701" s="317"/>
      <c r="B701" s="263"/>
      <c r="C701" s="262" t="s">
        <v>6526</v>
      </c>
      <c r="D701" s="263"/>
      <c r="E701" s="263"/>
      <c r="F701" s="264"/>
      <c r="G701" s="266"/>
    </row>
    <row r="702" spans="1:7" ht="30" customHeight="1" x14ac:dyDescent="0.2">
      <c r="A702" s="317"/>
      <c r="B702" s="263"/>
      <c r="C702" s="262"/>
      <c r="D702" s="263"/>
      <c r="E702" s="263"/>
      <c r="F702" s="264"/>
      <c r="G702" s="266"/>
    </row>
    <row r="703" spans="1:7" ht="30" customHeight="1" x14ac:dyDescent="0.2">
      <c r="A703" s="317"/>
      <c r="B703" s="263"/>
      <c r="C703" s="262" t="s">
        <v>6527</v>
      </c>
      <c r="D703" s="263"/>
      <c r="E703" s="263"/>
      <c r="F703" s="264"/>
      <c r="G703" s="267"/>
    </row>
    <row r="704" spans="1:7" ht="30" customHeight="1" x14ac:dyDescent="0.2">
      <c r="A704" s="317">
        <v>2673</v>
      </c>
      <c r="B704" s="263" t="s">
        <v>6506</v>
      </c>
      <c r="C704" s="262" t="s">
        <v>6528</v>
      </c>
      <c r="D704" s="263" t="s">
        <v>8054</v>
      </c>
      <c r="E704" s="263" t="s">
        <v>6511</v>
      </c>
      <c r="F704" s="264" t="s">
        <v>565</v>
      </c>
      <c r="G704" s="265" t="s">
        <v>8050</v>
      </c>
    </row>
    <row r="705" spans="1:7" ht="30" customHeight="1" x14ac:dyDescent="0.2">
      <c r="A705" s="317"/>
      <c r="B705" s="263"/>
      <c r="C705" s="262"/>
      <c r="D705" s="263"/>
      <c r="E705" s="263"/>
      <c r="F705" s="264"/>
      <c r="G705" s="266"/>
    </row>
    <row r="706" spans="1:7" ht="30" customHeight="1" x14ac:dyDescent="0.2">
      <c r="A706" s="317"/>
      <c r="B706" s="263"/>
      <c r="C706" s="262" t="s">
        <v>6529</v>
      </c>
      <c r="D706" s="263"/>
      <c r="E706" s="263"/>
      <c r="F706" s="264"/>
      <c r="G706" s="266"/>
    </row>
    <row r="707" spans="1:7" ht="30" customHeight="1" x14ac:dyDescent="0.2">
      <c r="A707" s="317"/>
      <c r="B707" s="263"/>
      <c r="C707" s="262"/>
      <c r="D707" s="263"/>
      <c r="E707" s="263"/>
      <c r="F707" s="264"/>
      <c r="G707" s="266"/>
    </row>
    <row r="708" spans="1:7" ht="30" customHeight="1" x14ac:dyDescent="0.2">
      <c r="A708" s="317"/>
      <c r="B708" s="263"/>
      <c r="C708" s="262" t="s">
        <v>6530</v>
      </c>
      <c r="D708" s="263"/>
      <c r="E708" s="263"/>
      <c r="F708" s="264"/>
      <c r="G708" s="266"/>
    </row>
    <row r="709" spans="1:7" ht="30" customHeight="1" x14ac:dyDescent="0.2">
      <c r="A709" s="317"/>
      <c r="B709" s="263"/>
      <c r="C709" s="262" t="s">
        <v>6531</v>
      </c>
      <c r="D709" s="263"/>
      <c r="E709" s="263"/>
      <c r="F709" s="264"/>
      <c r="G709" s="266"/>
    </row>
    <row r="710" spans="1:7" ht="30" customHeight="1" x14ac:dyDescent="0.2">
      <c r="A710" s="317"/>
      <c r="B710" s="263"/>
      <c r="C710" s="262" t="s">
        <v>6532</v>
      </c>
      <c r="D710" s="263"/>
      <c r="E710" s="263"/>
      <c r="F710" s="264"/>
      <c r="G710" s="266"/>
    </row>
    <row r="711" spans="1:7" ht="30" customHeight="1" x14ac:dyDescent="0.2">
      <c r="A711" s="317"/>
      <c r="B711" s="263"/>
      <c r="C711" s="262"/>
      <c r="D711" s="263"/>
      <c r="E711" s="263"/>
      <c r="F711" s="264"/>
      <c r="G711" s="266"/>
    </row>
    <row r="712" spans="1:7" ht="30" customHeight="1" x14ac:dyDescent="0.2">
      <c r="A712" s="317"/>
      <c r="B712" s="263"/>
      <c r="C712" s="262" t="s">
        <v>6533</v>
      </c>
      <c r="D712" s="263"/>
      <c r="E712" s="263"/>
      <c r="F712" s="264"/>
      <c r="G712" s="266"/>
    </row>
    <row r="713" spans="1:7" ht="30" customHeight="1" x14ac:dyDescent="0.2">
      <c r="A713" s="317"/>
      <c r="B713" s="263"/>
      <c r="C713" s="262"/>
      <c r="D713" s="263"/>
      <c r="E713" s="263"/>
      <c r="F713" s="264"/>
      <c r="G713" s="267"/>
    </row>
    <row r="714" spans="1:7" ht="30" customHeight="1" x14ac:dyDescent="0.2">
      <c r="A714" s="317">
        <v>2674</v>
      </c>
      <c r="B714" s="263" t="s">
        <v>6506</v>
      </c>
      <c r="C714" s="262" t="s">
        <v>6534</v>
      </c>
      <c r="D714" s="263" t="s">
        <v>7568</v>
      </c>
      <c r="E714" s="263" t="s">
        <v>6535</v>
      </c>
      <c r="F714" s="264" t="s">
        <v>565</v>
      </c>
      <c r="G714" s="265" t="s">
        <v>7542</v>
      </c>
    </row>
    <row r="715" spans="1:7" ht="30" customHeight="1" x14ac:dyDescent="0.2">
      <c r="A715" s="317"/>
      <c r="B715" s="263"/>
      <c r="C715" s="262"/>
      <c r="D715" s="263"/>
      <c r="E715" s="263"/>
      <c r="F715" s="264"/>
      <c r="G715" s="266"/>
    </row>
    <row r="716" spans="1:7" ht="30" customHeight="1" x14ac:dyDescent="0.2">
      <c r="A716" s="317"/>
      <c r="B716" s="263"/>
      <c r="C716" s="262" t="s">
        <v>6536</v>
      </c>
      <c r="D716" s="263"/>
      <c r="E716" s="263"/>
      <c r="F716" s="264"/>
      <c r="G716" s="267"/>
    </row>
    <row r="717" spans="1:7" ht="30" customHeight="1" x14ac:dyDescent="0.2">
      <c r="A717" s="317">
        <v>2675</v>
      </c>
      <c r="B717" s="263" t="s">
        <v>6506</v>
      </c>
      <c r="C717" s="253" t="s">
        <v>6537</v>
      </c>
      <c r="D717" s="263" t="s">
        <v>7569</v>
      </c>
      <c r="E717" s="263" t="s">
        <v>6538</v>
      </c>
      <c r="F717" s="264" t="s">
        <v>565</v>
      </c>
      <c r="G717" s="265" t="s">
        <v>7542</v>
      </c>
    </row>
    <row r="718" spans="1:7" ht="30" customHeight="1" x14ac:dyDescent="0.2">
      <c r="A718" s="317"/>
      <c r="B718" s="263"/>
      <c r="C718" s="253"/>
      <c r="D718" s="263"/>
      <c r="E718" s="263"/>
      <c r="F718" s="264"/>
      <c r="G718" s="266"/>
    </row>
    <row r="719" spans="1:7" ht="30" customHeight="1" x14ac:dyDescent="0.2">
      <c r="A719" s="317"/>
      <c r="B719" s="263"/>
      <c r="C719" s="262" t="s">
        <v>10228</v>
      </c>
      <c r="D719" s="263"/>
      <c r="E719" s="263"/>
      <c r="F719" s="264"/>
      <c r="G719" s="266"/>
    </row>
    <row r="720" spans="1:7" ht="30" customHeight="1" x14ac:dyDescent="0.2">
      <c r="A720" s="317"/>
      <c r="B720" s="263"/>
      <c r="C720" s="262" t="s">
        <v>6539</v>
      </c>
      <c r="D720" s="263"/>
      <c r="E720" s="263"/>
      <c r="F720" s="264"/>
      <c r="G720" s="266"/>
    </row>
    <row r="721" spans="1:7" ht="30" customHeight="1" x14ac:dyDescent="0.2">
      <c r="A721" s="317"/>
      <c r="B721" s="263"/>
      <c r="C721" s="262" t="s">
        <v>6540</v>
      </c>
      <c r="D721" s="263"/>
      <c r="E721" s="263"/>
      <c r="F721" s="264"/>
      <c r="G721" s="266"/>
    </row>
    <row r="722" spans="1:7" ht="30" customHeight="1" x14ac:dyDescent="0.2">
      <c r="A722" s="317"/>
      <c r="B722" s="263"/>
      <c r="C722" s="262"/>
      <c r="D722" s="263"/>
      <c r="E722" s="263"/>
      <c r="F722" s="264"/>
      <c r="G722" s="266"/>
    </row>
    <row r="723" spans="1:7" ht="30" customHeight="1" x14ac:dyDescent="0.2">
      <c r="A723" s="317"/>
      <c r="B723" s="263"/>
      <c r="C723" s="262" t="s">
        <v>10229</v>
      </c>
      <c r="D723" s="263"/>
      <c r="E723" s="263"/>
      <c r="F723" s="264"/>
      <c r="G723" s="266"/>
    </row>
    <row r="724" spans="1:7" ht="30" customHeight="1" x14ac:dyDescent="0.2">
      <c r="A724" s="317"/>
      <c r="B724" s="263"/>
      <c r="C724" s="262" t="s">
        <v>6541</v>
      </c>
      <c r="D724" s="263"/>
      <c r="E724" s="263"/>
      <c r="F724" s="264"/>
      <c r="G724" s="266"/>
    </row>
    <row r="725" spans="1:7" ht="30" customHeight="1" x14ac:dyDescent="0.2">
      <c r="A725" s="317"/>
      <c r="B725" s="263"/>
      <c r="C725" s="262" t="s">
        <v>6542</v>
      </c>
      <c r="D725" s="263"/>
      <c r="E725" s="263"/>
      <c r="F725" s="264"/>
      <c r="G725" s="266"/>
    </row>
    <row r="726" spans="1:7" ht="30" customHeight="1" x14ac:dyDescent="0.2">
      <c r="A726" s="317"/>
      <c r="B726" s="263"/>
      <c r="C726" s="262"/>
      <c r="D726" s="263"/>
      <c r="E726" s="263"/>
      <c r="F726" s="264"/>
      <c r="G726" s="267"/>
    </row>
    <row r="727" spans="1:7" ht="30" customHeight="1" x14ac:dyDescent="0.2">
      <c r="A727" s="254">
        <v>2676</v>
      </c>
      <c r="B727" s="262" t="s">
        <v>6506</v>
      </c>
      <c r="C727" s="262" t="s">
        <v>6543</v>
      </c>
      <c r="D727" s="262" t="s">
        <v>7570</v>
      </c>
      <c r="E727" s="262" t="s">
        <v>6535</v>
      </c>
      <c r="F727" s="269" t="s">
        <v>565</v>
      </c>
      <c r="G727" s="269" t="s">
        <v>7542</v>
      </c>
    </row>
    <row r="728" spans="1:7" ht="30" customHeight="1" x14ac:dyDescent="0.2">
      <c r="A728" s="317">
        <v>2677</v>
      </c>
      <c r="B728" s="262" t="s">
        <v>6506</v>
      </c>
      <c r="C728" s="262" t="s">
        <v>6544</v>
      </c>
      <c r="D728" s="263" t="s">
        <v>7571</v>
      </c>
      <c r="E728" s="263" t="s">
        <v>5186</v>
      </c>
      <c r="F728" s="264" t="s">
        <v>565</v>
      </c>
      <c r="G728" s="265" t="s">
        <v>7542</v>
      </c>
    </row>
    <row r="729" spans="1:7" ht="30" customHeight="1" x14ac:dyDescent="0.2">
      <c r="A729" s="317"/>
      <c r="B729" s="262" t="s">
        <v>6506</v>
      </c>
      <c r="C729" s="262" t="s">
        <v>6545</v>
      </c>
      <c r="D729" s="263"/>
      <c r="E729" s="263"/>
      <c r="F729" s="264"/>
      <c r="G729" s="267"/>
    </row>
    <row r="730" spans="1:7" ht="30" customHeight="1" x14ac:dyDescent="0.2">
      <c r="A730" s="254">
        <v>2678</v>
      </c>
      <c r="B730" s="262" t="s">
        <v>6506</v>
      </c>
      <c r="C730" s="262" t="s">
        <v>6546</v>
      </c>
      <c r="D730" s="262" t="s">
        <v>7572</v>
      </c>
      <c r="E730" s="262" t="s">
        <v>5186</v>
      </c>
      <c r="F730" s="269" t="s">
        <v>565</v>
      </c>
      <c r="G730" s="269" t="s">
        <v>7542</v>
      </c>
    </row>
    <row r="731" spans="1:7" ht="30" customHeight="1" x14ac:dyDescent="0.2">
      <c r="A731" s="254">
        <v>2679</v>
      </c>
      <c r="B731" s="262" t="s">
        <v>6506</v>
      </c>
      <c r="C731" s="262" t="s">
        <v>6547</v>
      </c>
      <c r="D731" s="262" t="s">
        <v>7573</v>
      </c>
      <c r="E731" s="262" t="s">
        <v>5186</v>
      </c>
      <c r="F731" s="269" t="s">
        <v>565</v>
      </c>
      <c r="G731" s="269" t="s">
        <v>7542</v>
      </c>
    </row>
    <row r="732" spans="1:7" ht="30" customHeight="1" x14ac:dyDescent="0.2">
      <c r="A732" s="254">
        <v>2680</v>
      </c>
      <c r="B732" s="262" t="s">
        <v>6506</v>
      </c>
      <c r="C732" s="262" t="s">
        <v>6548</v>
      </c>
      <c r="D732" s="262" t="s">
        <v>7573</v>
      </c>
      <c r="E732" s="262" t="s">
        <v>5186</v>
      </c>
      <c r="F732" s="269" t="s">
        <v>565</v>
      </c>
      <c r="G732" s="269" t="s">
        <v>7542</v>
      </c>
    </row>
    <row r="733" spans="1:7" ht="30" customHeight="1" x14ac:dyDescent="0.2">
      <c r="A733" s="254">
        <v>2681</v>
      </c>
      <c r="B733" s="262" t="s">
        <v>6506</v>
      </c>
      <c r="C733" s="262" t="s">
        <v>6549</v>
      </c>
      <c r="D733" s="262" t="s">
        <v>7573</v>
      </c>
      <c r="E733" s="262" t="s">
        <v>5167</v>
      </c>
      <c r="F733" s="269" t="s">
        <v>565</v>
      </c>
      <c r="G733" s="269" t="s">
        <v>7542</v>
      </c>
    </row>
    <row r="734" spans="1:7" ht="30" customHeight="1" x14ac:dyDescent="0.2">
      <c r="A734" s="254">
        <v>2682</v>
      </c>
      <c r="B734" s="262" t="s">
        <v>6506</v>
      </c>
      <c r="C734" s="262" t="s">
        <v>6550</v>
      </c>
      <c r="D734" s="262" t="s">
        <v>7574</v>
      </c>
      <c r="E734" s="262" t="s">
        <v>5186</v>
      </c>
      <c r="F734" s="269" t="s">
        <v>565</v>
      </c>
      <c r="G734" s="269" t="s">
        <v>7542</v>
      </c>
    </row>
    <row r="735" spans="1:7" ht="30" customHeight="1" x14ac:dyDescent="0.2">
      <c r="A735" s="254">
        <v>2683</v>
      </c>
      <c r="B735" s="262" t="s">
        <v>6506</v>
      </c>
      <c r="C735" s="262" t="s">
        <v>6551</v>
      </c>
      <c r="D735" s="262" t="s">
        <v>7575</v>
      </c>
      <c r="E735" s="262" t="s">
        <v>5167</v>
      </c>
      <c r="F735" s="269" t="s">
        <v>565</v>
      </c>
      <c r="G735" s="269" t="s">
        <v>7542</v>
      </c>
    </row>
    <row r="736" spans="1:7" ht="30" customHeight="1" x14ac:dyDescent="0.2">
      <c r="A736" s="317">
        <v>2687</v>
      </c>
      <c r="B736" s="263" t="s">
        <v>6506</v>
      </c>
      <c r="C736" s="262" t="s">
        <v>6552</v>
      </c>
      <c r="D736" s="263" t="s">
        <v>7576</v>
      </c>
      <c r="E736" s="263"/>
      <c r="F736" s="264" t="s">
        <v>565</v>
      </c>
      <c r="G736" s="265" t="s">
        <v>7542</v>
      </c>
    </row>
    <row r="737" spans="1:7" ht="30" customHeight="1" x14ac:dyDescent="0.2">
      <c r="A737" s="317"/>
      <c r="B737" s="263"/>
      <c r="C737" s="262" t="s">
        <v>6553</v>
      </c>
      <c r="D737" s="263"/>
      <c r="E737" s="263"/>
      <c r="F737" s="264"/>
      <c r="G737" s="267"/>
    </row>
    <row r="738" spans="1:7" ht="30" customHeight="1" x14ac:dyDescent="0.2">
      <c r="A738" s="317">
        <v>2688</v>
      </c>
      <c r="B738" s="263" t="s">
        <v>6506</v>
      </c>
      <c r="C738" s="262" t="s">
        <v>6554</v>
      </c>
      <c r="D738" s="263" t="s">
        <v>7577</v>
      </c>
      <c r="E738" s="263"/>
      <c r="F738" s="264" t="s">
        <v>565</v>
      </c>
      <c r="G738" s="265" t="s">
        <v>7542</v>
      </c>
    </row>
    <row r="739" spans="1:7" ht="30" customHeight="1" x14ac:dyDescent="0.2">
      <c r="A739" s="317"/>
      <c r="B739" s="263"/>
      <c r="C739" s="262" t="s">
        <v>6555</v>
      </c>
      <c r="D739" s="263"/>
      <c r="E739" s="263"/>
      <c r="F739" s="264"/>
      <c r="G739" s="267"/>
    </row>
    <row r="740" spans="1:7" ht="30" customHeight="1" x14ac:dyDescent="0.2">
      <c r="A740" s="317">
        <v>2689</v>
      </c>
      <c r="B740" s="263" t="s">
        <v>6506</v>
      </c>
      <c r="C740" s="262" t="s">
        <v>6556</v>
      </c>
      <c r="D740" s="263" t="s">
        <v>7578</v>
      </c>
      <c r="E740" s="263"/>
      <c r="F740" s="264" t="s">
        <v>565</v>
      </c>
      <c r="G740" s="265" t="s">
        <v>7542</v>
      </c>
    </row>
    <row r="741" spans="1:7" ht="30" customHeight="1" x14ac:dyDescent="0.2">
      <c r="A741" s="317"/>
      <c r="B741" s="263"/>
      <c r="C741" s="262" t="s">
        <v>6557</v>
      </c>
      <c r="D741" s="263"/>
      <c r="E741" s="263"/>
      <c r="F741" s="264"/>
      <c r="G741" s="267"/>
    </row>
    <row r="742" spans="1:7" ht="30" customHeight="1" x14ac:dyDescent="0.2">
      <c r="A742" s="317">
        <v>2690</v>
      </c>
      <c r="B742" s="263" t="s">
        <v>6506</v>
      </c>
      <c r="C742" s="262" t="s">
        <v>6558</v>
      </c>
      <c r="D742" s="263" t="s">
        <v>7579</v>
      </c>
      <c r="E742" s="263"/>
      <c r="F742" s="264" t="s">
        <v>565</v>
      </c>
      <c r="G742" s="265" t="s">
        <v>7542</v>
      </c>
    </row>
    <row r="743" spans="1:7" ht="30" customHeight="1" x14ac:dyDescent="0.2">
      <c r="A743" s="317"/>
      <c r="B743" s="263"/>
      <c r="C743" s="262" t="s">
        <v>6557</v>
      </c>
      <c r="D743" s="263"/>
      <c r="E743" s="263"/>
      <c r="F743" s="264"/>
      <c r="G743" s="267"/>
    </row>
    <row r="744" spans="1:7" ht="30" customHeight="1" x14ac:dyDescent="0.2">
      <c r="A744" s="254">
        <v>2691</v>
      </c>
      <c r="B744" s="262" t="s">
        <v>6506</v>
      </c>
      <c r="C744" s="262" t="s">
        <v>6559</v>
      </c>
      <c r="D744" s="262" t="s">
        <v>7580</v>
      </c>
      <c r="E744" s="262" t="s">
        <v>6511</v>
      </c>
      <c r="F744" s="269" t="s">
        <v>565</v>
      </c>
      <c r="G744" s="269" t="s">
        <v>7542</v>
      </c>
    </row>
    <row r="745" spans="1:7" ht="30" customHeight="1" x14ac:dyDescent="0.2">
      <c r="A745" s="254">
        <v>2692</v>
      </c>
      <c r="B745" s="262" t="s">
        <v>6506</v>
      </c>
      <c r="C745" s="262" t="s">
        <v>6560</v>
      </c>
      <c r="D745" s="262" t="s">
        <v>7581</v>
      </c>
      <c r="E745" s="262" t="s">
        <v>6511</v>
      </c>
      <c r="F745" s="269" t="s">
        <v>565</v>
      </c>
      <c r="G745" s="269" t="s">
        <v>7542</v>
      </c>
    </row>
    <row r="746" spans="1:7" ht="30" customHeight="1" x14ac:dyDescent="0.2">
      <c r="A746" s="317">
        <v>2693</v>
      </c>
      <c r="B746" s="263" t="s">
        <v>6506</v>
      </c>
      <c r="C746" s="262" t="s">
        <v>6561</v>
      </c>
      <c r="D746" s="263" t="s">
        <v>7582</v>
      </c>
      <c r="E746" s="263" t="s">
        <v>6538</v>
      </c>
      <c r="F746" s="264" t="s">
        <v>565</v>
      </c>
      <c r="G746" s="265" t="s">
        <v>7542</v>
      </c>
    </row>
    <row r="747" spans="1:7" ht="30" customHeight="1" x14ac:dyDescent="0.2">
      <c r="A747" s="317"/>
      <c r="B747" s="263"/>
      <c r="C747" s="262"/>
      <c r="D747" s="263"/>
      <c r="E747" s="263"/>
      <c r="F747" s="264"/>
      <c r="G747" s="266"/>
    </row>
    <row r="748" spans="1:7" ht="30" customHeight="1" x14ac:dyDescent="0.2">
      <c r="A748" s="317"/>
      <c r="B748" s="263"/>
      <c r="C748" s="262" t="s">
        <v>6562</v>
      </c>
      <c r="D748" s="263"/>
      <c r="E748" s="263"/>
      <c r="F748" s="264"/>
      <c r="G748" s="266"/>
    </row>
    <row r="749" spans="1:7" ht="30" customHeight="1" x14ac:dyDescent="0.2">
      <c r="A749" s="317"/>
      <c r="B749" s="263"/>
      <c r="C749" s="262"/>
      <c r="D749" s="263"/>
      <c r="E749" s="263"/>
      <c r="F749" s="264"/>
      <c r="G749" s="266"/>
    </row>
    <row r="750" spans="1:7" ht="30" customHeight="1" x14ac:dyDescent="0.2">
      <c r="A750" s="317"/>
      <c r="B750" s="263"/>
      <c r="C750" s="262" t="s">
        <v>6563</v>
      </c>
      <c r="D750" s="263"/>
      <c r="E750" s="263"/>
      <c r="F750" s="264"/>
      <c r="G750" s="266"/>
    </row>
    <row r="751" spans="1:7" ht="30" customHeight="1" x14ac:dyDescent="0.2">
      <c r="A751" s="317"/>
      <c r="B751" s="263"/>
      <c r="C751" s="262"/>
      <c r="D751" s="263"/>
      <c r="E751" s="263"/>
      <c r="F751" s="264"/>
      <c r="G751" s="266"/>
    </row>
    <row r="752" spans="1:7" ht="30" customHeight="1" x14ac:dyDescent="0.2">
      <c r="A752" s="317"/>
      <c r="B752" s="263"/>
      <c r="C752" s="262" t="s">
        <v>6564</v>
      </c>
      <c r="D752" s="263"/>
      <c r="E752" s="263"/>
      <c r="F752" s="264"/>
      <c r="G752" s="266"/>
    </row>
    <row r="753" spans="1:7" ht="30" customHeight="1" x14ac:dyDescent="0.2">
      <c r="A753" s="317"/>
      <c r="B753" s="263"/>
      <c r="C753" s="262" t="s">
        <v>6565</v>
      </c>
      <c r="D753" s="263"/>
      <c r="E753" s="263"/>
      <c r="F753" s="264"/>
      <c r="G753" s="266"/>
    </row>
    <row r="754" spans="1:7" ht="30" customHeight="1" x14ac:dyDescent="0.2">
      <c r="A754" s="317"/>
      <c r="B754" s="263"/>
      <c r="C754" s="262"/>
      <c r="D754" s="263"/>
      <c r="E754" s="263"/>
      <c r="F754" s="264"/>
      <c r="G754" s="266"/>
    </row>
    <row r="755" spans="1:7" ht="30" customHeight="1" x14ac:dyDescent="0.2">
      <c r="A755" s="317"/>
      <c r="B755" s="263"/>
      <c r="C755" s="262"/>
      <c r="D755" s="263"/>
      <c r="E755" s="263"/>
      <c r="F755" s="264"/>
      <c r="G755" s="266"/>
    </row>
    <row r="756" spans="1:7" ht="30" customHeight="1" x14ac:dyDescent="0.2">
      <c r="A756" s="317"/>
      <c r="B756" s="263"/>
      <c r="C756" s="262"/>
      <c r="D756" s="263"/>
      <c r="E756" s="263"/>
      <c r="F756" s="264"/>
      <c r="G756" s="266"/>
    </row>
    <row r="757" spans="1:7" ht="30" customHeight="1" x14ac:dyDescent="0.2">
      <c r="A757" s="317"/>
      <c r="B757" s="263"/>
      <c r="C757" s="262" t="s">
        <v>6566</v>
      </c>
      <c r="D757" s="263"/>
      <c r="E757" s="263"/>
      <c r="F757" s="264"/>
      <c r="G757" s="266"/>
    </row>
    <row r="758" spans="1:7" ht="30" customHeight="1" x14ac:dyDescent="0.2">
      <c r="A758" s="317"/>
      <c r="B758" s="263"/>
      <c r="C758" s="262" t="s">
        <v>6567</v>
      </c>
      <c r="D758" s="263"/>
      <c r="E758" s="263"/>
      <c r="F758" s="264"/>
      <c r="G758" s="267"/>
    </row>
    <row r="759" spans="1:7" ht="30" customHeight="1" x14ac:dyDescent="0.2">
      <c r="A759" s="317">
        <v>2694</v>
      </c>
      <c r="B759" s="263" t="s">
        <v>6506</v>
      </c>
      <c r="C759" s="262" t="s">
        <v>6561</v>
      </c>
      <c r="D759" s="263" t="s">
        <v>9353</v>
      </c>
      <c r="E759" s="263" t="s">
        <v>6538</v>
      </c>
      <c r="F759" s="264" t="s">
        <v>565</v>
      </c>
      <c r="G759" s="265" t="s">
        <v>8984</v>
      </c>
    </row>
    <row r="760" spans="1:7" ht="30" customHeight="1" x14ac:dyDescent="0.2">
      <c r="A760" s="317"/>
      <c r="B760" s="263"/>
      <c r="C760" s="262"/>
      <c r="D760" s="263"/>
      <c r="E760" s="263"/>
      <c r="F760" s="264"/>
      <c r="G760" s="266"/>
    </row>
    <row r="761" spans="1:7" ht="30" customHeight="1" x14ac:dyDescent="0.2">
      <c r="A761" s="317"/>
      <c r="B761" s="263"/>
      <c r="C761" s="262" t="s">
        <v>6568</v>
      </c>
      <c r="D761" s="263"/>
      <c r="E761" s="263"/>
      <c r="F761" s="264"/>
      <c r="G761" s="266"/>
    </row>
    <row r="762" spans="1:7" ht="30" customHeight="1" x14ac:dyDescent="0.2">
      <c r="A762" s="317"/>
      <c r="B762" s="263"/>
      <c r="C762" s="262"/>
      <c r="D762" s="263"/>
      <c r="E762" s="263"/>
      <c r="F762" s="264"/>
      <c r="G762" s="266"/>
    </row>
    <row r="763" spans="1:7" ht="30" customHeight="1" x14ac:dyDescent="0.2">
      <c r="A763" s="317"/>
      <c r="B763" s="263"/>
      <c r="C763" s="262" t="s">
        <v>6569</v>
      </c>
      <c r="D763" s="263"/>
      <c r="E763" s="263"/>
      <c r="F763" s="264"/>
      <c r="G763" s="266"/>
    </row>
    <row r="764" spans="1:7" ht="30" customHeight="1" x14ac:dyDescent="0.2">
      <c r="A764" s="317"/>
      <c r="B764" s="263"/>
      <c r="C764" s="262" t="s">
        <v>6570</v>
      </c>
      <c r="D764" s="263"/>
      <c r="E764" s="263"/>
      <c r="F764" s="264"/>
      <c r="G764" s="266"/>
    </row>
    <row r="765" spans="1:7" ht="30" customHeight="1" x14ac:dyDescent="0.2">
      <c r="A765" s="317"/>
      <c r="B765" s="263"/>
      <c r="C765" s="262" t="s">
        <v>6571</v>
      </c>
      <c r="D765" s="263"/>
      <c r="E765" s="263"/>
      <c r="F765" s="264"/>
      <c r="G765" s="266"/>
    </row>
    <row r="766" spans="1:7" ht="30" customHeight="1" x14ac:dyDescent="0.2">
      <c r="A766" s="317"/>
      <c r="B766" s="263"/>
      <c r="C766" s="262" t="s">
        <v>6572</v>
      </c>
      <c r="D766" s="263"/>
      <c r="E766" s="263"/>
      <c r="F766" s="264"/>
      <c r="G766" s="266"/>
    </row>
    <row r="767" spans="1:7" ht="30" customHeight="1" x14ac:dyDescent="0.2">
      <c r="A767" s="317"/>
      <c r="B767" s="263"/>
      <c r="C767" s="262"/>
      <c r="D767" s="263"/>
      <c r="E767" s="263"/>
      <c r="F767" s="264"/>
      <c r="G767" s="266"/>
    </row>
    <row r="768" spans="1:7" ht="30" customHeight="1" x14ac:dyDescent="0.2">
      <c r="A768" s="317"/>
      <c r="B768" s="263"/>
      <c r="C768" s="262" t="s">
        <v>6573</v>
      </c>
      <c r="D768" s="263"/>
      <c r="E768" s="263"/>
      <c r="F768" s="264"/>
      <c r="G768" s="266"/>
    </row>
    <row r="769" spans="1:7" ht="30" customHeight="1" x14ac:dyDescent="0.2">
      <c r="A769" s="317"/>
      <c r="B769" s="263"/>
      <c r="C769" s="262"/>
      <c r="D769" s="263"/>
      <c r="E769" s="263"/>
      <c r="F769" s="264"/>
      <c r="G769" s="266"/>
    </row>
    <row r="770" spans="1:7" ht="30" customHeight="1" x14ac:dyDescent="0.2">
      <c r="A770" s="317"/>
      <c r="B770" s="263"/>
      <c r="C770" s="262" t="s">
        <v>6574</v>
      </c>
      <c r="D770" s="263"/>
      <c r="E770" s="263"/>
      <c r="F770" s="264"/>
      <c r="G770" s="266"/>
    </row>
    <row r="771" spans="1:7" ht="30" customHeight="1" x14ac:dyDescent="0.2">
      <c r="A771" s="317"/>
      <c r="B771" s="263"/>
      <c r="C771" s="262" t="s">
        <v>575</v>
      </c>
      <c r="D771" s="263"/>
      <c r="E771" s="263"/>
      <c r="F771" s="264"/>
      <c r="G771" s="266"/>
    </row>
    <row r="772" spans="1:7" ht="30" customHeight="1" x14ac:dyDescent="0.2">
      <c r="A772" s="317"/>
      <c r="B772" s="263"/>
      <c r="C772" s="262"/>
      <c r="D772" s="263"/>
      <c r="E772" s="263"/>
      <c r="F772" s="264"/>
      <c r="G772" s="266"/>
    </row>
    <row r="773" spans="1:7" ht="30" customHeight="1" x14ac:dyDescent="0.2">
      <c r="A773" s="317"/>
      <c r="B773" s="263"/>
      <c r="C773" s="262" t="s">
        <v>6575</v>
      </c>
      <c r="D773" s="263"/>
      <c r="E773" s="263"/>
      <c r="F773" s="264"/>
      <c r="G773" s="266"/>
    </row>
    <row r="774" spans="1:7" ht="30" customHeight="1" x14ac:dyDescent="0.2">
      <c r="A774" s="317"/>
      <c r="B774" s="263"/>
      <c r="C774" s="262" t="s">
        <v>6576</v>
      </c>
      <c r="D774" s="263"/>
      <c r="E774" s="263"/>
      <c r="F774" s="264"/>
      <c r="G774" s="266"/>
    </row>
    <row r="775" spans="1:7" ht="30" customHeight="1" x14ac:dyDescent="0.2">
      <c r="A775" s="317"/>
      <c r="B775" s="263"/>
      <c r="C775" s="262"/>
      <c r="D775" s="263"/>
      <c r="E775" s="263"/>
      <c r="F775" s="264"/>
      <c r="G775" s="266"/>
    </row>
    <row r="776" spans="1:7" ht="30" customHeight="1" x14ac:dyDescent="0.2">
      <c r="A776" s="317"/>
      <c r="B776" s="263"/>
      <c r="C776" s="262"/>
      <c r="D776" s="263"/>
      <c r="E776" s="263"/>
      <c r="F776" s="264"/>
      <c r="G776" s="266"/>
    </row>
    <row r="777" spans="1:7" ht="30" customHeight="1" x14ac:dyDescent="0.2">
      <c r="A777" s="317"/>
      <c r="B777" s="263"/>
      <c r="C777" s="262" t="s">
        <v>6577</v>
      </c>
      <c r="D777" s="263"/>
      <c r="E777" s="263"/>
      <c r="F777" s="264"/>
      <c r="G777" s="266"/>
    </row>
    <row r="778" spans="1:7" ht="30" customHeight="1" x14ac:dyDescent="0.2">
      <c r="A778" s="317"/>
      <c r="B778" s="263"/>
      <c r="C778" s="262" t="s">
        <v>6578</v>
      </c>
      <c r="D778" s="263"/>
      <c r="E778" s="263"/>
      <c r="F778" s="264"/>
      <c r="G778" s="266"/>
    </row>
    <row r="779" spans="1:7" ht="30" customHeight="1" x14ac:dyDescent="0.2">
      <c r="A779" s="317"/>
      <c r="B779" s="263"/>
      <c r="C779" s="262"/>
      <c r="D779" s="263"/>
      <c r="E779" s="263"/>
      <c r="F779" s="264"/>
      <c r="G779" s="266"/>
    </row>
    <row r="780" spans="1:7" ht="30" customHeight="1" x14ac:dyDescent="0.2">
      <c r="A780" s="317"/>
      <c r="B780" s="263"/>
      <c r="C780" s="262" t="s">
        <v>6579</v>
      </c>
      <c r="D780" s="263"/>
      <c r="E780" s="263"/>
      <c r="F780" s="264"/>
      <c r="G780" s="266"/>
    </row>
    <row r="781" spans="1:7" ht="30" customHeight="1" x14ac:dyDescent="0.2">
      <c r="A781" s="317"/>
      <c r="B781" s="263"/>
      <c r="C781" s="262"/>
      <c r="D781" s="263"/>
      <c r="E781" s="263"/>
      <c r="F781" s="264"/>
      <c r="G781" s="266"/>
    </row>
    <row r="782" spans="1:7" ht="30" customHeight="1" x14ac:dyDescent="0.2">
      <c r="A782" s="317"/>
      <c r="B782" s="263"/>
      <c r="C782" s="262" t="s">
        <v>6580</v>
      </c>
      <c r="D782" s="263"/>
      <c r="E782" s="263"/>
      <c r="F782" s="264"/>
      <c r="G782" s="266"/>
    </row>
    <row r="783" spans="1:7" ht="30" customHeight="1" x14ac:dyDescent="0.2">
      <c r="A783" s="317"/>
      <c r="B783" s="263"/>
      <c r="C783" s="262"/>
      <c r="D783" s="263"/>
      <c r="E783" s="263"/>
      <c r="F783" s="264"/>
      <c r="G783" s="267"/>
    </row>
    <row r="784" spans="1:7" ht="30" customHeight="1" x14ac:dyDescent="0.2">
      <c r="A784" s="316">
        <v>2695</v>
      </c>
      <c r="B784" s="255" t="s">
        <v>6333</v>
      </c>
      <c r="C784" s="255" t="s">
        <v>6581</v>
      </c>
      <c r="D784" s="255" t="s">
        <v>9012</v>
      </c>
      <c r="E784" s="255" t="s">
        <v>6582</v>
      </c>
      <c r="F784" s="256" t="s">
        <v>84</v>
      </c>
      <c r="G784" s="256" t="s">
        <v>8890</v>
      </c>
    </row>
    <row r="785" spans="1:7" ht="30" customHeight="1" x14ac:dyDescent="0.2">
      <c r="A785" s="316">
        <v>2696</v>
      </c>
      <c r="B785" s="255" t="s">
        <v>6583</v>
      </c>
      <c r="C785" s="262" t="s">
        <v>10230</v>
      </c>
      <c r="D785" s="255" t="s">
        <v>8665</v>
      </c>
      <c r="E785" s="255" t="s">
        <v>6584</v>
      </c>
      <c r="F785" s="269" t="s">
        <v>6046</v>
      </c>
      <c r="G785" s="269" t="s">
        <v>8577</v>
      </c>
    </row>
    <row r="786" spans="1:7" ht="30" customHeight="1" x14ac:dyDescent="0.2">
      <c r="A786" s="254">
        <v>2697</v>
      </c>
      <c r="B786" s="255" t="s">
        <v>6583</v>
      </c>
      <c r="C786" s="262" t="s">
        <v>10231</v>
      </c>
      <c r="D786" s="255" t="s">
        <v>8666</v>
      </c>
      <c r="E786" s="255" t="s">
        <v>6585</v>
      </c>
      <c r="F786" s="269" t="s">
        <v>6046</v>
      </c>
      <c r="G786" s="269" t="s">
        <v>8577</v>
      </c>
    </row>
    <row r="787" spans="1:7" ht="30" customHeight="1" x14ac:dyDescent="0.2">
      <c r="A787" s="316">
        <v>2698</v>
      </c>
      <c r="B787" s="255" t="s">
        <v>6583</v>
      </c>
      <c r="C787" s="262" t="s">
        <v>10232</v>
      </c>
      <c r="D787" s="255" t="s">
        <v>8667</v>
      </c>
      <c r="E787" s="255" t="s">
        <v>6586</v>
      </c>
      <c r="F787" s="269" t="s">
        <v>6046</v>
      </c>
      <c r="G787" s="269" t="s">
        <v>8668</v>
      </c>
    </row>
    <row r="788" spans="1:7" ht="30" customHeight="1" x14ac:dyDescent="0.25">
      <c r="A788" s="316">
        <v>2699</v>
      </c>
      <c r="B788" s="282" t="s">
        <v>6999</v>
      </c>
      <c r="C788" s="270" t="s">
        <v>7001</v>
      </c>
      <c r="D788" s="362" t="s">
        <v>9565</v>
      </c>
      <c r="E788" s="255"/>
      <c r="F788" s="271" t="s">
        <v>108</v>
      </c>
      <c r="G788" s="269" t="s">
        <v>8890</v>
      </c>
    </row>
    <row r="789" spans="1:7" ht="30" customHeight="1" x14ac:dyDescent="0.25">
      <c r="A789" s="316">
        <v>2700</v>
      </c>
      <c r="B789" s="283" t="s">
        <v>6999</v>
      </c>
      <c r="C789" s="272" t="s">
        <v>7002</v>
      </c>
      <c r="D789" s="363" t="s">
        <v>9566</v>
      </c>
      <c r="E789" s="255"/>
      <c r="F789" s="271" t="s">
        <v>108</v>
      </c>
      <c r="G789" s="269" t="s">
        <v>8890</v>
      </c>
    </row>
    <row r="790" spans="1:7" ht="30" customHeight="1" x14ac:dyDescent="0.25">
      <c r="A790" s="316">
        <v>2701</v>
      </c>
      <c r="B790" s="283" t="s">
        <v>6999</v>
      </c>
      <c r="C790" s="273" t="s">
        <v>7003</v>
      </c>
      <c r="D790" s="362" t="s">
        <v>9567</v>
      </c>
      <c r="E790" s="255"/>
      <c r="F790" s="271" t="s">
        <v>108</v>
      </c>
      <c r="G790" s="269" t="s">
        <v>8890</v>
      </c>
    </row>
    <row r="791" spans="1:7" ht="30" customHeight="1" x14ac:dyDescent="0.25">
      <c r="A791" s="316">
        <v>2702</v>
      </c>
      <c r="B791" s="283" t="s">
        <v>6999</v>
      </c>
      <c r="C791" s="273" t="s">
        <v>7004</v>
      </c>
      <c r="D791" s="255" t="s">
        <v>8966</v>
      </c>
      <c r="E791" s="255"/>
      <c r="F791" s="271"/>
      <c r="G791" s="269" t="s">
        <v>8947</v>
      </c>
    </row>
    <row r="792" spans="1:7" ht="30" customHeight="1" x14ac:dyDescent="0.25">
      <c r="A792" s="316">
        <v>2703</v>
      </c>
      <c r="B792" s="283" t="s">
        <v>6999</v>
      </c>
      <c r="C792" s="273" t="s">
        <v>7005</v>
      </c>
      <c r="D792" s="255" t="s">
        <v>8479</v>
      </c>
      <c r="E792" s="255"/>
      <c r="F792" s="271" t="s">
        <v>7007</v>
      </c>
      <c r="G792" s="269" t="s">
        <v>8412</v>
      </c>
    </row>
    <row r="793" spans="1:7" ht="30" customHeight="1" thickBot="1" x14ac:dyDescent="0.25">
      <c r="A793" s="316">
        <v>2704</v>
      </c>
      <c r="B793" s="364" t="s">
        <v>7000</v>
      </c>
      <c r="C793" s="365" t="s">
        <v>10263</v>
      </c>
      <c r="D793" s="255" t="s">
        <v>7370</v>
      </c>
      <c r="E793" s="362" t="s">
        <v>7006</v>
      </c>
      <c r="F793" s="271" t="s">
        <v>7008</v>
      </c>
      <c r="G793" s="269" t="s">
        <v>8090</v>
      </c>
    </row>
    <row r="794" spans="1:7" ht="30" customHeight="1" x14ac:dyDescent="0.25">
      <c r="A794" s="316">
        <v>2705</v>
      </c>
      <c r="B794" s="271" t="s">
        <v>7204</v>
      </c>
      <c r="C794" s="271" t="s">
        <v>7205</v>
      </c>
      <c r="D794" s="255" t="s">
        <v>8857</v>
      </c>
      <c r="E794" s="362"/>
      <c r="F794" s="274" t="s">
        <v>987</v>
      </c>
      <c r="G794" s="269" t="s">
        <v>8668</v>
      </c>
    </row>
    <row r="795" spans="1:7" ht="30" customHeight="1" x14ac:dyDescent="0.25">
      <c r="A795" s="316">
        <v>2706</v>
      </c>
      <c r="B795" s="275" t="s">
        <v>7206</v>
      </c>
      <c r="C795" s="275" t="s">
        <v>7207</v>
      </c>
      <c r="D795" s="255" t="s">
        <v>8858</v>
      </c>
      <c r="E795" s="362"/>
      <c r="F795" s="276" t="s">
        <v>7008</v>
      </c>
      <c r="G795" s="269" t="s">
        <v>8668</v>
      </c>
    </row>
    <row r="796" spans="1:7" ht="30" customHeight="1" x14ac:dyDescent="0.25">
      <c r="A796" s="299">
        <v>2707</v>
      </c>
      <c r="B796" s="302" t="s">
        <v>8006</v>
      </c>
      <c r="C796" s="303" t="s">
        <v>8007</v>
      </c>
      <c r="D796" s="366" t="s">
        <v>9354</v>
      </c>
      <c r="E796" s="362"/>
      <c r="F796" s="277" t="s">
        <v>565</v>
      </c>
      <c r="G796" s="269" t="s">
        <v>7962</v>
      </c>
    </row>
    <row r="797" spans="1:7" ht="30" customHeight="1" x14ac:dyDescent="0.25">
      <c r="A797" s="299">
        <v>2708</v>
      </c>
      <c r="B797" s="302" t="s">
        <v>8006</v>
      </c>
      <c r="C797" s="303" t="s">
        <v>8008</v>
      </c>
      <c r="D797" s="366" t="s">
        <v>9355</v>
      </c>
      <c r="E797" s="362"/>
      <c r="F797" s="277" t="s">
        <v>565</v>
      </c>
      <c r="G797" s="269" t="s">
        <v>7962</v>
      </c>
    </row>
    <row r="798" spans="1:7" ht="30" customHeight="1" x14ac:dyDescent="0.25">
      <c r="A798" s="299">
        <v>2709</v>
      </c>
      <c r="B798" s="302" t="s">
        <v>8006</v>
      </c>
      <c r="C798" s="303" t="s">
        <v>8009</v>
      </c>
      <c r="D798" s="366" t="s">
        <v>9356</v>
      </c>
      <c r="E798" s="362"/>
      <c r="F798" s="277" t="s">
        <v>565</v>
      </c>
      <c r="G798" s="269" t="s">
        <v>7962</v>
      </c>
    </row>
    <row r="799" spans="1:7" ht="30" customHeight="1" x14ac:dyDescent="0.25">
      <c r="A799" s="299">
        <v>2710</v>
      </c>
      <c r="B799" s="302" t="s">
        <v>8006</v>
      </c>
      <c r="C799" s="303" t="s">
        <v>8010</v>
      </c>
      <c r="D799" s="366" t="s">
        <v>9357</v>
      </c>
      <c r="E799" s="362"/>
      <c r="F799" s="277" t="s">
        <v>565</v>
      </c>
      <c r="G799" s="269" t="s">
        <v>7962</v>
      </c>
    </row>
    <row r="800" spans="1:7" ht="30" customHeight="1" x14ac:dyDescent="0.25">
      <c r="A800" s="299">
        <v>2711</v>
      </c>
      <c r="B800" s="302" t="s">
        <v>8006</v>
      </c>
      <c r="C800" s="303" t="s">
        <v>8011</v>
      </c>
      <c r="D800" s="366" t="s">
        <v>9358</v>
      </c>
      <c r="E800" s="362"/>
      <c r="F800" s="277" t="s">
        <v>565</v>
      </c>
      <c r="G800" s="269" t="s">
        <v>7962</v>
      </c>
    </row>
    <row r="801" spans="1:7" ht="30" customHeight="1" x14ac:dyDescent="0.25">
      <c r="A801" s="299">
        <v>2712</v>
      </c>
      <c r="B801" s="302" t="s">
        <v>8006</v>
      </c>
      <c r="C801" s="303" t="s">
        <v>8012</v>
      </c>
      <c r="D801" s="366" t="s">
        <v>8250</v>
      </c>
      <c r="E801" s="362"/>
      <c r="F801" s="277" t="s">
        <v>565</v>
      </c>
      <c r="G801" s="269" t="s">
        <v>8234</v>
      </c>
    </row>
    <row r="802" spans="1:7" ht="30" customHeight="1" x14ac:dyDescent="0.25">
      <c r="A802" s="299">
        <v>2713</v>
      </c>
      <c r="B802" s="302" t="s">
        <v>8006</v>
      </c>
      <c r="C802" s="303" t="s">
        <v>8013</v>
      </c>
      <c r="D802" s="366" t="s">
        <v>9359</v>
      </c>
      <c r="E802" s="362"/>
      <c r="F802" s="277" t="s">
        <v>565</v>
      </c>
      <c r="G802" s="269" t="s">
        <v>7962</v>
      </c>
    </row>
    <row r="803" spans="1:7" ht="30" customHeight="1" x14ac:dyDescent="0.25">
      <c r="A803" s="299">
        <v>2714</v>
      </c>
      <c r="B803" s="302" t="s">
        <v>8006</v>
      </c>
      <c r="C803" s="303" t="s">
        <v>8014</v>
      </c>
      <c r="D803" s="366" t="s">
        <v>9360</v>
      </c>
      <c r="E803" s="362"/>
      <c r="F803" s="277" t="s">
        <v>565</v>
      </c>
      <c r="G803" s="269" t="s">
        <v>7962</v>
      </c>
    </row>
    <row r="804" spans="1:7" ht="30" customHeight="1" x14ac:dyDescent="0.25">
      <c r="A804" s="299">
        <v>2715</v>
      </c>
      <c r="B804" s="302" t="s">
        <v>8006</v>
      </c>
      <c r="C804" s="303" t="s">
        <v>8015</v>
      </c>
      <c r="D804" s="366" t="s">
        <v>9361</v>
      </c>
      <c r="E804" s="362"/>
      <c r="F804" s="277" t="s">
        <v>565</v>
      </c>
      <c r="G804" s="269" t="s">
        <v>7962</v>
      </c>
    </row>
    <row r="805" spans="1:7" ht="30" customHeight="1" x14ac:dyDescent="0.25">
      <c r="A805" s="299">
        <v>2716</v>
      </c>
      <c r="B805" s="302" t="s">
        <v>8006</v>
      </c>
      <c r="C805" s="303" t="s">
        <v>8016</v>
      </c>
      <c r="D805" s="366" t="s">
        <v>9362</v>
      </c>
      <c r="E805" s="362"/>
      <c r="F805" s="277" t="s">
        <v>565</v>
      </c>
      <c r="G805" s="269" t="s">
        <v>7962</v>
      </c>
    </row>
    <row r="806" spans="1:7" ht="30" customHeight="1" x14ac:dyDescent="0.25">
      <c r="A806" s="299">
        <v>2717</v>
      </c>
      <c r="B806" s="302" t="s">
        <v>8006</v>
      </c>
      <c r="C806" s="303" t="s">
        <v>8017</v>
      </c>
      <c r="D806" s="366" t="s">
        <v>9362</v>
      </c>
      <c r="E806" s="362"/>
      <c r="F806" s="277" t="s">
        <v>565</v>
      </c>
      <c r="G806" s="269" t="s">
        <v>7962</v>
      </c>
    </row>
    <row r="807" spans="1:7" ht="30" customHeight="1" x14ac:dyDescent="0.25">
      <c r="A807" s="299">
        <v>2718</v>
      </c>
      <c r="B807" s="302" t="s">
        <v>8006</v>
      </c>
      <c r="C807" s="303" t="s">
        <v>8018</v>
      </c>
      <c r="D807" s="366" t="s">
        <v>9361</v>
      </c>
      <c r="E807" s="362"/>
      <c r="F807" s="277" t="s">
        <v>565</v>
      </c>
      <c r="G807" s="269" t="s">
        <v>7962</v>
      </c>
    </row>
    <row r="808" spans="1:7" ht="30" customHeight="1" x14ac:dyDescent="0.25">
      <c r="A808" s="299">
        <v>2723</v>
      </c>
      <c r="B808" s="305" t="s">
        <v>7670</v>
      </c>
      <c r="C808" s="305" t="s">
        <v>7671</v>
      </c>
      <c r="D808" s="255" t="s">
        <v>8967</v>
      </c>
      <c r="E808" s="362"/>
      <c r="F808" s="277" t="s">
        <v>7684</v>
      </c>
      <c r="G808" s="269" t="s">
        <v>8947</v>
      </c>
    </row>
    <row r="809" spans="1:7" ht="30" customHeight="1" x14ac:dyDescent="0.25">
      <c r="A809" s="299">
        <v>2724</v>
      </c>
      <c r="B809" s="305" t="s">
        <v>7670</v>
      </c>
      <c r="C809" s="367" t="s">
        <v>7672</v>
      </c>
      <c r="D809" s="255" t="s">
        <v>8968</v>
      </c>
      <c r="E809" s="362"/>
      <c r="F809" s="277" t="s">
        <v>7684</v>
      </c>
      <c r="G809" s="269" t="s">
        <v>8947</v>
      </c>
    </row>
    <row r="810" spans="1:7" ht="30" customHeight="1" x14ac:dyDescent="0.25">
      <c r="A810" s="299">
        <v>2725</v>
      </c>
      <c r="B810" s="305" t="s">
        <v>7670</v>
      </c>
      <c r="C810" s="367" t="s">
        <v>7673</v>
      </c>
      <c r="D810" s="255" t="s">
        <v>8969</v>
      </c>
      <c r="E810" s="362"/>
      <c r="F810" s="277" t="s">
        <v>7684</v>
      </c>
      <c r="G810" s="269" t="s">
        <v>8947</v>
      </c>
    </row>
    <row r="811" spans="1:7" ht="30" customHeight="1" x14ac:dyDescent="0.25">
      <c r="A811" s="299">
        <v>2726</v>
      </c>
      <c r="B811" s="305" t="s">
        <v>7670</v>
      </c>
      <c r="C811" s="367" t="s">
        <v>7674</v>
      </c>
      <c r="D811" s="255" t="s">
        <v>8105</v>
      </c>
      <c r="E811" s="362"/>
      <c r="F811" s="277" t="s">
        <v>7684</v>
      </c>
      <c r="G811" s="269" t="s">
        <v>8090</v>
      </c>
    </row>
    <row r="812" spans="1:7" ht="30" customHeight="1" x14ac:dyDescent="0.25">
      <c r="A812" s="299">
        <v>2727</v>
      </c>
      <c r="B812" s="305" t="s">
        <v>7670</v>
      </c>
      <c r="C812" s="367" t="s">
        <v>7675</v>
      </c>
      <c r="D812" s="255" t="s">
        <v>8859</v>
      </c>
      <c r="E812" s="362"/>
      <c r="F812" s="277" t="s">
        <v>7684</v>
      </c>
      <c r="G812" s="269" t="s">
        <v>8668</v>
      </c>
    </row>
    <row r="813" spans="1:7" ht="102" customHeight="1" x14ac:dyDescent="0.25">
      <c r="A813" s="299">
        <v>2728</v>
      </c>
      <c r="B813" s="305" t="s">
        <v>7670</v>
      </c>
      <c r="C813" s="367" t="s">
        <v>7676</v>
      </c>
      <c r="D813" s="255" t="s">
        <v>8671</v>
      </c>
      <c r="E813" s="362"/>
      <c r="F813" s="277" t="s">
        <v>7685</v>
      </c>
      <c r="G813" s="269" t="s">
        <v>8577</v>
      </c>
    </row>
    <row r="814" spans="1:7" ht="30" customHeight="1" x14ac:dyDescent="0.25">
      <c r="A814" s="299">
        <v>2729</v>
      </c>
      <c r="B814" s="368" t="s">
        <v>7677</v>
      </c>
      <c r="C814" s="368" t="s">
        <v>10233</v>
      </c>
      <c r="D814" s="255" t="s">
        <v>9013</v>
      </c>
      <c r="E814" s="362"/>
      <c r="F814" s="277" t="s">
        <v>84</v>
      </c>
      <c r="G814" s="269" t="s">
        <v>8890</v>
      </c>
    </row>
    <row r="815" spans="1:7" ht="30" customHeight="1" x14ac:dyDescent="0.25">
      <c r="A815" s="299">
        <v>2730</v>
      </c>
      <c r="B815" s="368" t="s">
        <v>7677</v>
      </c>
      <c r="C815" s="368" t="s">
        <v>10234</v>
      </c>
      <c r="D815" s="255" t="s">
        <v>8669</v>
      </c>
      <c r="E815" s="362"/>
      <c r="F815" s="277" t="s">
        <v>7686</v>
      </c>
      <c r="G815" s="269" t="s">
        <v>8668</v>
      </c>
    </row>
    <row r="816" spans="1:7" ht="342" customHeight="1" x14ac:dyDescent="0.25">
      <c r="A816" s="299">
        <v>2731</v>
      </c>
      <c r="B816" s="368" t="s">
        <v>7677</v>
      </c>
      <c r="C816" s="368" t="s">
        <v>7678</v>
      </c>
      <c r="D816" s="255" t="s">
        <v>9182</v>
      </c>
      <c r="E816" s="362"/>
      <c r="F816" s="277" t="s">
        <v>7686</v>
      </c>
      <c r="G816" s="269" t="s">
        <v>9136</v>
      </c>
    </row>
    <row r="817" spans="1:7" ht="30" customHeight="1" x14ac:dyDescent="0.25">
      <c r="A817" s="299">
        <v>2732</v>
      </c>
      <c r="B817" s="368" t="s">
        <v>7677</v>
      </c>
      <c r="C817" s="368" t="s">
        <v>7679</v>
      </c>
      <c r="D817" s="255" t="s">
        <v>9569</v>
      </c>
      <c r="E817" s="362"/>
      <c r="F817" s="277" t="s">
        <v>7686</v>
      </c>
      <c r="G817" s="269" t="s">
        <v>8668</v>
      </c>
    </row>
    <row r="818" spans="1:7" ht="30" customHeight="1" x14ac:dyDescent="0.25">
      <c r="A818" s="299">
        <v>2733</v>
      </c>
      <c r="B818" s="368" t="s">
        <v>7677</v>
      </c>
      <c r="C818" s="368" t="s">
        <v>7680</v>
      </c>
      <c r="D818" s="255" t="s">
        <v>9014</v>
      </c>
      <c r="E818" s="362"/>
      <c r="F818" s="277" t="s">
        <v>7686</v>
      </c>
      <c r="G818" s="269" t="s">
        <v>8890</v>
      </c>
    </row>
    <row r="819" spans="1:7" ht="30" customHeight="1" thickBot="1" x14ac:dyDescent="0.3">
      <c r="A819" s="299">
        <v>2734</v>
      </c>
      <c r="B819" s="369" t="s">
        <v>7681</v>
      </c>
      <c r="C819" s="370" t="s">
        <v>7682</v>
      </c>
      <c r="D819" s="255" t="s">
        <v>8106</v>
      </c>
      <c r="E819" s="362"/>
      <c r="F819" s="277" t="s">
        <v>7684</v>
      </c>
      <c r="G819" s="269" t="s">
        <v>8090</v>
      </c>
    </row>
    <row r="820" spans="1:7" ht="30" customHeight="1" x14ac:dyDescent="0.25">
      <c r="A820" s="299">
        <v>2735</v>
      </c>
      <c r="B820" s="369" t="s">
        <v>7681</v>
      </c>
      <c r="C820" s="371" t="s">
        <v>9145</v>
      </c>
      <c r="D820" s="255" t="s">
        <v>8480</v>
      </c>
      <c r="E820" s="362"/>
      <c r="F820" s="277" t="s">
        <v>7687</v>
      </c>
      <c r="G820" s="269" t="s">
        <v>8412</v>
      </c>
    </row>
    <row r="821" spans="1:7" ht="30" customHeight="1" x14ac:dyDescent="0.25">
      <c r="A821" s="299">
        <v>2736</v>
      </c>
      <c r="B821" s="369" t="s">
        <v>7681</v>
      </c>
      <c r="C821" s="372" t="s">
        <v>3670</v>
      </c>
      <c r="D821" s="255" t="s">
        <v>8481</v>
      </c>
      <c r="E821" s="362"/>
      <c r="F821" s="277" t="s">
        <v>7687</v>
      </c>
      <c r="G821" s="269" t="s">
        <v>8412</v>
      </c>
    </row>
    <row r="822" spans="1:7" ht="30" customHeight="1" x14ac:dyDescent="0.25">
      <c r="A822" s="299">
        <v>2737</v>
      </c>
      <c r="B822" s="369" t="s">
        <v>7681</v>
      </c>
      <c r="C822" s="373" t="s">
        <v>3672</v>
      </c>
      <c r="D822" s="255" t="s">
        <v>9015</v>
      </c>
      <c r="E822" s="362"/>
      <c r="F822" s="277" t="s">
        <v>84</v>
      </c>
      <c r="G822" s="269" t="s">
        <v>8890</v>
      </c>
    </row>
    <row r="823" spans="1:7" ht="30" customHeight="1" x14ac:dyDescent="0.25">
      <c r="A823" s="299">
        <v>2738</v>
      </c>
      <c r="B823" s="369" t="s">
        <v>7681</v>
      </c>
      <c r="C823" s="373" t="s">
        <v>3674</v>
      </c>
      <c r="D823" s="255" t="s">
        <v>8975</v>
      </c>
      <c r="E823" s="362"/>
      <c r="F823" s="277" t="s">
        <v>7688</v>
      </c>
      <c r="G823" s="269" t="s">
        <v>8971</v>
      </c>
    </row>
    <row r="824" spans="1:7" ht="30" customHeight="1" x14ac:dyDescent="0.25">
      <c r="A824" s="299">
        <v>2739</v>
      </c>
      <c r="B824" s="369" t="s">
        <v>7681</v>
      </c>
      <c r="C824" s="373" t="s">
        <v>3676</v>
      </c>
      <c r="D824" s="255" t="s">
        <v>8431</v>
      </c>
      <c r="E824" s="362"/>
      <c r="F824" s="277" t="s">
        <v>7685</v>
      </c>
      <c r="G824" s="269" t="s">
        <v>8412</v>
      </c>
    </row>
    <row r="825" spans="1:7" ht="30" customHeight="1" x14ac:dyDescent="0.25">
      <c r="A825" s="299">
        <v>2740</v>
      </c>
      <c r="B825" s="369" t="s">
        <v>7681</v>
      </c>
      <c r="C825" s="373" t="s">
        <v>3678</v>
      </c>
      <c r="D825" s="255" t="s">
        <v>9016</v>
      </c>
      <c r="E825" s="362"/>
      <c r="F825" s="277" t="s">
        <v>84</v>
      </c>
      <c r="G825" s="269" t="s">
        <v>8890</v>
      </c>
    </row>
    <row r="826" spans="1:7" ht="285.75" customHeight="1" x14ac:dyDescent="0.25">
      <c r="A826" s="299">
        <v>2741</v>
      </c>
      <c r="B826" s="369" t="s">
        <v>7681</v>
      </c>
      <c r="C826" s="373" t="s">
        <v>3680</v>
      </c>
      <c r="D826" s="255" t="s">
        <v>9182</v>
      </c>
      <c r="E826" s="362"/>
      <c r="F826" s="277" t="s">
        <v>7686</v>
      </c>
      <c r="G826" s="269" t="s">
        <v>8668</v>
      </c>
    </row>
    <row r="827" spans="1:7" ht="30" customHeight="1" x14ac:dyDescent="0.25">
      <c r="A827" s="299">
        <v>2742</v>
      </c>
      <c r="B827" s="369" t="s">
        <v>7681</v>
      </c>
      <c r="C827" s="373" t="s">
        <v>3682</v>
      </c>
      <c r="D827" s="255" t="s">
        <v>8482</v>
      </c>
      <c r="E827" s="362"/>
      <c r="F827" s="277" t="s">
        <v>7685</v>
      </c>
      <c r="G827" s="269" t="s">
        <v>8412</v>
      </c>
    </row>
    <row r="828" spans="1:7" ht="30" customHeight="1" x14ac:dyDescent="0.25">
      <c r="A828" s="299">
        <v>2743</v>
      </c>
      <c r="B828" s="369" t="s">
        <v>7681</v>
      </c>
      <c r="C828" s="373" t="s">
        <v>9928</v>
      </c>
      <c r="D828" s="255" t="s">
        <v>8974</v>
      </c>
      <c r="E828" s="362"/>
      <c r="F828" s="277" t="s">
        <v>7686</v>
      </c>
      <c r="G828" s="269" t="s">
        <v>8971</v>
      </c>
    </row>
    <row r="829" spans="1:7" ht="30" customHeight="1" x14ac:dyDescent="0.25">
      <c r="A829" s="299">
        <v>2744</v>
      </c>
      <c r="B829" s="369" t="s">
        <v>7681</v>
      </c>
      <c r="C829" s="373" t="s">
        <v>3686</v>
      </c>
      <c r="D829" s="255" t="s">
        <v>8976</v>
      </c>
      <c r="E829" s="362"/>
      <c r="F829" s="277" t="s">
        <v>565</v>
      </c>
      <c r="G829" s="269" t="s">
        <v>8971</v>
      </c>
    </row>
    <row r="830" spans="1:7" ht="30" customHeight="1" x14ac:dyDescent="0.25">
      <c r="A830" s="299">
        <v>2745</v>
      </c>
      <c r="B830" s="369" t="s">
        <v>7681</v>
      </c>
      <c r="C830" s="373" t="s">
        <v>3688</v>
      </c>
      <c r="D830" s="255" t="s">
        <v>9017</v>
      </c>
      <c r="E830" s="362"/>
      <c r="F830" s="277" t="s">
        <v>84</v>
      </c>
      <c r="G830" s="269" t="s">
        <v>8890</v>
      </c>
    </row>
    <row r="831" spans="1:7" ht="30" customHeight="1" x14ac:dyDescent="0.25">
      <c r="A831" s="299">
        <v>2746</v>
      </c>
      <c r="B831" s="369" t="s">
        <v>7681</v>
      </c>
      <c r="C831" s="373" t="s">
        <v>3690</v>
      </c>
      <c r="D831" s="255" t="s">
        <v>8483</v>
      </c>
      <c r="E831" s="362"/>
      <c r="F831" s="277" t="s">
        <v>7687</v>
      </c>
      <c r="G831" s="269" t="s">
        <v>8412</v>
      </c>
    </row>
    <row r="832" spans="1:7" ht="30" customHeight="1" x14ac:dyDescent="0.25">
      <c r="A832" s="299">
        <v>2747</v>
      </c>
      <c r="B832" s="369" t="s">
        <v>7681</v>
      </c>
      <c r="C832" s="373" t="s">
        <v>3692</v>
      </c>
      <c r="D832" s="374" t="s">
        <v>9363</v>
      </c>
      <c r="E832" s="362"/>
      <c r="F832" s="277" t="s">
        <v>565</v>
      </c>
      <c r="G832" s="269" t="s">
        <v>8984</v>
      </c>
    </row>
    <row r="833" spans="1:7" ht="30" customHeight="1" x14ac:dyDescent="0.25">
      <c r="A833" s="299">
        <v>2748</v>
      </c>
      <c r="B833" s="369" t="s">
        <v>7681</v>
      </c>
      <c r="C833" s="373" t="s">
        <v>3694</v>
      </c>
      <c r="D833" s="374" t="s">
        <v>9364</v>
      </c>
      <c r="E833" s="362"/>
      <c r="F833" s="277" t="s">
        <v>7688</v>
      </c>
      <c r="G833" s="269" t="s">
        <v>8984</v>
      </c>
    </row>
    <row r="834" spans="1:7" ht="30" customHeight="1" x14ac:dyDescent="0.25">
      <c r="A834" s="299">
        <v>2749</v>
      </c>
      <c r="B834" s="369" t="s">
        <v>7681</v>
      </c>
      <c r="C834" s="373" t="s">
        <v>3697</v>
      </c>
      <c r="D834" s="374" t="s">
        <v>9365</v>
      </c>
      <c r="E834" s="362"/>
      <c r="F834" s="277" t="s">
        <v>7689</v>
      </c>
      <c r="G834" s="269" t="s">
        <v>8984</v>
      </c>
    </row>
    <row r="835" spans="1:7" ht="30" customHeight="1" x14ac:dyDescent="0.25">
      <c r="A835" s="299">
        <v>2750</v>
      </c>
      <c r="B835" s="369" t="s">
        <v>7681</v>
      </c>
      <c r="C835" s="373" t="s">
        <v>3699</v>
      </c>
      <c r="D835" s="255" t="s">
        <v>8484</v>
      </c>
      <c r="E835" s="362"/>
      <c r="F835" s="277" t="s">
        <v>7690</v>
      </c>
      <c r="G835" s="269" t="s">
        <v>8412</v>
      </c>
    </row>
    <row r="836" spans="1:7" ht="30" customHeight="1" x14ac:dyDescent="0.25">
      <c r="A836" s="299">
        <v>2751</v>
      </c>
      <c r="B836" s="369" t="s">
        <v>7681</v>
      </c>
      <c r="C836" s="373" t="s">
        <v>3701</v>
      </c>
      <c r="D836" s="255" t="s">
        <v>8485</v>
      </c>
      <c r="E836" s="362"/>
      <c r="F836" s="277" t="s">
        <v>7687</v>
      </c>
      <c r="G836" s="269" t="s">
        <v>8412</v>
      </c>
    </row>
    <row r="837" spans="1:7" ht="30" customHeight="1" x14ac:dyDescent="0.25">
      <c r="A837" s="299">
        <v>2752</v>
      </c>
      <c r="B837" s="369" t="s">
        <v>7681</v>
      </c>
      <c r="C837" s="372" t="s">
        <v>3703</v>
      </c>
      <c r="D837" s="255" t="s">
        <v>8670</v>
      </c>
      <c r="E837" s="362"/>
      <c r="F837" s="277" t="s">
        <v>84</v>
      </c>
      <c r="G837" s="269" t="s">
        <v>8668</v>
      </c>
    </row>
    <row r="838" spans="1:7" ht="30" customHeight="1" x14ac:dyDescent="0.25">
      <c r="A838" s="299">
        <v>2753</v>
      </c>
      <c r="B838" s="369" t="s">
        <v>7681</v>
      </c>
      <c r="C838" s="373" t="s">
        <v>3705</v>
      </c>
      <c r="D838" s="255" t="s">
        <v>8486</v>
      </c>
      <c r="E838" s="362"/>
      <c r="F838" s="277" t="s">
        <v>7687</v>
      </c>
      <c r="G838" s="269" t="s">
        <v>8412</v>
      </c>
    </row>
    <row r="839" spans="1:7" ht="30" customHeight="1" x14ac:dyDescent="0.25">
      <c r="A839" s="299">
        <v>2754</v>
      </c>
      <c r="B839" s="369" t="s">
        <v>7681</v>
      </c>
      <c r="C839" s="373" t="s">
        <v>3707</v>
      </c>
      <c r="D839" s="255" t="s">
        <v>8432</v>
      </c>
      <c r="E839" s="362"/>
      <c r="F839" s="277" t="s">
        <v>7685</v>
      </c>
      <c r="G839" s="269" t="s">
        <v>8412</v>
      </c>
    </row>
    <row r="840" spans="1:7" ht="30" customHeight="1" x14ac:dyDescent="0.25">
      <c r="A840" s="299">
        <v>2755</v>
      </c>
      <c r="B840" s="369" t="s">
        <v>7681</v>
      </c>
      <c r="C840" s="373" t="s">
        <v>3709</v>
      </c>
      <c r="D840" s="255" t="s">
        <v>8938</v>
      </c>
      <c r="E840" s="362"/>
      <c r="F840" s="277" t="s">
        <v>84</v>
      </c>
      <c r="G840" s="269" t="s">
        <v>8890</v>
      </c>
    </row>
    <row r="841" spans="1:7" ht="30" customHeight="1" x14ac:dyDescent="0.25">
      <c r="A841" s="299">
        <v>2756</v>
      </c>
      <c r="B841" s="369" t="s">
        <v>7681</v>
      </c>
      <c r="C841" s="373" t="s">
        <v>3711</v>
      </c>
      <c r="D841" s="255" t="s">
        <v>9018</v>
      </c>
      <c r="E841" s="362"/>
      <c r="F841" s="277" t="s">
        <v>84</v>
      </c>
      <c r="G841" s="269" t="s">
        <v>8890</v>
      </c>
    </row>
    <row r="842" spans="1:7" ht="30" customHeight="1" x14ac:dyDescent="0.25">
      <c r="A842" s="299">
        <v>2757</v>
      </c>
      <c r="B842" s="369" t="s">
        <v>7681</v>
      </c>
      <c r="C842" s="373" t="s">
        <v>3713</v>
      </c>
      <c r="D842" s="255" t="s">
        <v>8487</v>
      </c>
      <c r="E842" s="362"/>
      <c r="F842" s="277" t="s">
        <v>7687</v>
      </c>
      <c r="G842" s="269" t="s">
        <v>8412</v>
      </c>
    </row>
    <row r="843" spans="1:7" ht="30" customHeight="1" x14ac:dyDescent="0.25">
      <c r="A843" s="299">
        <v>2758</v>
      </c>
      <c r="B843" s="369" t="s">
        <v>7681</v>
      </c>
      <c r="C843" s="373" t="s">
        <v>3716</v>
      </c>
      <c r="D843" s="255" t="s">
        <v>8488</v>
      </c>
      <c r="E843" s="362"/>
      <c r="F843" s="277" t="s">
        <v>7687</v>
      </c>
      <c r="G843" s="269" t="s">
        <v>8412</v>
      </c>
    </row>
    <row r="844" spans="1:7" ht="78.75" customHeight="1" x14ac:dyDescent="0.25">
      <c r="A844" s="299">
        <v>2759</v>
      </c>
      <c r="B844" s="369" t="s">
        <v>7681</v>
      </c>
      <c r="C844" s="373" t="s">
        <v>3718</v>
      </c>
      <c r="D844" s="255" t="s">
        <v>8489</v>
      </c>
      <c r="E844" s="362"/>
      <c r="F844" s="277" t="s">
        <v>7685</v>
      </c>
      <c r="G844" s="269" t="s">
        <v>8412</v>
      </c>
    </row>
    <row r="845" spans="1:7" ht="30" customHeight="1" x14ac:dyDescent="0.25">
      <c r="A845" s="299">
        <v>2760</v>
      </c>
      <c r="B845" s="369" t="s">
        <v>7681</v>
      </c>
      <c r="C845" s="373" t="s">
        <v>3720</v>
      </c>
      <c r="D845" s="255" t="s">
        <v>8490</v>
      </c>
      <c r="E845" s="362"/>
      <c r="F845" s="277" t="s">
        <v>7687</v>
      </c>
      <c r="G845" s="269" t="s">
        <v>8412</v>
      </c>
    </row>
    <row r="846" spans="1:7" ht="30" customHeight="1" x14ac:dyDescent="0.25">
      <c r="A846" s="299">
        <v>2761</v>
      </c>
      <c r="B846" s="369" t="s">
        <v>7681</v>
      </c>
      <c r="C846" s="373" t="s">
        <v>3722</v>
      </c>
      <c r="D846" s="255" t="s">
        <v>8491</v>
      </c>
      <c r="E846" s="362"/>
      <c r="F846" s="277" t="s">
        <v>7687</v>
      </c>
      <c r="G846" s="269" t="s">
        <v>8412</v>
      </c>
    </row>
    <row r="847" spans="1:7" ht="30" customHeight="1" x14ac:dyDescent="0.25">
      <c r="A847" s="299">
        <v>2762</v>
      </c>
      <c r="B847" s="369" t="s">
        <v>7681</v>
      </c>
      <c r="C847" s="373" t="s">
        <v>3724</v>
      </c>
      <c r="D847" s="255" t="s">
        <v>9023</v>
      </c>
      <c r="E847" s="362"/>
      <c r="F847" s="277" t="s">
        <v>84</v>
      </c>
      <c r="G847" s="269" t="s">
        <v>8890</v>
      </c>
    </row>
    <row r="848" spans="1:7" ht="30" customHeight="1" x14ac:dyDescent="0.25">
      <c r="A848" s="299">
        <v>2763</v>
      </c>
      <c r="B848" s="369" t="s">
        <v>7681</v>
      </c>
      <c r="C848" s="373" t="s">
        <v>3726</v>
      </c>
      <c r="D848" s="255" t="s">
        <v>8492</v>
      </c>
      <c r="E848" s="362"/>
      <c r="F848" s="277" t="s">
        <v>7687</v>
      </c>
      <c r="G848" s="269" t="s">
        <v>8412</v>
      </c>
    </row>
    <row r="849" spans="1:7" ht="30" customHeight="1" x14ac:dyDescent="0.25">
      <c r="A849" s="299">
        <v>2764</v>
      </c>
      <c r="B849" s="369" t="s">
        <v>7681</v>
      </c>
      <c r="C849" s="373" t="s">
        <v>3728</v>
      </c>
      <c r="D849" s="255" t="s">
        <v>8860</v>
      </c>
      <c r="E849" s="362"/>
      <c r="F849" s="277" t="s">
        <v>7684</v>
      </c>
      <c r="G849" s="269" t="s">
        <v>8668</v>
      </c>
    </row>
    <row r="850" spans="1:7" ht="30" customHeight="1" x14ac:dyDescent="0.25">
      <c r="A850" s="299">
        <v>2765</v>
      </c>
      <c r="B850" s="369" t="s">
        <v>7681</v>
      </c>
      <c r="C850" s="373" t="s">
        <v>3730</v>
      </c>
      <c r="D850" s="255" t="s">
        <v>8674</v>
      </c>
      <c r="E850" s="362"/>
      <c r="F850" s="277" t="s">
        <v>7685</v>
      </c>
      <c r="G850" s="269" t="s">
        <v>8668</v>
      </c>
    </row>
    <row r="851" spans="1:7" ht="30" customHeight="1" x14ac:dyDescent="0.25">
      <c r="A851" s="299">
        <v>2766</v>
      </c>
      <c r="B851" s="369" t="s">
        <v>7681</v>
      </c>
      <c r="C851" s="373" t="s">
        <v>3732</v>
      </c>
      <c r="D851" s="255" t="s">
        <v>8493</v>
      </c>
      <c r="E851" s="362"/>
      <c r="F851" s="277" t="s">
        <v>7685</v>
      </c>
      <c r="G851" s="269" t="s">
        <v>8412</v>
      </c>
    </row>
    <row r="852" spans="1:7" ht="30" customHeight="1" x14ac:dyDescent="0.25">
      <c r="A852" s="299">
        <v>2767</v>
      </c>
      <c r="B852" s="369" t="s">
        <v>7681</v>
      </c>
      <c r="C852" s="373" t="s">
        <v>3734</v>
      </c>
      <c r="D852" s="255" t="s">
        <v>8861</v>
      </c>
      <c r="E852" s="362"/>
      <c r="F852" s="277" t="s">
        <v>7685</v>
      </c>
      <c r="G852" s="269" t="s">
        <v>8668</v>
      </c>
    </row>
    <row r="853" spans="1:7" ht="30" customHeight="1" x14ac:dyDescent="0.25">
      <c r="A853" s="299">
        <v>2768</v>
      </c>
      <c r="B853" s="369" t="s">
        <v>7681</v>
      </c>
      <c r="C853" s="373" t="s">
        <v>3736</v>
      </c>
      <c r="D853" s="255" t="s">
        <v>8107</v>
      </c>
      <c r="E853" s="362"/>
      <c r="F853" s="277" t="s">
        <v>7684</v>
      </c>
      <c r="G853" s="269" t="s">
        <v>8090</v>
      </c>
    </row>
    <row r="854" spans="1:7" ht="30" customHeight="1" x14ac:dyDescent="0.25">
      <c r="A854" s="299">
        <v>2769</v>
      </c>
      <c r="B854" s="369" t="s">
        <v>7681</v>
      </c>
      <c r="C854" s="373" t="s">
        <v>7683</v>
      </c>
      <c r="D854" s="255" t="s">
        <v>8494</v>
      </c>
      <c r="E854" s="362"/>
      <c r="F854" s="277" t="s">
        <v>7684</v>
      </c>
      <c r="G854" s="269" t="s">
        <v>8412</v>
      </c>
    </row>
    <row r="855" spans="1:7" ht="30" customHeight="1" x14ac:dyDescent="0.25">
      <c r="A855" s="299">
        <v>2770</v>
      </c>
      <c r="B855" s="369" t="s">
        <v>7681</v>
      </c>
      <c r="C855" s="373" t="s">
        <v>3740</v>
      </c>
      <c r="D855" s="255" t="s">
        <v>8108</v>
      </c>
      <c r="E855" s="362"/>
      <c r="F855" s="277" t="s">
        <v>7684</v>
      </c>
      <c r="G855" s="269" t="s">
        <v>8090</v>
      </c>
    </row>
    <row r="856" spans="1:7" ht="30" customHeight="1" x14ac:dyDescent="0.25">
      <c r="A856" s="299">
        <v>2771</v>
      </c>
      <c r="B856" s="369" t="s">
        <v>7681</v>
      </c>
      <c r="C856" s="373" t="s">
        <v>3742</v>
      </c>
      <c r="D856" s="255" t="s">
        <v>8495</v>
      </c>
      <c r="E856" s="362"/>
      <c r="F856" s="277" t="s">
        <v>7684</v>
      </c>
      <c r="G856" s="269" t="s">
        <v>8412</v>
      </c>
    </row>
    <row r="857" spans="1:7" ht="30" customHeight="1" thickBot="1" x14ac:dyDescent="0.3">
      <c r="A857" s="300">
        <v>2772</v>
      </c>
      <c r="B857" s="369" t="s">
        <v>7681</v>
      </c>
      <c r="C857" s="375" t="s">
        <v>3745</v>
      </c>
      <c r="D857" s="255" t="s">
        <v>8496</v>
      </c>
      <c r="E857" s="362"/>
      <c r="F857" s="277" t="s">
        <v>7685</v>
      </c>
      <c r="G857" s="269" t="s">
        <v>8412</v>
      </c>
    </row>
    <row r="858" spans="1:7" ht="30" customHeight="1" thickBot="1" x14ac:dyDescent="0.25">
      <c r="A858" s="299">
        <v>2773</v>
      </c>
      <c r="B858" s="376" t="s">
        <v>7714</v>
      </c>
      <c r="C858" s="377" t="s">
        <v>7715</v>
      </c>
      <c r="D858" s="255" t="s">
        <v>8977</v>
      </c>
      <c r="E858" s="376" t="s">
        <v>346</v>
      </c>
      <c r="F858" s="378" t="s">
        <v>565</v>
      </c>
      <c r="G858" s="269" t="s">
        <v>8971</v>
      </c>
    </row>
    <row r="859" spans="1:7" ht="30" customHeight="1" thickBot="1" x14ac:dyDescent="0.25">
      <c r="A859" s="299">
        <v>2774</v>
      </c>
      <c r="B859" s="376" t="s">
        <v>7714</v>
      </c>
      <c r="C859" s="379" t="s">
        <v>7716</v>
      </c>
      <c r="D859" s="255" t="s">
        <v>8978</v>
      </c>
      <c r="E859" s="380" t="s">
        <v>7722</v>
      </c>
      <c r="F859" s="378" t="s">
        <v>565</v>
      </c>
      <c r="G859" s="269" t="s">
        <v>8971</v>
      </c>
    </row>
    <row r="860" spans="1:7" ht="30" customHeight="1" thickBot="1" x14ac:dyDescent="0.25">
      <c r="A860" s="299">
        <v>2775</v>
      </c>
      <c r="B860" s="376" t="s">
        <v>7714</v>
      </c>
      <c r="C860" s="379" t="s">
        <v>7717</v>
      </c>
      <c r="D860" s="255" t="s">
        <v>8979</v>
      </c>
      <c r="E860" s="380" t="s">
        <v>7722</v>
      </c>
      <c r="F860" s="378" t="s">
        <v>565</v>
      </c>
      <c r="G860" s="269" t="s">
        <v>8971</v>
      </c>
    </row>
    <row r="861" spans="1:7" ht="30" customHeight="1" thickBot="1" x14ac:dyDescent="0.25">
      <c r="A861" s="299">
        <v>2776</v>
      </c>
      <c r="B861" s="376" t="s">
        <v>7714</v>
      </c>
      <c r="C861" s="379" t="s">
        <v>7718</v>
      </c>
      <c r="D861" s="255" t="s">
        <v>8980</v>
      </c>
      <c r="E861" s="380" t="s">
        <v>7722</v>
      </c>
      <c r="F861" s="378" t="s">
        <v>565</v>
      </c>
      <c r="G861" s="269" t="s">
        <v>8971</v>
      </c>
    </row>
    <row r="862" spans="1:7" ht="30" customHeight="1" thickBot="1" x14ac:dyDescent="0.25">
      <c r="A862" s="299">
        <v>2777</v>
      </c>
      <c r="B862" s="376" t="s">
        <v>7714</v>
      </c>
      <c r="C862" s="379" t="s">
        <v>7719</v>
      </c>
      <c r="D862" s="255" t="s">
        <v>8981</v>
      </c>
      <c r="E862" s="380" t="s">
        <v>7722</v>
      </c>
      <c r="F862" s="378" t="s">
        <v>565</v>
      </c>
      <c r="G862" s="269" t="s">
        <v>8971</v>
      </c>
    </row>
    <row r="863" spans="1:7" ht="30" customHeight="1" thickBot="1" x14ac:dyDescent="0.25">
      <c r="A863" s="299">
        <v>2778</v>
      </c>
      <c r="B863" s="376" t="s">
        <v>7714</v>
      </c>
      <c r="C863" s="379" t="s">
        <v>7720</v>
      </c>
      <c r="D863" s="255" t="s">
        <v>8982</v>
      </c>
      <c r="E863" s="380" t="s">
        <v>7723</v>
      </c>
      <c r="F863" s="378" t="s">
        <v>565</v>
      </c>
      <c r="G863" s="269" t="s">
        <v>8971</v>
      </c>
    </row>
    <row r="864" spans="1:7" ht="30" customHeight="1" x14ac:dyDescent="0.2">
      <c r="A864" s="299">
        <v>2779</v>
      </c>
      <c r="B864" s="376" t="s">
        <v>7714</v>
      </c>
      <c r="C864" s="379" t="s">
        <v>7721</v>
      </c>
      <c r="D864" s="255" t="s">
        <v>8983</v>
      </c>
      <c r="E864" s="381" t="s">
        <v>7724</v>
      </c>
      <c r="F864" s="378" t="s">
        <v>565</v>
      </c>
      <c r="G864" s="269" t="s">
        <v>8971</v>
      </c>
    </row>
    <row r="865" spans="1:7" ht="30" customHeight="1" x14ac:dyDescent="0.2">
      <c r="A865" s="316">
        <v>2780</v>
      </c>
      <c r="B865" s="255" t="s">
        <v>6583</v>
      </c>
      <c r="C865" s="262" t="s">
        <v>10235</v>
      </c>
      <c r="D865" s="255" t="s">
        <v>1494</v>
      </c>
      <c r="E865" s="255" t="s">
        <v>6587</v>
      </c>
      <c r="F865" s="271" t="s">
        <v>3171</v>
      </c>
      <c r="G865" s="271" t="s">
        <v>8138</v>
      </c>
    </row>
    <row r="866" spans="1:7" ht="30" customHeight="1" x14ac:dyDescent="0.2">
      <c r="A866" s="254">
        <v>2781</v>
      </c>
      <c r="B866" s="255" t="s">
        <v>6583</v>
      </c>
      <c r="C866" s="262" t="s">
        <v>10236</v>
      </c>
      <c r="D866" s="255" t="s">
        <v>7026</v>
      </c>
      <c r="E866" s="255" t="s">
        <v>6588</v>
      </c>
      <c r="F866" s="271" t="s">
        <v>84</v>
      </c>
      <c r="G866" s="271" t="s">
        <v>7027</v>
      </c>
    </row>
    <row r="867" spans="1:7" ht="30" customHeight="1" x14ac:dyDescent="0.2">
      <c r="A867" s="316">
        <v>2782</v>
      </c>
      <c r="B867" s="255" t="s">
        <v>6583</v>
      </c>
      <c r="C867" s="262" t="s">
        <v>6589</v>
      </c>
      <c r="D867" s="255" t="s">
        <v>7028</v>
      </c>
      <c r="E867" s="255" t="s">
        <v>6590</v>
      </c>
      <c r="F867" s="271" t="s">
        <v>6078</v>
      </c>
      <c r="G867" s="271" t="s">
        <v>7027</v>
      </c>
    </row>
    <row r="868" spans="1:7" ht="30" customHeight="1" x14ac:dyDescent="0.2">
      <c r="A868" s="316">
        <v>2783</v>
      </c>
      <c r="B868" s="255" t="s">
        <v>6583</v>
      </c>
      <c r="C868" s="262" t="s">
        <v>10237</v>
      </c>
      <c r="D868" s="255" t="s">
        <v>7963</v>
      </c>
      <c r="E868" s="255" t="s">
        <v>6591</v>
      </c>
      <c r="F868" s="271" t="s">
        <v>322</v>
      </c>
      <c r="G868" s="271" t="s">
        <v>7962</v>
      </c>
    </row>
    <row r="869" spans="1:7" ht="226.5" customHeight="1" x14ac:dyDescent="0.2">
      <c r="A869" s="254">
        <v>2784</v>
      </c>
      <c r="B869" s="255" t="s">
        <v>6583</v>
      </c>
      <c r="C869" s="262" t="s">
        <v>6592</v>
      </c>
      <c r="D869" s="255" t="s">
        <v>9202</v>
      </c>
      <c r="E869" s="255" t="s">
        <v>6593</v>
      </c>
      <c r="F869" s="271" t="s">
        <v>565</v>
      </c>
      <c r="G869" s="271" t="s">
        <v>9136</v>
      </c>
    </row>
    <row r="870" spans="1:7" ht="30" customHeight="1" x14ac:dyDescent="0.2">
      <c r="A870" s="316">
        <v>2785</v>
      </c>
      <c r="B870" s="255" t="s">
        <v>6583</v>
      </c>
      <c r="C870" s="262" t="s">
        <v>10238</v>
      </c>
      <c r="D870" s="255" t="s">
        <v>7583</v>
      </c>
      <c r="E870" s="255" t="s">
        <v>6594</v>
      </c>
      <c r="F870" s="271" t="s">
        <v>565</v>
      </c>
      <c r="G870" s="271" t="s">
        <v>7542</v>
      </c>
    </row>
    <row r="871" spans="1:7" ht="30" customHeight="1" x14ac:dyDescent="0.2">
      <c r="A871" s="316">
        <v>2786</v>
      </c>
      <c r="B871" s="255" t="s">
        <v>6583</v>
      </c>
      <c r="C871" s="262" t="s">
        <v>6595</v>
      </c>
      <c r="D871" s="255" t="s">
        <v>8403</v>
      </c>
      <c r="E871" s="255" t="s">
        <v>6596</v>
      </c>
      <c r="F871" s="271" t="s">
        <v>84</v>
      </c>
      <c r="G871" s="271" t="s">
        <v>8577</v>
      </c>
    </row>
    <row r="872" spans="1:7" ht="30" customHeight="1" x14ac:dyDescent="0.2">
      <c r="A872" s="254">
        <v>2787</v>
      </c>
      <c r="B872" s="255" t="s">
        <v>6583</v>
      </c>
      <c r="C872" s="262" t="s">
        <v>6597</v>
      </c>
      <c r="D872" s="382" t="s">
        <v>9116</v>
      </c>
      <c r="E872" s="255" t="s">
        <v>1173</v>
      </c>
      <c r="F872" s="271" t="s">
        <v>6067</v>
      </c>
      <c r="G872" s="271" t="s">
        <v>8947</v>
      </c>
    </row>
    <row r="873" spans="1:7" ht="30" customHeight="1" x14ac:dyDescent="0.2">
      <c r="A873" s="316">
        <v>2788</v>
      </c>
      <c r="B873" s="255" t="s">
        <v>6583</v>
      </c>
      <c r="C873" s="262" t="s">
        <v>6598</v>
      </c>
      <c r="D873" s="351" t="s">
        <v>9113</v>
      </c>
      <c r="E873" s="255" t="s">
        <v>6599</v>
      </c>
      <c r="F873" s="271" t="s">
        <v>6067</v>
      </c>
      <c r="G873" s="271" t="s">
        <v>8947</v>
      </c>
    </row>
    <row r="874" spans="1:7" ht="30" customHeight="1" x14ac:dyDescent="0.2">
      <c r="A874" s="316">
        <v>2789</v>
      </c>
      <c r="B874" s="255" t="s">
        <v>6583</v>
      </c>
      <c r="C874" s="262" t="s">
        <v>6600</v>
      </c>
      <c r="D874" s="255" t="s">
        <v>8109</v>
      </c>
      <c r="E874" s="255" t="s">
        <v>1173</v>
      </c>
      <c r="F874" s="271" t="s">
        <v>74</v>
      </c>
      <c r="G874" s="271" t="s">
        <v>8090</v>
      </c>
    </row>
    <row r="875" spans="1:7" ht="30" customHeight="1" x14ac:dyDescent="0.2">
      <c r="A875" s="254">
        <v>2790</v>
      </c>
      <c r="B875" s="255" t="s">
        <v>6583</v>
      </c>
      <c r="C875" s="262" t="s">
        <v>10239</v>
      </c>
      <c r="D875" s="255" t="s">
        <v>7385</v>
      </c>
      <c r="E875" s="255" t="s">
        <v>6601</v>
      </c>
      <c r="F875" s="271" t="s">
        <v>74</v>
      </c>
      <c r="G875" s="271" t="s">
        <v>8090</v>
      </c>
    </row>
    <row r="876" spans="1:7" ht="30" customHeight="1" x14ac:dyDescent="0.2">
      <c r="A876" s="316">
        <v>2791</v>
      </c>
      <c r="B876" s="255" t="s">
        <v>6583</v>
      </c>
      <c r="C876" s="262" t="s">
        <v>6602</v>
      </c>
      <c r="D876" s="255" t="s">
        <v>9366</v>
      </c>
      <c r="E876" s="255" t="s">
        <v>6603</v>
      </c>
      <c r="F876" s="271" t="s">
        <v>565</v>
      </c>
      <c r="G876" s="271" t="s">
        <v>8984</v>
      </c>
    </row>
    <row r="877" spans="1:7" ht="30" customHeight="1" x14ac:dyDescent="0.2">
      <c r="A877" s="316">
        <v>2792</v>
      </c>
      <c r="B877" s="255" t="s">
        <v>6583</v>
      </c>
      <c r="C877" s="262" t="s">
        <v>10240</v>
      </c>
      <c r="D877" s="255" t="s">
        <v>8578</v>
      </c>
      <c r="E877" s="255" t="s">
        <v>6604</v>
      </c>
      <c r="F877" s="271" t="s">
        <v>6078</v>
      </c>
      <c r="G877" s="271" t="s">
        <v>8577</v>
      </c>
    </row>
    <row r="878" spans="1:7" ht="30" customHeight="1" x14ac:dyDescent="0.2">
      <c r="A878" s="254">
        <v>2793</v>
      </c>
      <c r="B878" s="255" t="s">
        <v>6583</v>
      </c>
      <c r="C878" s="262" t="s">
        <v>6605</v>
      </c>
      <c r="D878" s="255" t="s">
        <v>7029</v>
      </c>
      <c r="E878" s="255" t="s">
        <v>6606</v>
      </c>
      <c r="F878" s="271" t="s">
        <v>84</v>
      </c>
      <c r="G878" s="271" t="s">
        <v>7027</v>
      </c>
    </row>
    <row r="879" spans="1:7" ht="30" customHeight="1" x14ac:dyDescent="0.2">
      <c r="A879" s="316">
        <v>2794</v>
      </c>
      <c r="B879" s="255" t="s">
        <v>6583</v>
      </c>
      <c r="C879" s="255" t="s">
        <v>6607</v>
      </c>
      <c r="D879" s="255" t="s">
        <v>2878</v>
      </c>
      <c r="E879" s="255" t="s">
        <v>6608</v>
      </c>
      <c r="F879" s="271" t="s">
        <v>84</v>
      </c>
      <c r="G879" s="271" t="s">
        <v>7027</v>
      </c>
    </row>
    <row r="880" spans="1:7" ht="30" customHeight="1" x14ac:dyDescent="0.2">
      <c r="A880" s="316">
        <v>2795</v>
      </c>
      <c r="B880" s="255" t="s">
        <v>6583</v>
      </c>
      <c r="C880" s="255" t="s">
        <v>6609</v>
      </c>
      <c r="D880" s="255" t="s">
        <v>7370</v>
      </c>
      <c r="E880" s="255" t="s">
        <v>6610</v>
      </c>
      <c r="F880" s="271" t="s">
        <v>74</v>
      </c>
      <c r="G880" s="271" t="s">
        <v>7364</v>
      </c>
    </row>
    <row r="881" spans="1:7" ht="30" customHeight="1" x14ac:dyDescent="0.2">
      <c r="A881" s="254">
        <v>2796</v>
      </c>
      <c r="B881" s="255" t="s">
        <v>6583</v>
      </c>
      <c r="C881" s="255" t="s">
        <v>6611</v>
      </c>
      <c r="D881" s="255" t="s">
        <v>7386</v>
      </c>
      <c r="E881" s="255" t="s">
        <v>1173</v>
      </c>
      <c r="F881" s="271" t="s">
        <v>322</v>
      </c>
      <c r="G881" s="271" t="s">
        <v>7364</v>
      </c>
    </row>
    <row r="882" spans="1:7" ht="30" customHeight="1" x14ac:dyDescent="0.2">
      <c r="A882" s="316">
        <v>2797</v>
      </c>
      <c r="B882" s="255" t="s">
        <v>6612</v>
      </c>
      <c r="C882" s="255" t="s">
        <v>10241</v>
      </c>
      <c r="D882" s="351" t="s">
        <v>359</v>
      </c>
      <c r="E882" s="255" t="s">
        <v>1902</v>
      </c>
      <c r="F882" s="271" t="s">
        <v>6067</v>
      </c>
      <c r="G882" s="271" t="s">
        <v>8947</v>
      </c>
    </row>
    <row r="883" spans="1:7" ht="30" customHeight="1" x14ac:dyDescent="0.2">
      <c r="A883" s="316">
        <v>2798</v>
      </c>
      <c r="B883" s="255" t="s">
        <v>6612</v>
      </c>
      <c r="C883" s="255" t="s">
        <v>6613</v>
      </c>
      <c r="D883" s="351" t="s">
        <v>359</v>
      </c>
      <c r="E883" s="255" t="s">
        <v>1902</v>
      </c>
      <c r="F883" s="271" t="s">
        <v>6067</v>
      </c>
      <c r="G883" s="271" t="s">
        <v>8947</v>
      </c>
    </row>
    <row r="884" spans="1:7" ht="30" customHeight="1" x14ac:dyDescent="0.2">
      <c r="A884" s="254">
        <v>2799</v>
      </c>
      <c r="B884" s="255" t="s">
        <v>6612</v>
      </c>
      <c r="C884" s="255" t="s">
        <v>6614</v>
      </c>
      <c r="D884" s="351" t="s">
        <v>2599</v>
      </c>
      <c r="E884" s="255" t="s">
        <v>1915</v>
      </c>
      <c r="F884" s="271" t="s">
        <v>6067</v>
      </c>
      <c r="G884" s="271" t="s">
        <v>8947</v>
      </c>
    </row>
    <row r="885" spans="1:7" ht="30" customHeight="1" x14ac:dyDescent="0.2">
      <c r="A885" s="316">
        <v>2800</v>
      </c>
      <c r="B885" s="255" t="s">
        <v>6612</v>
      </c>
      <c r="C885" s="255" t="s">
        <v>6615</v>
      </c>
      <c r="D885" s="351" t="s">
        <v>9117</v>
      </c>
      <c r="E885" s="255" t="s">
        <v>6616</v>
      </c>
      <c r="F885" s="271" t="s">
        <v>6067</v>
      </c>
      <c r="G885" s="271" t="s">
        <v>8947</v>
      </c>
    </row>
    <row r="886" spans="1:7" ht="30" customHeight="1" x14ac:dyDescent="0.2">
      <c r="A886" s="316">
        <v>2801</v>
      </c>
      <c r="B886" s="255" t="s">
        <v>6612</v>
      </c>
      <c r="C886" s="255" t="s">
        <v>6617</v>
      </c>
      <c r="D886" s="351" t="s">
        <v>9118</v>
      </c>
      <c r="E886" s="255" t="s">
        <v>6618</v>
      </c>
      <c r="F886" s="271" t="s">
        <v>6067</v>
      </c>
      <c r="G886" s="271" t="s">
        <v>8947</v>
      </c>
    </row>
    <row r="887" spans="1:7" ht="30" customHeight="1" x14ac:dyDescent="0.2">
      <c r="A887" s="254">
        <v>2802</v>
      </c>
      <c r="B887" s="255" t="s">
        <v>6612</v>
      </c>
      <c r="C887" s="255" t="s">
        <v>6619</v>
      </c>
      <c r="D887" s="351" t="s">
        <v>9119</v>
      </c>
      <c r="E887" s="255" t="s">
        <v>6620</v>
      </c>
      <c r="F887" s="271" t="s">
        <v>6067</v>
      </c>
      <c r="G887" s="271" t="s">
        <v>8947</v>
      </c>
    </row>
    <row r="888" spans="1:7" ht="30" customHeight="1" x14ac:dyDescent="0.2">
      <c r="A888" s="316">
        <v>2803</v>
      </c>
      <c r="B888" s="255" t="s">
        <v>6612</v>
      </c>
      <c r="C888" s="255" t="s">
        <v>6621</v>
      </c>
      <c r="D888" s="351" t="s">
        <v>9120</v>
      </c>
      <c r="E888" s="255" t="s">
        <v>1934</v>
      </c>
      <c r="F888" s="271" t="s">
        <v>6067</v>
      </c>
      <c r="G888" s="271" t="s">
        <v>8947</v>
      </c>
    </row>
    <row r="889" spans="1:7" ht="30" customHeight="1" x14ac:dyDescent="0.2">
      <c r="A889" s="316">
        <v>2804</v>
      </c>
      <c r="B889" s="255" t="s">
        <v>6612</v>
      </c>
      <c r="C889" s="255" t="s">
        <v>6622</v>
      </c>
      <c r="D889" s="351" t="s">
        <v>1940</v>
      </c>
      <c r="E889" s="255" t="s">
        <v>1939</v>
      </c>
      <c r="F889" s="271" t="s">
        <v>6067</v>
      </c>
      <c r="G889" s="271" t="s">
        <v>8947</v>
      </c>
    </row>
    <row r="890" spans="1:7" ht="30" customHeight="1" x14ac:dyDescent="0.2">
      <c r="A890" s="254">
        <v>2805</v>
      </c>
      <c r="B890" s="255" t="s">
        <v>6612</v>
      </c>
      <c r="C890" s="255" t="s">
        <v>1941</v>
      </c>
      <c r="D890" s="351" t="s">
        <v>9114</v>
      </c>
      <c r="E890" s="255" t="s">
        <v>1942</v>
      </c>
      <c r="F890" s="271" t="s">
        <v>6067</v>
      </c>
      <c r="G890" s="271" t="s">
        <v>8947</v>
      </c>
    </row>
    <row r="891" spans="1:7" ht="30" customHeight="1" x14ac:dyDescent="0.2">
      <c r="A891" s="316">
        <v>2806</v>
      </c>
      <c r="B891" s="255" t="s">
        <v>6612</v>
      </c>
      <c r="C891" s="255" t="s">
        <v>6623</v>
      </c>
      <c r="D891" s="255" t="s">
        <v>8397</v>
      </c>
      <c r="E891" s="255" t="s">
        <v>1945</v>
      </c>
      <c r="F891" s="271" t="s">
        <v>52</v>
      </c>
      <c r="G891" s="271" t="s">
        <v>8577</v>
      </c>
    </row>
    <row r="892" spans="1:7" ht="30" customHeight="1" x14ac:dyDescent="0.2">
      <c r="A892" s="316">
        <v>2807</v>
      </c>
      <c r="B892" s="255" t="s">
        <v>6612</v>
      </c>
      <c r="C892" s="255" t="s">
        <v>6624</v>
      </c>
      <c r="D892" s="255" t="s">
        <v>8559</v>
      </c>
      <c r="E892" s="255" t="s">
        <v>1947</v>
      </c>
      <c r="F892" s="271" t="s">
        <v>52</v>
      </c>
      <c r="G892" s="271" t="s">
        <v>8577</v>
      </c>
    </row>
    <row r="893" spans="1:7" ht="30" customHeight="1" x14ac:dyDescent="0.2">
      <c r="A893" s="254">
        <v>2808</v>
      </c>
      <c r="B893" s="255" t="s">
        <v>6612</v>
      </c>
      <c r="C893" s="255" t="s">
        <v>1949</v>
      </c>
      <c r="D893" s="255" t="s">
        <v>7030</v>
      </c>
      <c r="E893" s="255" t="s">
        <v>1950</v>
      </c>
      <c r="F893" s="271" t="s">
        <v>52</v>
      </c>
      <c r="G893" s="271" t="s">
        <v>7027</v>
      </c>
    </row>
    <row r="894" spans="1:7" ht="30" customHeight="1" x14ac:dyDescent="0.2">
      <c r="A894" s="316">
        <v>2809</v>
      </c>
      <c r="B894" s="255" t="s">
        <v>6612</v>
      </c>
      <c r="C894" s="255" t="s">
        <v>10242</v>
      </c>
      <c r="D894" s="255" t="s">
        <v>8399</v>
      </c>
      <c r="E894" s="255" t="s">
        <v>1952</v>
      </c>
      <c r="F894" s="271" t="s">
        <v>52</v>
      </c>
      <c r="G894" s="271" t="s">
        <v>8577</v>
      </c>
    </row>
    <row r="895" spans="1:7" ht="30" customHeight="1" x14ac:dyDescent="0.2">
      <c r="A895" s="316">
        <v>2810</v>
      </c>
      <c r="B895" s="255" t="s">
        <v>6612</v>
      </c>
      <c r="C895" s="255" t="s">
        <v>6625</v>
      </c>
      <c r="D895" s="255" t="s">
        <v>8400</v>
      </c>
      <c r="E895" s="255" t="s">
        <v>1996</v>
      </c>
      <c r="F895" s="271" t="s">
        <v>84</v>
      </c>
      <c r="G895" s="271" t="s">
        <v>8577</v>
      </c>
    </row>
    <row r="896" spans="1:7" ht="30" customHeight="1" x14ac:dyDescent="0.2">
      <c r="A896" s="254">
        <v>2811</v>
      </c>
      <c r="B896" s="255" t="s">
        <v>6612</v>
      </c>
      <c r="C896" s="255" t="s">
        <v>1997</v>
      </c>
      <c r="D896" s="255" t="s">
        <v>8579</v>
      </c>
      <c r="E896" s="255" t="s">
        <v>6626</v>
      </c>
      <c r="F896" s="271" t="s">
        <v>52</v>
      </c>
      <c r="G896" s="271" t="s">
        <v>8577</v>
      </c>
    </row>
    <row r="897" spans="1:7" ht="30" customHeight="1" x14ac:dyDescent="0.2">
      <c r="A897" s="316">
        <v>2812</v>
      </c>
      <c r="B897" s="255" t="s">
        <v>6612</v>
      </c>
      <c r="C897" s="255" t="s">
        <v>2002</v>
      </c>
      <c r="D897" s="255" t="s">
        <v>8402</v>
      </c>
      <c r="E897" s="255" t="s">
        <v>2003</v>
      </c>
      <c r="F897" s="271" t="s">
        <v>52</v>
      </c>
      <c r="G897" s="271" t="s">
        <v>8577</v>
      </c>
    </row>
    <row r="898" spans="1:7" ht="30" customHeight="1" x14ac:dyDescent="0.2">
      <c r="A898" s="316">
        <v>2813</v>
      </c>
      <c r="B898" s="255" t="s">
        <v>6612</v>
      </c>
      <c r="C898" s="255" t="s">
        <v>6627</v>
      </c>
      <c r="D898" s="255" t="s">
        <v>7052</v>
      </c>
      <c r="E898" s="255" t="s">
        <v>2005</v>
      </c>
      <c r="F898" s="271" t="s">
        <v>52</v>
      </c>
      <c r="G898" s="271" t="s">
        <v>8577</v>
      </c>
    </row>
    <row r="899" spans="1:7" ht="30" customHeight="1" x14ac:dyDescent="0.2">
      <c r="A899" s="254">
        <v>2814</v>
      </c>
      <c r="B899" s="255" t="s">
        <v>6612</v>
      </c>
      <c r="C899" s="255" t="s">
        <v>6628</v>
      </c>
      <c r="D899" s="255" t="s">
        <v>8580</v>
      </c>
      <c r="E899" s="255" t="s">
        <v>2010</v>
      </c>
      <c r="F899" s="271" t="s">
        <v>52</v>
      </c>
      <c r="G899" s="271" t="s">
        <v>8577</v>
      </c>
    </row>
    <row r="900" spans="1:7" ht="30" customHeight="1" x14ac:dyDescent="0.2">
      <c r="A900" s="316">
        <v>2815</v>
      </c>
      <c r="B900" s="255" t="s">
        <v>6612</v>
      </c>
      <c r="C900" s="255" t="s">
        <v>2013</v>
      </c>
      <c r="D900" s="255" t="s">
        <v>7031</v>
      </c>
      <c r="E900" s="255" t="s">
        <v>2014</v>
      </c>
      <c r="F900" s="271" t="s">
        <v>52</v>
      </c>
      <c r="G900" s="271" t="s">
        <v>7027</v>
      </c>
    </row>
    <row r="901" spans="1:7" ht="30" customHeight="1" x14ac:dyDescent="0.2">
      <c r="A901" s="316">
        <v>2816</v>
      </c>
      <c r="B901" s="255" t="s">
        <v>6612</v>
      </c>
      <c r="C901" s="255" t="s">
        <v>6629</v>
      </c>
      <c r="D901" s="255" t="s">
        <v>9019</v>
      </c>
      <c r="E901" s="255" t="s">
        <v>2016</v>
      </c>
      <c r="F901" s="271" t="s">
        <v>84</v>
      </c>
      <c r="G901" s="271" t="s">
        <v>8890</v>
      </c>
    </row>
    <row r="902" spans="1:7" ht="170.25" customHeight="1" x14ac:dyDescent="0.2">
      <c r="A902" s="254">
        <v>2817</v>
      </c>
      <c r="B902" s="255" t="s">
        <v>6612</v>
      </c>
      <c r="C902" s="255" t="s">
        <v>2021</v>
      </c>
      <c r="D902" s="255" t="s">
        <v>9203</v>
      </c>
      <c r="E902" s="255" t="s">
        <v>2022</v>
      </c>
      <c r="F902" s="271" t="s">
        <v>84</v>
      </c>
      <c r="G902" s="271" t="s">
        <v>7027</v>
      </c>
    </row>
    <row r="903" spans="1:7" ht="30" customHeight="1" x14ac:dyDescent="0.2">
      <c r="A903" s="316">
        <v>2818</v>
      </c>
      <c r="B903" s="255" t="s">
        <v>6612</v>
      </c>
      <c r="C903" s="255" t="s">
        <v>2024</v>
      </c>
      <c r="D903" s="255" t="s">
        <v>7032</v>
      </c>
      <c r="E903" s="255" t="s">
        <v>2025</v>
      </c>
      <c r="F903" s="271" t="s">
        <v>52</v>
      </c>
      <c r="G903" s="271" t="s">
        <v>7027</v>
      </c>
    </row>
    <row r="904" spans="1:7" ht="30" customHeight="1" x14ac:dyDescent="0.2">
      <c r="A904" s="316">
        <v>2819</v>
      </c>
      <c r="B904" s="255" t="s">
        <v>6612</v>
      </c>
      <c r="C904" s="255" t="s">
        <v>2026</v>
      </c>
      <c r="D904" s="255" t="s">
        <v>8581</v>
      </c>
      <c r="E904" s="255" t="s">
        <v>2027</v>
      </c>
      <c r="F904" s="271" t="s">
        <v>52</v>
      </c>
      <c r="G904" s="271" t="s">
        <v>8577</v>
      </c>
    </row>
    <row r="905" spans="1:7" ht="30" customHeight="1" x14ac:dyDescent="0.2">
      <c r="A905" s="254">
        <v>2820</v>
      </c>
      <c r="B905" s="255" t="s">
        <v>6612</v>
      </c>
      <c r="C905" s="255" t="s">
        <v>6630</v>
      </c>
      <c r="D905" s="255" t="s">
        <v>7012</v>
      </c>
      <c r="E905" s="255" t="s">
        <v>2022</v>
      </c>
      <c r="F905" s="271" t="s">
        <v>84</v>
      </c>
      <c r="G905" s="271" t="s">
        <v>7027</v>
      </c>
    </row>
    <row r="906" spans="1:7" ht="30" customHeight="1" x14ac:dyDescent="0.2">
      <c r="A906" s="316">
        <v>2821</v>
      </c>
      <c r="B906" s="255" t="s">
        <v>6612</v>
      </c>
      <c r="C906" s="255" t="s">
        <v>2030</v>
      </c>
      <c r="D906" s="255" t="s">
        <v>7033</v>
      </c>
      <c r="E906" s="255" t="s">
        <v>2031</v>
      </c>
      <c r="F906" s="271" t="s">
        <v>52</v>
      </c>
      <c r="G906" s="271" t="s">
        <v>7027</v>
      </c>
    </row>
    <row r="907" spans="1:7" ht="30" customHeight="1" x14ac:dyDescent="0.2">
      <c r="A907" s="316">
        <v>2822</v>
      </c>
      <c r="B907" s="255" t="s">
        <v>6612</v>
      </c>
      <c r="C907" s="255" t="s">
        <v>6631</v>
      </c>
      <c r="D907" s="255" t="s">
        <v>2034</v>
      </c>
      <c r="E907" s="255" t="s">
        <v>2033</v>
      </c>
      <c r="F907" s="271" t="s">
        <v>52</v>
      </c>
      <c r="G907" s="271" t="s">
        <v>7027</v>
      </c>
    </row>
    <row r="908" spans="1:7" ht="30" customHeight="1" x14ac:dyDescent="0.2">
      <c r="A908" s="254">
        <v>2823</v>
      </c>
      <c r="B908" s="255" t="s">
        <v>6612</v>
      </c>
      <c r="C908" s="255" t="s">
        <v>6632</v>
      </c>
      <c r="D908" s="255" t="s">
        <v>7034</v>
      </c>
      <c r="E908" s="255" t="s">
        <v>2037</v>
      </c>
      <c r="F908" s="271" t="s">
        <v>52</v>
      </c>
      <c r="G908" s="271" t="s">
        <v>7027</v>
      </c>
    </row>
    <row r="909" spans="1:7" ht="30" customHeight="1" x14ac:dyDescent="0.2">
      <c r="A909" s="316">
        <v>2824</v>
      </c>
      <c r="B909" s="255" t="s">
        <v>6612</v>
      </c>
      <c r="C909" s="255" t="s">
        <v>6633</v>
      </c>
      <c r="D909" s="255" t="s">
        <v>2041</v>
      </c>
      <c r="E909" s="255" t="s">
        <v>2040</v>
      </c>
      <c r="F909" s="271" t="s">
        <v>52</v>
      </c>
      <c r="G909" s="271" t="s">
        <v>7027</v>
      </c>
    </row>
    <row r="910" spans="1:7" ht="30" customHeight="1" x14ac:dyDescent="0.2">
      <c r="A910" s="316">
        <v>2825</v>
      </c>
      <c r="B910" s="255" t="s">
        <v>6612</v>
      </c>
      <c r="C910" s="255" t="s">
        <v>10243</v>
      </c>
      <c r="D910" s="255" t="s">
        <v>2044</v>
      </c>
      <c r="E910" s="255" t="s">
        <v>2043</v>
      </c>
      <c r="F910" s="271" t="s">
        <v>84</v>
      </c>
      <c r="G910" s="271" t="s">
        <v>7027</v>
      </c>
    </row>
    <row r="911" spans="1:7" ht="30" customHeight="1" x14ac:dyDescent="0.2">
      <c r="A911" s="254">
        <v>2826</v>
      </c>
      <c r="B911" s="255" t="s">
        <v>6612</v>
      </c>
      <c r="C911" s="255" t="s">
        <v>6634</v>
      </c>
      <c r="D911" s="255" t="s">
        <v>2047</v>
      </c>
      <c r="E911" s="255" t="s">
        <v>2046</v>
      </c>
      <c r="F911" s="271" t="s">
        <v>52</v>
      </c>
      <c r="G911" s="271" t="s">
        <v>7027</v>
      </c>
    </row>
    <row r="912" spans="1:7" ht="30" customHeight="1" x14ac:dyDescent="0.2">
      <c r="A912" s="316">
        <v>2827</v>
      </c>
      <c r="B912" s="255" t="s">
        <v>6612</v>
      </c>
      <c r="C912" s="255" t="s">
        <v>6635</v>
      </c>
      <c r="D912" s="255" t="s">
        <v>7971</v>
      </c>
      <c r="E912" s="255" t="s">
        <v>2049</v>
      </c>
      <c r="F912" s="271" t="s">
        <v>565</v>
      </c>
      <c r="G912" s="271" t="s">
        <v>7962</v>
      </c>
    </row>
    <row r="913" spans="1:7" ht="30" customHeight="1" x14ac:dyDescent="0.2">
      <c r="A913" s="316">
        <v>2828</v>
      </c>
      <c r="B913" s="255" t="s">
        <v>6612</v>
      </c>
      <c r="C913" s="255" t="s">
        <v>6636</v>
      </c>
      <c r="D913" s="255" t="s">
        <v>8567</v>
      </c>
      <c r="E913" s="255" t="s">
        <v>2056</v>
      </c>
      <c r="F913" s="271" t="s">
        <v>52</v>
      </c>
      <c r="G913" s="271" t="s">
        <v>8577</v>
      </c>
    </row>
    <row r="914" spans="1:7" ht="30" customHeight="1" x14ac:dyDescent="0.2">
      <c r="A914" s="254">
        <v>2829</v>
      </c>
      <c r="B914" s="255" t="s">
        <v>6612</v>
      </c>
      <c r="C914" s="255" t="s">
        <v>6637</v>
      </c>
      <c r="D914" s="255" t="s">
        <v>8582</v>
      </c>
      <c r="E914" s="255" t="s">
        <v>2059</v>
      </c>
      <c r="F914" s="271" t="s">
        <v>52</v>
      </c>
      <c r="G914" s="271" t="s">
        <v>8577</v>
      </c>
    </row>
    <row r="915" spans="1:7" ht="30" customHeight="1" x14ac:dyDescent="0.2">
      <c r="A915" s="316">
        <v>2830</v>
      </c>
      <c r="B915" s="255" t="s">
        <v>6612</v>
      </c>
      <c r="C915" s="255" t="s">
        <v>2061</v>
      </c>
      <c r="D915" s="255" t="s">
        <v>1053</v>
      </c>
      <c r="E915" s="255" t="s">
        <v>2062</v>
      </c>
      <c r="F915" s="271" t="s">
        <v>6078</v>
      </c>
      <c r="G915" s="271" t="s">
        <v>8577</v>
      </c>
    </row>
    <row r="916" spans="1:7" ht="30" customHeight="1" x14ac:dyDescent="0.2">
      <c r="A916" s="316">
        <v>2831</v>
      </c>
      <c r="B916" s="255" t="s">
        <v>6612</v>
      </c>
      <c r="C916" s="255" t="s">
        <v>2063</v>
      </c>
      <c r="D916" s="255" t="s">
        <v>8497</v>
      </c>
      <c r="E916" s="255" t="s">
        <v>2064</v>
      </c>
      <c r="F916" s="271" t="s">
        <v>6147</v>
      </c>
      <c r="G916" s="271" t="s">
        <v>8499</v>
      </c>
    </row>
    <row r="917" spans="1:7" ht="30" customHeight="1" x14ac:dyDescent="0.2">
      <c r="A917" s="254">
        <v>2832</v>
      </c>
      <c r="B917" s="255" t="s">
        <v>6612</v>
      </c>
      <c r="C917" s="255" t="s">
        <v>6638</v>
      </c>
      <c r="D917" s="255" t="s">
        <v>8403</v>
      </c>
      <c r="E917" s="255" t="s">
        <v>2068</v>
      </c>
      <c r="F917" s="271" t="s">
        <v>84</v>
      </c>
      <c r="G917" s="271" t="s">
        <v>8577</v>
      </c>
    </row>
    <row r="918" spans="1:7" ht="30" customHeight="1" x14ac:dyDescent="0.2">
      <c r="A918" s="316">
        <v>2833</v>
      </c>
      <c r="B918" s="255" t="s">
        <v>6612</v>
      </c>
      <c r="C918" s="255" t="s">
        <v>6639</v>
      </c>
      <c r="D918" s="255" t="s">
        <v>8500</v>
      </c>
      <c r="E918" s="255" t="s">
        <v>2070</v>
      </c>
      <c r="F918" s="271" t="s">
        <v>2065</v>
      </c>
      <c r="G918" s="271" t="s">
        <v>8501</v>
      </c>
    </row>
    <row r="919" spans="1:7" ht="30" customHeight="1" x14ac:dyDescent="0.2">
      <c r="A919" s="316">
        <v>2834</v>
      </c>
      <c r="B919" s="255" t="s">
        <v>6612</v>
      </c>
      <c r="C919" s="255" t="s">
        <v>6640</v>
      </c>
      <c r="D919" s="255" t="s">
        <v>8502</v>
      </c>
      <c r="E919" s="255" t="s">
        <v>2073</v>
      </c>
      <c r="F919" s="271" t="s">
        <v>2065</v>
      </c>
      <c r="G919" s="271" t="s">
        <v>8501</v>
      </c>
    </row>
    <row r="920" spans="1:7" ht="30" customHeight="1" x14ac:dyDescent="0.2">
      <c r="A920" s="254">
        <v>2835</v>
      </c>
      <c r="B920" s="255" t="s">
        <v>6612</v>
      </c>
      <c r="C920" s="255" t="s">
        <v>10244</v>
      </c>
      <c r="D920" s="255" t="s">
        <v>8114</v>
      </c>
      <c r="E920" s="255" t="s">
        <v>2085</v>
      </c>
      <c r="F920" s="271" t="s">
        <v>6264</v>
      </c>
      <c r="G920" s="271" t="s">
        <v>8138</v>
      </c>
    </row>
    <row r="921" spans="1:7" ht="30" customHeight="1" x14ac:dyDescent="0.2">
      <c r="A921" s="316">
        <v>2836</v>
      </c>
      <c r="B921" s="255" t="s">
        <v>6612</v>
      </c>
      <c r="C921" s="255" t="s">
        <v>6641</v>
      </c>
      <c r="D921" s="255" t="s">
        <v>6020</v>
      </c>
      <c r="E921" s="255" t="s">
        <v>2086</v>
      </c>
      <c r="F921" s="271" t="s">
        <v>6642</v>
      </c>
      <c r="G921" s="271" t="s">
        <v>7364</v>
      </c>
    </row>
    <row r="922" spans="1:7" ht="30" customHeight="1" x14ac:dyDescent="0.2">
      <c r="A922" s="316">
        <v>2837</v>
      </c>
      <c r="B922" s="255" t="s">
        <v>6612</v>
      </c>
      <c r="C922" s="255" t="s">
        <v>6643</v>
      </c>
      <c r="D922" s="255" t="s">
        <v>8406</v>
      </c>
      <c r="E922" s="255" t="s">
        <v>2088</v>
      </c>
      <c r="F922" s="271" t="s">
        <v>84</v>
      </c>
      <c r="G922" s="271" t="s">
        <v>8577</v>
      </c>
    </row>
    <row r="923" spans="1:7" ht="30" customHeight="1" x14ac:dyDescent="0.2">
      <c r="A923" s="254">
        <v>2838</v>
      </c>
      <c r="B923" s="255" t="s">
        <v>6612</v>
      </c>
      <c r="C923" s="255" t="s">
        <v>6644</v>
      </c>
      <c r="D923" s="255" t="s">
        <v>7035</v>
      </c>
      <c r="E923" s="255" t="s">
        <v>2092</v>
      </c>
      <c r="F923" s="271" t="s">
        <v>52</v>
      </c>
      <c r="G923" s="271" t="s">
        <v>7027</v>
      </c>
    </row>
    <row r="924" spans="1:7" ht="30" customHeight="1" x14ac:dyDescent="0.2">
      <c r="A924" s="316">
        <v>2839</v>
      </c>
      <c r="B924" s="255" t="s">
        <v>6612</v>
      </c>
      <c r="C924" s="255" t="s">
        <v>6645</v>
      </c>
      <c r="D924" s="255" t="s">
        <v>9020</v>
      </c>
      <c r="E924" s="255" t="s">
        <v>2095</v>
      </c>
      <c r="F924" s="271" t="s">
        <v>6646</v>
      </c>
      <c r="G924" s="271" t="s">
        <v>8890</v>
      </c>
    </row>
    <row r="925" spans="1:7" ht="30" customHeight="1" x14ac:dyDescent="0.2">
      <c r="A925" s="316">
        <v>2840</v>
      </c>
      <c r="B925" s="255" t="s">
        <v>6612</v>
      </c>
      <c r="C925" s="255" t="s">
        <v>2097</v>
      </c>
      <c r="D925" s="255" t="s">
        <v>7573</v>
      </c>
      <c r="E925" s="255" t="s">
        <v>2098</v>
      </c>
      <c r="F925" s="271" t="s">
        <v>565</v>
      </c>
      <c r="G925" s="271" t="s">
        <v>7542</v>
      </c>
    </row>
    <row r="926" spans="1:7" ht="30" customHeight="1" x14ac:dyDescent="0.2">
      <c r="A926" s="254">
        <v>2841</v>
      </c>
      <c r="B926" s="255" t="s">
        <v>6612</v>
      </c>
      <c r="C926" s="255" t="s">
        <v>6647</v>
      </c>
      <c r="D926" s="255" t="s">
        <v>7584</v>
      </c>
      <c r="E926" s="255" t="s">
        <v>2101</v>
      </c>
      <c r="F926" s="271" t="s">
        <v>565</v>
      </c>
      <c r="G926" s="271" t="s">
        <v>7542</v>
      </c>
    </row>
    <row r="927" spans="1:7" ht="30" customHeight="1" x14ac:dyDescent="0.2">
      <c r="A927" s="316">
        <v>2842</v>
      </c>
      <c r="B927" s="255" t="s">
        <v>6612</v>
      </c>
      <c r="C927" s="255" t="s">
        <v>2102</v>
      </c>
      <c r="D927" s="255" t="s">
        <v>7585</v>
      </c>
      <c r="E927" s="255" t="s">
        <v>2103</v>
      </c>
      <c r="F927" s="271" t="s">
        <v>565</v>
      </c>
      <c r="G927" s="271" t="s">
        <v>7542</v>
      </c>
    </row>
    <row r="928" spans="1:7" ht="30" customHeight="1" x14ac:dyDescent="0.2">
      <c r="A928" s="316">
        <v>2843</v>
      </c>
      <c r="B928" s="255" t="s">
        <v>6612</v>
      </c>
      <c r="C928" s="255" t="s">
        <v>2105</v>
      </c>
      <c r="D928" s="351" t="s">
        <v>9367</v>
      </c>
      <c r="E928" s="255" t="s">
        <v>6648</v>
      </c>
      <c r="F928" s="271" t="s">
        <v>565</v>
      </c>
      <c r="G928" s="271" t="s">
        <v>8984</v>
      </c>
    </row>
    <row r="929" spans="1:7" ht="30" customHeight="1" x14ac:dyDescent="0.2">
      <c r="A929" s="254">
        <v>2844</v>
      </c>
      <c r="B929" s="255" t="s">
        <v>6612</v>
      </c>
      <c r="C929" s="255" t="s">
        <v>6649</v>
      </c>
      <c r="D929" s="383" t="s">
        <v>9368</v>
      </c>
      <c r="E929" s="255" t="s">
        <v>2109</v>
      </c>
      <c r="F929" s="271" t="s">
        <v>565</v>
      </c>
      <c r="G929" s="271" t="s">
        <v>8984</v>
      </c>
    </row>
    <row r="930" spans="1:7" ht="30" customHeight="1" x14ac:dyDescent="0.2">
      <c r="A930" s="316">
        <v>2845</v>
      </c>
      <c r="B930" s="255" t="s">
        <v>6612</v>
      </c>
      <c r="C930" s="255" t="s">
        <v>6650</v>
      </c>
      <c r="D930" s="383" t="s">
        <v>9369</v>
      </c>
      <c r="E930" s="255" t="s">
        <v>6651</v>
      </c>
      <c r="F930" s="271" t="s">
        <v>565</v>
      </c>
      <c r="G930" s="271" t="s">
        <v>8984</v>
      </c>
    </row>
    <row r="931" spans="1:7" ht="30" customHeight="1" x14ac:dyDescent="0.2">
      <c r="A931" s="316">
        <v>2846</v>
      </c>
      <c r="B931" s="255" t="s">
        <v>6612</v>
      </c>
      <c r="C931" s="255" t="s">
        <v>2113</v>
      </c>
      <c r="D931" s="383" t="s">
        <v>9370</v>
      </c>
      <c r="E931" s="255" t="s">
        <v>6652</v>
      </c>
      <c r="F931" s="271" t="s">
        <v>565</v>
      </c>
      <c r="G931" s="271" t="s">
        <v>8984</v>
      </c>
    </row>
    <row r="932" spans="1:7" ht="30" customHeight="1" x14ac:dyDescent="0.2">
      <c r="A932" s="254">
        <v>2847</v>
      </c>
      <c r="B932" s="255" t="s">
        <v>6612</v>
      </c>
      <c r="C932" s="255" t="s">
        <v>6653</v>
      </c>
      <c r="D932" s="383" t="s">
        <v>9371</v>
      </c>
      <c r="E932" s="255" t="s">
        <v>6652</v>
      </c>
      <c r="F932" s="271" t="s">
        <v>565</v>
      </c>
      <c r="G932" s="271" t="s">
        <v>8984</v>
      </c>
    </row>
    <row r="933" spans="1:7" ht="30" customHeight="1" x14ac:dyDescent="0.2">
      <c r="A933" s="316">
        <v>2848</v>
      </c>
      <c r="B933" s="255" t="s">
        <v>6612</v>
      </c>
      <c r="C933" s="255" t="s">
        <v>6654</v>
      </c>
      <c r="D933" s="255" t="s">
        <v>9372</v>
      </c>
      <c r="E933" s="255" t="s">
        <v>6655</v>
      </c>
      <c r="F933" s="271" t="s">
        <v>565</v>
      </c>
      <c r="G933" s="271" t="s">
        <v>8984</v>
      </c>
    </row>
    <row r="934" spans="1:7" ht="30" customHeight="1" x14ac:dyDescent="0.2">
      <c r="A934" s="316">
        <v>2849</v>
      </c>
      <c r="B934" s="255" t="s">
        <v>6612</v>
      </c>
      <c r="C934" s="255" t="s">
        <v>2120</v>
      </c>
      <c r="D934" s="383" t="s">
        <v>9373</v>
      </c>
      <c r="E934" s="255" t="s">
        <v>6656</v>
      </c>
      <c r="F934" s="271" t="s">
        <v>565</v>
      </c>
      <c r="G934" s="271" t="s">
        <v>8984</v>
      </c>
    </row>
    <row r="935" spans="1:7" ht="30" customHeight="1" x14ac:dyDescent="0.2">
      <c r="A935" s="254">
        <v>2850</v>
      </c>
      <c r="B935" s="255" t="s">
        <v>6612</v>
      </c>
      <c r="C935" s="255" t="s">
        <v>6657</v>
      </c>
      <c r="D935" s="255" t="s">
        <v>8503</v>
      </c>
      <c r="E935" s="255" t="s">
        <v>2124</v>
      </c>
      <c r="F935" s="271" t="s">
        <v>6147</v>
      </c>
      <c r="G935" s="271" t="s">
        <v>8501</v>
      </c>
    </row>
    <row r="936" spans="1:7" ht="30" customHeight="1" x14ac:dyDescent="0.2">
      <c r="A936" s="316">
        <v>2851</v>
      </c>
      <c r="B936" s="255" t="s">
        <v>6612</v>
      </c>
      <c r="C936" s="255" t="s">
        <v>6658</v>
      </c>
      <c r="D936" s="255" t="s">
        <v>9112</v>
      </c>
      <c r="E936" s="255" t="s">
        <v>2129</v>
      </c>
      <c r="F936" s="271" t="s">
        <v>6067</v>
      </c>
      <c r="G936" s="271" t="s">
        <v>8947</v>
      </c>
    </row>
    <row r="937" spans="1:7" ht="30" customHeight="1" x14ac:dyDescent="0.2">
      <c r="A937" s="316">
        <v>2852</v>
      </c>
      <c r="B937" s="255" t="s">
        <v>6612</v>
      </c>
      <c r="C937" s="255" t="s">
        <v>2131</v>
      </c>
      <c r="D937" s="255" t="s">
        <v>2133</v>
      </c>
      <c r="E937" s="255" t="s">
        <v>2132</v>
      </c>
      <c r="F937" s="271" t="s">
        <v>3171</v>
      </c>
      <c r="G937" s="271" t="s">
        <v>8138</v>
      </c>
    </row>
    <row r="938" spans="1:7" ht="30" customHeight="1" x14ac:dyDescent="0.2">
      <c r="A938" s="254">
        <v>2853</v>
      </c>
      <c r="B938" s="255" t="s">
        <v>6612</v>
      </c>
      <c r="C938" s="255" t="s">
        <v>5917</v>
      </c>
      <c r="D938" s="351" t="s">
        <v>8354</v>
      </c>
      <c r="E938" s="255" t="s">
        <v>5918</v>
      </c>
      <c r="F938" s="271" t="s">
        <v>6067</v>
      </c>
      <c r="G938" s="271" t="s">
        <v>8947</v>
      </c>
    </row>
    <row r="939" spans="1:7" ht="30" customHeight="1" x14ac:dyDescent="0.2">
      <c r="A939" s="316">
        <v>2854</v>
      </c>
      <c r="B939" s="256">
        <v>2854</v>
      </c>
      <c r="C939" s="255" t="s">
        <v>6659</v>
      </c>
      <c r="D939" s="351" t="s">
        <v>9111</v>
      </c>
      <c r="E939" s="255" t="s">
        <v>5922</v>
      </c>
      <c r="F939" s="271" t="s">
        <v>6067</v>
      </c>
      <c r="G939" s="271" t="s">
        <v>8947</v>
      </c>
    </row>
    <row r="940" spans="1:7" ht="30" customHeight="1" x14ac:dyDescent="0.2">
      <c r="A940" s="316">
        <v>2855</v>
      </c>
      <c r="B940" s="255" t="s">
        <v>6612</v>
      </c>
      <c r="C940" s="255" t="s">
        <v>5924</v>
      </c>
      <c r="D940" s="351" t="s">
        <v>8349</v>
      </c>
      <c r="E940" s="255" t="s">
        <v>5925</v>
      </c>
      <c r="F940" s="271" t="s">
        <v>6067</v>
      </c>
      <c r="G940" s="271" t="s">
        <v>8947</v>
      </c>
    </row>
    <row r="941" spans="1:7" ht="30" customHeight="1" x14ac:dyDescent="0.2">
      <c r="A941" s="254">
        <v>2856</v>
      </c>
      <c r="B941" s="255" t="s">
        <v>6612</v>
      </c>
      <c r="C941" s="255" t="s">
        <v>6660</v>
      </c>
      <c r="D941" s="351" t="s">
        <v>1739</v>
      </c>
      <c r="E941" s="255" t="s">
        <v>5928</v>
      </c>
      <c r="F941" s="271" t="s">
        <v>6067</v>
      </c>
      <c r="G941" s="271" t="s">
        <v>8947</v>
      </c>
    </row>
    <row r="942" spans="1:7" ht="30" customHeight="1" x14ac:dyDescent="0.2">
      <c r="A942" s="316">
        <v>2857</v>
      </c>
      <c r="B942" s="255" t="s">
        <v>6612</v>
      </c>
      <c r="C942" s="255" t="s">
        <v>5930</v>
      </c>
      <c r="D942" s="351" t="s">
        <v>7332</v>
      </c>
      <c r="E942" s="255" t="s">
        <v>6661</v>
      </c>
      <c r="F942" s="271" t="s">
        <v>6067</v>
      </c>
      <c r="G942" s="271" t="s">
        <v>8947</v>
      </c>
    </row>
    <row r="943" spans="1:7" ht="30" customHeight="1" x14ac:dyDescent="0.2">
      <c r="A943" s="316">
        <v>2858</v>
      </c>
      <c r="B943" s="255" t="s">
        <v>6612</v>
      </c>
      <c r="C943" s="255" t="s">
        <v>6662</v>
      </c>
      <c r="D943" s="351" t="s">
        <v>5933</v>
      </c>
      <c r="E943" s="255" t="s">
        <v>5934</v>
      </c>
      <c r="F943" s="271" t="s">
        <v>6067</v>
      </c>
      <c r="G943" s="271" t="s">
        <v>8947</v>
      </c>
    </row>
    <row r="944" spans="1:7" ht="30" customHeight="1" x14ac:dyDescent="0.2">
      <c r="A944" s="254">
        <v>2859</v>
      </c>
      <c r="B944" s="255" t="s">
        <v>6612</v>
      </c>
      <c r="C944" s="255" t="s">
        <v>6663</v>
      </c>
      <c r="D944" s="351" t="s">
        <v>9121</v>
      </c>
      <c r="E944" s="255" t="s">
        <v>5937</v>
      </c>
      <c r="F944" s="271" t="s">
        <v>6067</v>
      </c>
      <c r="G944" s="271" t="s">
        <v>8947</v>
      </c>
    </row>
    <row r="945" spans="1:7" ht="30" customHeight="1" x14ac:dyDescent="0.2">
      <c r="A945" s="316">
        <v>2860</v>
      </c>
      <c r="B945" s="255" t="s">
        <v>6612</v>
      </c>
      <c r="C945" s="255" t="s">
        <v>5939</v>
      </c>
      <c r="D945" s="351" t="s">
        <v>9122</v>
      </c>
      <c r="E945" s="255" t="s">
        <v>5940</v>
      </c>
      <c r="F945" s="271" t="s">
        <v>6067</v>
      </c>
      <c r="G945" s="271" t="s">
        <v>8947</v>
      </c>
    </row>
    <row r="946" spans="1:7" ht="30" customHeight="1" x14ac:dyDescent="0.2">
      <c r="A946" s="316">
        <v>2861</v>
      </c>
      <c r="B946" s="255" t="s">
        <v>6612</v>
      </c>
      <c r="C946" s="255" t="s">
        <v>6664</v>
      </c>
      <c r="D946" s="351" t="s">
        <v>8358</v>
      </c>
      <c r="E946" s="255" t="s">
        <v>6665</v>
      </c>
      <c r="F946" s="271" t="s">
        <v>6067</v>
      </c>
      <c r="G946" s="271" t="s">
        <v>8947</v>
      </c>
    </row>
    <row r="947" spans="1:7" ht="30" customHeight="1" x14ac:dyDescent="0.2">
      <c r="A947" s="254">
        <v>2862</v>
      </c>
      <c r="B947" s="255" t="s">
        <v>6612</v>
      </c>
      <c r="C947" s="255" t="s">
        <v>6666</v>
      </c>
      <c r="D947" s="351" t="s">
        <v>8358</v>
      </c>
      <c r="E947" s="255" t="s">
        <v>6667</v>
      </c>
      <c r="F947" s="271" t="s">
        <v>6067</v>
      </c>
      <c r="G947" s="271" t="s">
        <v>8947</v>
      </c>
    </row>
    <row r="948" spans="1:7" ht="30" customHeight="1" x14ac:dyDescent="0.2">
      <c r="A948" s="316">
        <v>2863</v>
      </c>
      <c r="B948" s="255" t="s">
        <v>6612</v>
      </c>
      <c r="C948" s="255" t="s">
        <v>5947</v>
      </c>
      <c r="D948" s="351" t="s">
        <v>9123</v>
      </c>
      <c r="E948" s="255" t="s">
        <v>5948</v>
      </c>
      <c r="F948" s="271" t="s">
        <v>6067</v>
      </c>
      <c r="G948" s="271" t="s">
        <v>8947</v>
      </c>
    </row>
    <row r="949" spans="1:7" ht="30" customHeight="1" x14ac:dyDescent="0.2">
      <c r="A949" s="316">
        <v>2864</v>
      </c>
      <c r="B949" s="255" t="s">
        <v>6612</v>
      </c>
      <c r="C949" s="255" t="s">
        <v>6668</v>
      </c>
      <c r="D949" s="255" t="s">
        <v>7036</v>
      </c>
      <c r="E949" s="255" t="s">
        <v>5952</v>
      </c>
      <c r="F949" s="271" t="s">
        <v>52</v>
      </c>
      <c r="G949" s="271" t="s">
        <v>7027</v>
      </c>
    </row>
    <row r="950" spans="1:7" ht="30" customHeight="1" x14ac:dyDescent="0.2">
      <c r="A950" s="254">
        <v>2865</v>
      </c>
      <c r="B950" s="255" t="s">
        <v>6612</v>
      </c>
      <c r="C950" s="255" t="s">
        <v>6669</v>
      </c>
      <c r="D950" s="255" t="s">
        <v>7036</v>
      </c>
      <c r="E950" s="255" t="s">
        <v>5955</v>
      </c>
      <c r="F950" s="271" t="s">
        <v>52</v>
      </c>
      <c r="G950" s="271" t="s">
        <v>7027</v>
      </c>
    </row>
    <row r="951" spans="1:7" ht="30" customHeight="1" x14ac:dyDescent="0.2">
      <c r="A951" s="316">
        <v>2866</v>
      </c>
      <c r="B951" s="255" t="s">
        <v>6612</v>
      </c>
      <c r="C951" s="255" t="s">
        <v>6670</v>
      </c>
      <c r="D951" s="255" t="s">
        <v>7037</v>
      </c>
      <c r="E951" s="255" t="s">
        <v>5959</v>
      </c>
      <c r="F951" s="271" t="s">
        <v>52</v>
      </c>
      <c r="G951" s="271" t="s">
        <v>7027</v>
      </c>
    </row>
    <row r="952" spans="1:7" ht="30" customHeight="1" x14ac:dyDescent="0.2">
      <c r="A952" s="316">
        <v>2867</v>
      </c>
      <c r="B952" s="255" t="s">
        <v>6612</v>
      </c>
      <c r="C952" s="255" t="s">
        <v>5961</v>
      </c>
      <c r="D952" s="255" t="s">
        <v>5962</v>
      </c>
      <c r="E952" s="255" t="s">
        <v>5963</v>
      </c>
      <c r="F952" s="271" t="s">
        <v>52</v>
      </c>
      <c r="G952" s="271" t="s">
        <v>8890</v>
      </c>
    </row>
    <row r="953" spans="1:7" ht="30" customHeight="1" x14ac:dyDescent="0.2">
      <c r="A953" s="254">
        <v>2868</v>
      </c>
      <c r="B953" s="255" t="s">
        <v>6612</v>
      </c>
      <c r="C953" s="255" t="s">
        <v>6671</v>
      </c>
      <c r="D953" s="255" t="s">
        <v>8403</v>
      </c>
      <c r="E953" s="255" t="s">
        <v>5966</v>
      </c>
      <c r="F953" s="271" t="s">
        <v>52</v>
      </c>
      <c r="G953" s="271" t="s">
        <v>8577</v>
      </c>
    </row>
    <row r="954" spans="1:7" ht="30" customHeight="1" x14ac:dyDescent="0.2">
      <c r="A954" s="316">
        <v>2869</v>
      </c>
      <c r="B954" s="255" t="s">
        <v>6612</v>
      </c>
      <c r="C954" s="255" t="s">
        <v>5968</v>
      </c>
      <c r="D954" s="383" t="s">
        <v>9374</v>
      </c>
      <c r="E954" s="255" t="s">
        <v>5970</v>
      </c>
      <c r="F954" s="271" t="s">
        <v>565</v>
      </c>
      <c r="G954" s="271" t="s">
        <v>8984</v>
      </c>
    </row>
    <row r="955" spans="1:7" ht="30" customHeight="1" x14ac:dyDescent="0.2">
      <c r="A955" s="316">
        <v>2870</v>
      </c>
      <c r="B955" s="255" t="s">
        <v>6612</v>
      </c>
      <c r="C955" s="255" t="s">
        <v>5972</v>
      </c>
      <c r="D955" s="383" t="s">
        <v>9375</v>
      </c>
      <c r="E955" s="255" t="s">
        <v>5970</v>
      </c>
      <c r="F955" s="271" t="s">
        <v>565</v>
      </c>
      <c r="G955" s="271" t="s">
        <v>8984</v>
      </c>
    </row>
    <row r="956" spans="1:7" ht="30" customHeight="1" x14ac:dyDescent="0.2">
      <c r="A956" s="254">
        <v>2871</v>
      </c>
      <c r="B956" s="255" t="s">
        <v>6612</v>
      </c>
      <c r="C956" s="255" t="s">
        <v>5975</v>
      </c>
      <c r="D956" s="255" t="s">
        <v>7586</v>
      </c>
      <c r="E956" s="255" t="s">
        <v>5977</v>
      </c>
      <c r="F956" s="271" t="s">
        <v>565</v>
      </c>
      <c r="G956" s="271" t="s">
        <v>7542</v>
      </c>
    </row>
    <row r="957" spans="1:7" ht="30" customHeight="1" x14ac:dyDescent="0.2">
      <c r="A957" s="316">
        <v>2872</v>
      </c>
      <c r="B957" s="255" t="s">
        <v>6612</v>
      </c>
      <c r="C957" s="255" t="s">
        <v>6672</v>
      </c>
      <c r="D957" s="255" t="s">
        <v>7587</v>
      </c>
      <c r="E957" s="255" t="s">
        <v>5980</v>
      </c>
      <c r="F957" s="271" t="s">
        <v>565</v>
      </c>
      <c r="G957" s="271" t="s">
        <v>7542</v>
      </c>
    </row>
    <row r="958" spans="1:7" ht="30" customHeight="1" x14ac:dyDescent="0.2">
      <c r="A958" s="316">
        <v>2873</v>
      </c>
      <c r="B958" s="255" t="s">
        <v>6612</v>
      </c>
      <c r="C958" s="255" t="s">
        <v>5985</v>
      </c>
      <c r="D958" s="255" t="s">
        <v>6977</v>
      </c>
      <c r="E958" s="255" t="s">
        <v>5986</v>
      </c>
      <c r="F958" s="271" t="s">
        <v>52</v>
      </c>
      <c r="G958" s="271" t="s">
        <v>7027</v>
      </c>
    </row>
    <row r="959" spans="1:7" ht="30" customHeight="1" x14ac:dyDescent="0.2">
      <c r="A959" s="254">
        <v>2874</v>
      </c>
      <c r="B959" s="255" t="s">
        <v>6612</v>
      </c>
      <c r="C959" s="255" t="s">
        <v>6673</v>
      </c>
      <c r="D959" s="255" t="s">
        <v>8575</v>
      </c>
      <c r="E959" s="255" t="s">
        <v>5989</v>
      </c>
      <c r="F959" s="271" t="s">
        <v>6078</v>
      </c>
      <c r="G959" s="271" t="s">
        <v>8577</v>
      </c>
    </row>
    <row r="960" spans="1:7" ht="30" customHeight="1" x14ac:dyDescent="0.2">
      <c r="A960" s="316">
        <v>2875</v>
      </c>
      <c r="B960" s="255" t="s">
        <v>6612</v>
      </c>
      <c r="C960" s="255" t="s">
        <v>5997</v>
      </c>
      <c r="D960" s="255" t="s">
        <v>7588</v>
      </c>
      <c r="E960" s="255" t="s">
        <v>5998</v>
      </c>
      <c r="F960" s="271" t="s">
        <v>565</v>
      </c>
      <c r="G960" s="271" t="s">
        <v>7542</v>
      </c>
    </row>
    <row r="961" spans="1:7" ht="30" customHeight="1" x14ac:dyDescent="0.2">
      <c r="A961" s="316">
        <v>2876</v>
      </c>
      <c r="B961" s="255" t="s">
        <v>6612</v>
      </c>
      <c r="C961" s="255" t="s">
        <v>6674</v>
      </c>
      <c r="D961" s="255" t="s">
        <v>7038</v>
      </c>
      <c r="E961" s="255" t="s">
        <v>6675</v>
      </c>
      <c r="F961" s="271" t="s">
        <v>52</v>
      </c>
      <c r="G961" s="271" t="s">
        <v>7027</v>
      </c>
    </row>
    <row r="962" spans="1:7" ht="30" customHeight="1" x14ac:dyDescent="0.2">
      <c r="A962" s="254">
        <v>2877</v>
      </c>
      <c r="B962" s="255" t="s">
        <v>6612</v>
      </c>
      <c r="C962" s="255" t="s">
        <v>6676</v>
      </c>
      <c r="D962" s="255" t="s">
        <v>6007</v>
      </c>
      <c r="E962" s="255" t="s">
        <v>6008</v>
      </c>
      <c r="F962" s="271" t="s">
        <v>52</v>
      </c>
      <c r="G962" s="271" t="s">
        <v>7027</v>
      </c>
    </row>
    <row r="963" spans="1:7" ht="30" customHeight="1" x14ac:dyDescent="0.2">
      <c r="A963" s="316">
        <v>2878</v>
      </c>
      <c r="B963" s="255" t="s">
        <v>6612</v>
      </c>
      <c r="C963" s="255" t="s">
        <v>6677</v>
      </c>
      <c r="D963" s="255" t="s">
        <v>7370</v>
      </c>
      <c r="E963" s="255" t="s">
        <v>6012</v>
      </c>
      <c r="F963" s="271" t="s">
        <v>74</v>
      </c>
      <c r="G963" s="271" t="s">
        <v>7364</v>
      </c>
    </row>
    <row r="964" spans="1:7" ht="30" customHeight="1" x14ac:dyDescent="0.2">
      <c r="A964" s="316">
        <v>2879</v>
      </c>
      <c r="B964" s="255" t="s">
        <v>6219</v>
      </c>
      <c r="C964" s="255" t="s">
        <v>6678</v>
      </c>
      <c r="D964" s="255" t="s">
        <v>7570</v>
      </c>
      <c r="E964" s="255" t="s">
        <v>346</v>
      </c>
      <c r="F964" s="271" t="s">
        <v>565</v>
      </c>
      <c r="G964" s="271" t="s">
        <v>7542</v>
      </c>
    </row>
    <row r="965" spans="1:7" ht="30" customHeight="1" x14ac:dyDescent="0.2">
      <c r="A965" s="254">
        <v>2880</v>
      </c>
      <c r="B965" s="255" t="s">
        <v>6219</v>
      </c>
      <c r="C965" s="255" t="s">
        <v>6679</v>
      </c>
      <c r="D965" s="255" t="s">
        <v>7570</v>
      </c>
      <c r="E965" s="255" t="s">
        <v>346</v>
      </c>
      <c r="F965" s="271" t="s">
        <v>565</v>
      </c>
      <c r="G965" s="271" t="s">
        <v>7542</v>
      </c>
    </row>
    <row r="966" spans="1:7" ht="30" customHeight="1" x14ac:dyDescent="0.2">
      <c r="A966" s="316">
        <v>2881</v>
      </c>
      <c r="B966" s="255" t="s">
        <v>6219</v>
      </c>
      <c r="C966" s="255" t="s">
        <v>6680</v>
      </c>
      <c r="D966" s="255" t="s">
        <v>8583</v>
      </c>
      <c r="E966" s="255" t="s">
        <v>2614</v>
      </c>
      <c r="F966" s="256" t="s">
        <v>6078</v>
      </c>
      <c r="G966" s="256" t="s">
        <v>8577</v>
      </c>
    </row>
    <row r="967" spans="1:7" ht="30" customHeight="1" x14ac:dyDescent="0.2">
      <c r="A967" s="316">
        <v>2882</v>
      </c>
      <c r="B967" s="255" t="s">
        <v>6219</v>
      </c>
      <c r="C967" s="255" t="s">
        <v>6681</v>
      </c>
      <c r="D967" s="255" t="s">
        <v>8584</v>
      </c>
      <c r="E967" s="255" t="s">
        <v>2614</v>
      </c>
      <c r="F967" s="256" t="s">
        <v>6078</v>
      </c>
      <c r="G967" s="256" t="s">
        <v>8577</v>
      </c>
    </row>
    <row r="968" spans="1:7" ht="30" customHeight="1" x14ac:dyDescent="0.2">
      <c r="A968" s="254">
        <v>2883</v>
      </c>
      <c r="B968" s="255" t="s">
        <v>6219</v>
      </c>
      <c r="C968" s="255" t="s">
        <v>6682</v>
      </c>
      <c r="D968" s="255" t="s">
        <v>7589</v>
      </c>
      <c r="E968" s="255" t="s">
        <v>6683</v>
      </c>
      <c r="F968" s="271" t="s">
        <v>565</v>
      </c>
      <c r="G968" s="271" t="s">
        <v>7542</v>
      </c>
    </row>
    <row r="969" spans="1:7" ht="30" customHeight="1" x14ac:dyDescent="0.2">
      <c r="A969" s="316">
        <v>2884</v>
      </c>
      <c r="B969" s="255" t="s">
        <v>6219</v>
      </c>
      <c r="C969" s="255" t="s">
        <v>6684</v>
      </c>
      <c r="D969" s="255" t="s">
        <v>7570</v>
      </c>
      <c r="E969" s="255" t="s">
        <v>6685</v>
      </c>
      <c r="F969" s="256" t="s">
        <v>565</v>
      </c>
      <c r="G969" s="256" t="s">
        <v>7542</v>
      </c>
    </row>
    <row r="970" spans="1:7" ht="30" customHeight="1" x14ac:dyDescent="0.2">
      <c r="A970" s="316">
        <v>2885</v>
      </c>
      <c r="B970" s="255" t="s">
        <v>6219</v>
      </c>
      <c r="C970" s="255" t="s">
        <v>6686</v>
      </c>
      <c r="D970" s="255" t="s">
        <v>7590</v>
      </c>
      <c r="E970" s="255" t="s">
        <v>6687</v>
      </c>
      <c r="F970" s="256" t="s">
        <v>565</v>
      </c>
      <c r="G970" s="256" t="s">
        <v>7542</v>
      </c>
    </row>
    <row r="971" spans="1:7" ht="30" customHeight="1" x14ac:dyDescent="0.2">
      <c r="A971" s="254">
        <v>2886</v>
      </c>
      <c r="B971" s="255" t="s">
        <v>6219</v>
      </c>
      <c r="C971" s="255" t="s">
        <v>6688</v>
      </c>
      <c r="D971" s="255" t="s">
        <v>7591</v>
      </c>
      <c r="E971" s="255" t="s">
        <v>6687</v>
      </c>
      <c r="F971" s="256" t="s">
        <v>565</v>
      </c>
      <c r="G971" s="256" t="s">
        <v>7542</v>
      </c>
    </row>
    <row r="972" spans="1:7" ht="30" customHeight="1" x14ac:dyDescent="0.2">
      <c r="A972" s="316">
        <v>2887</v>
      </c>
      <c r="B972" s="255" t="s">
        <v>6219</v>
      </c>
      <c r="C972" s="255" t="s">
        <v>6689</v>
      </c>
      <c r="D972" s="255" t="s">
        <v>7592</v>
      </c>
      <c r="E972" s="255" t="s">
        <v>6687</v>
      </c>
      <c r="F972" s="256" t="s">
        <v>565</v>
      </c>
      <c r="G972" s="256" t="s">
        <v>7542</v>
      </c>
    </row>
    <row r="973" spans="1:7" ht="30" customHeight="1" x14ac:dyDescent="0.2">
      <c r="A973" s="316">
        <v>2888</v>
      </c>
      <c r="B973" s="255" t="s">
        <v>6219</v>
      </c>
      <c r="C973" s="255" t="s">
        <v>6690</v>
      </c>
      <c r="D973" s="255" t="s">
        <v>7593</v>
      </c>
      <c r="E973" s="255" t="s">
        <v>6691</v>
      </c>
      <c r="F973" s="256" t="s">
        <v>565</v>
      </c>
      <c r="G973" s="256" t="s">
        <v>7542</v>
      </c>
    </row>
    <row r="974" spans="1:7" ht="30" customHeight="1" x14ac:dyDescent="0.2">
      <c r="A974" s="254">
        <v>2889</v>
      </c>
      <c r="B974" s="255" t="s">
        <v>6219</v>
      </c>
      <c r="C974" s="255" t="s">
        <v>6692</v>
      </c>
      <c r="D974" s="255" t="s">
        <v>7594</v>
      </c>
      <c r="E974" s="255" t="s">
        <v>6693</v>
      </c>
      <c r="F974" s="271" t="s">
        <v>565</v>
      </c>
      <c r="G974" s="271" t="s">
        <v>7542</v>
      </c>
    </row>
    <row r="975" spans="1:7" ht="30" customHeight="1" x14ac:dyDescent="0.2">
      <c r="A975" s="316">
        <v>2890</v>
      </c>
      <c r="B975" s="255" t="s">
        <v>6219</v>
      </c>
      <c r="C975" s="255" t="s">
        <v>6694</v>
      </c>
      <c r="D975" s="255" t="s">
        <v>7595</v>
      </c>
      <c r="E975" s="255" t="s">
        <v>6695</v>
      </c>
      <c r="F975" s="271" t="s">
        <v>565</v>
      </c>
      <c r="G975" s="271" t="s">
        <v>7542</v>
      </c>
    </row>
    <row r="976" spans="1:7" ht="30" customHeight="1" x14ac:dyDescent="0.2">
      <c r="A976" s="316">
        <v>2891</v>
      </c>
      <c r="B976" s="255" t="s">
        <v>6219</v>
      </c>
      <c r="C976" s="255" t="s">
        <v>6696</v>
      </c>
      <c r="D976" s="255" t="s">
        <v>7596</v>
      </c>
      <c r="E976" s="255" t="s">
        <v>6697</v>
      </c>
      <c r="F976" s="271" t="s">
        <v>565</v>
      </c>
      <c r="G976" s="271" t="s">
        <v>7542</v>
      </c>
    </row>
    <row r="977" spans="1:7" ht="30" customHeight="1" x14ac:dyDescent="0.2">
      <c r="A977" s="254">
        <v>2892</v>
      </c>
      <c r="B977" s="255" t="s">
        <v>6219</v>
      </c>
      <c r="C977" s="255" t="s">
        <v>6698</v>
      </c>
      <c r="D977" s="255" t="s">
        <v>7597</v>
      </c>
      <c r="E977" s="255" t="s">
        <v>6699</v>
      </c>
      <c r="F977" s="271" t="s">
        <v>565</v>
      </c>
      <c r="G977" s="271" t="s">
        <v>7542</v>
      </c>
    </row>
    <row r="978" spans="1:7" ht="30" customHeight="1" x14ac:dyDescent="0.2">
      <c r="A978" s="316">
        <v>2893</v>
      </c>
      <c r="B978" s="255" t="s">
        <v>6219</v>
      </c>
      <c r="C978" s="255" t="s">
        <v>6700</v>
      </c>
      <c r="D978" s="255" t="s">
        <v>8273</v>
      </c>
      <c r="E978" s="255" t="s">
        <v>6701</v>
      </c>
      <c r="F978" s="271" t="s">
        <v>565</v>
      </c>
      <c r="G978" s="271" t="s">
        <v>8257</v>
      </c>
    </row>
    <row r="979" spans="1:7" ht="30" customHeight="1" x14ac:dyDescent="0.2">
      <c r="A979" s="316">
        <v>2894</v>
      </c>
      <c r="B979" s="255" t="s">
        <v>6219</v>
      </c>
      <c r="C979" s="255" t="s">
        <v>6702</v>
      </c>
      <c r="D979" s="255" t="s">
        <v>9376</v>
      </c>
      <c r="E979" s="255" t="s">
        <v>6703</v>
      </c>
      <c r="F979" s="271" t="s">
        <v>565</v>
      </c>
      <c r="G979" s="271" t="s">
        <v>8984</v>
      </c>
    </row>
    <row r="980" spans="1:7" ht="30" customHeight="1" x14ac:dyDescent="0.2">
      <c r="A980" s="254">
        <v>2895</v>
      </c>
      <c r="B980" s="255" t="s">
        <v>6219</v>
      </c>
      <c r="C980" s="255" t="s">
        <v>10245</v>
      </c>
      <c r="D980" s="255" t="s">
        <v>7598</v>
      </c>
      <c r="E980" s="255" t="s">
        <v>6704</v>
      </c>
      <c r="F980" s="271" t="s">
        <v>565</v>
      </c>
      <c r="G980" s="271" t="s">
        <v>7542</v>
      </c>
    </row>
    <row r="981" spans="1:7" ht="30" customHeight="1" x14ac:dyDescent="0.2">
      <c r="A981" s="316">
        <v>2896</v>
      </c>
      <c r="B981" s="255" t="s">
        <v>6219</v>
      </c>
      <c r="C981" s="255" t="s">
        <v>10246</v>
      </c>
      <c r="D981" s="255" t="s">
        <v>7599</v>
      </c>
      <c r="E981" s="255" t="s">
        <v>6705</v>
      </c>
      <c r="F981" s="256" t="s">
        <v>565</v>
      </c>
      <c r="G981" s="256" t="s">
        <v>7542</v>
      </c>
    </row>
    <row r="982" spans="1:7" ht="30" customHeight="1" x14ac:dyDescent="0.2">
      <c r="A982" s="316">
        <v>2897</v>
      </c>
      <c r="B982" s="255" t="s">
        <v>6219</v>
      </c>
      <c r="C982" s="255" t="s">
        <v>10247</v>
      </c>
      <c r="D982" s="255" t="s">
        <v>7600</v>
      </c>
      <c r="E982" s="255" t="s">
        <v>6706</v>
      </c>
      <c r="F982" s="256" t="s">
        <v>565</v>
      </c>
      <c r="G982" s="256" t="s">
        <v>7542</v>
      </c>
    </row>
    <row r="983" spans="1:7" ht="30" customHeight="1" x14ac:dyDescent="0.2">
      <c r="A983" s="254">
        <v>2898</v>
      </c>
      <c r="B983" s="255" t="s">
        <v>6219</v>
      </c>
      <c r="C983" s="255" t="s">
        <v>6707</v>
      </c>
      <c r="D983" s="255" t="s">
        <v>7601</v>
      </c>
      <c r="E983" s="255" t="s">
        <v>6708</v>
      </c>
      <c r="F983" s="256" t="s">
        <v>565</v>
      </c>
      <c r="G983" s="256" t="s">
        <v>7542</v>
      </c>
    </row>
    <row r="984" spans="1:7" ht="30" customHeight="1" x14ac:dyDescent="0.2">
      <c r="A984" s="316">
        <v>2899</v>
      </c>
      <c r="B984" s="255" t="s">
        <v>6219</v>
      </c>
      <c r="C984" s="255" t="s">
        <v>6709</v>
      </c>
      <c r="D984" s="255" t="s">
        <v>7602</v>
      </c>
      <c r="E984" s="255" t="s">
        <v>2198</v>
      </c>
      <c r="F984" s="256" t="s">
        <v>565</v>
      </c>
      <c r="G984" s="256" t="s">
        <v>7542</v>
      </c>
    </row>
    <row r="985" spans="1:7" ht="30" customHeight="1" x14ac:dyDescent="0.2">
      <c r="A985" s="316">
        <v>2900</v>
      </c>
      <c r="B985" s="255" t="s">
        <v>6219</v>
      </c>
      <c r="C985" s="255" t="s">
        <v>6710</v>
      </c>
      <c r="D985" s="255" t="s">
        <v>7603</v>
      </c>
      <c r="E985" s="255" t="s">
        <v>2198</v>
      </c>
      <c r="F985" s="256" t="s">
        <v>565</v>
      </c>
      <c r="G985" s="256" t="s">
        <v>7542</v>
      </c>
    </row>
    <row r="986" spans="1:7" ht="30" customHeight="1" x14ac:dyDescent="0.2">
      <c r="A986" s="254">
        <v>2901</v>
      </c>
      <c r="B986" s="255" t="s">
        <v>6219</v>
      </c>
      <c r="C986" s="255" t="s">
        <v>6711</v>
      </c>
      <c r="D986" s="255" t="s">
        <v>7602</v>
      </c>
      <c r="E986" s="255" t="s">
        <v>2198</v>
      </c>
      <c r="F986" s="256" t="s">
        <v>565</v>
      </c>
      <c r="G986" s="256" t="s">
        <v>7542</v>
      </c>
    </row>
    <row r="987" spans="1:7" ht="30" customHeight="1" x14ac:dyDescent="0.2">
      <c r="A987" s="316">
        <v>2902</v>
      </c>
      <c r="B987" s="255" t="s">
        <v>6219</v>
      </c>
      <c r="C987" s="255" t="s">
        <v>6712</v>
      </c>
      <c r="D987" s="255" t="s">
        <v>7604</v>
      </c>
      <c r="E987" s="255" t="s">
        <v>2198</v>
      </c>
      <c r="F987" s="256" t="s">
        <v>565</v>
      </c>
      <c r="G987" s="256" t="s">
        <v>7542</v>
      </c>
    </row>
    <row r="988" spans="1:7" ht="30" customHeight="1" x14ac:dyDescent="0.2">
      <c r="A988" s="316">
        <v>2903</v>
      </c>
      <c r="B988" s="255" t="s">
        <v>6219</v>
      </c>
      <c r="C988" s="255" t="s">
        <v>6713</v>
      </c>
      <c r="D988" s="255" t="s">
        <v>7605</v>
      </c>
      <c r="E988" s="255" t="s">
        <v>2198</v>
      </c>
      <c r="F988" s="256" t="s">
        <v>565</v>
      </c>
      <c r="G988" s="256" t="s">
        <v>7542</v>
      </c>
    </row>
    <row r="989" spans="1:7" ht="30" customHeight="1" x14ac:dyDescent="0.2">
      <c r="A989" s="254">
        <v>2904</v>
      </c>
      <c r="B989" s="255" t="s">
        <v>6219</v>
      </c>
      <c r="C989" s="262" t="s">
        <v>6714</v>
      </c>
      <c r="D989" s="262" t="s">
        <v>7606</v>
      </c>
      <c r="E989" s="262" t="s">
        <v>6715</v>
      </c>
      <c r="F989" s="384" t="s">
        <v>120</v>
      </c>
      <c r="G989" s="384" t="s">
        <v>7542</v>
      </c>
    </row>
    <row r="990" spans="1:7" ht="30" customHeight="1" x14ac:dyDescent="0.2">
      <c r="A990" s="316">
        <v>2905</v>
      </c>
      <c r="B990" s="255" t="s">
        <v>6219</v>
      </c>
      <c r="C990" s="262" t="s">
        <v>6716</v>
      </c>
      <c r="D990" s="262" t="s">
        <v>7607</v>
      </c>
      <c r="E990" s="262" t="s">
        <v>2198</v>
      </c>
      <c r="F990" s="256" t="s">
        <v>565</v>
      </c>
      <c r="G990" s="256" t="s">
        <v>7542</v>
      </c>
    </row>
    <row r="991" spans="1:7" ht="30" customHeight="1" x14ac:dyDescent="0.2">
      <c r="A991" s="316">
        <v>2906</v>
      </c>
      <c r="B991" s="255" t="s">
        <v>6219</v>
      </c>
      <c r="C991" s="262" t="s">
        <v>6717</v>
      </c>
      <c r="D991" s="262" t="s">
        <v>7605</v>
      </c>
      <c r="E991" s="262" t="s">
        <v>6718</v>
      </c>
      <c r="F991" s="384" t="s">
        <v>565</v>
      </c>
      <c r="G991" s="384" t="s">
        <v>7542</v>
      </c>
    </row>
    <row r="992" spans="1:7" ht="30" customHeight="1" x14ac:dyDescent="0.2">
      <c r="A992" s="254">
        <v>2907</v>
      </c>
      <c r="B992" s="255" t="s">
        <v>6219</v>
      </c>
      <c r="C992" s="262" t="s">
        <v>6719</v>
      </c>
      <c r="D992" s="262" t="s">
        <v>7608</v>
      </c>
      <c r="E992" s="262" t="s">
        <v>2198</v>
      </c>
      <c r="F992" s="256" t="s">
        <v>565</v>
      </c>
      <c r="G992" s="256" t="s">
        <v>7542</v>
      </c>
    </row>
    <row r="993" spans="1:7" ht="30" customHeight="1" x14ac:dyDescent="0.2">
      <c r="A993" s="316">
        <v>2908</v>
      </c>
      <c r="B993" s="255" t="s">
        <v>6219</v>
      </c>
      <c r="C993" s="262" t="s">
        <v>6720</v>
      </c>
      <c r="D993" s="262" t="s">
        <v>7609</v>
      </c>
      <c r="E993" s="262" t="s">
        <v>2198</v>
      </c>
      <c r="F993" s="256" t="s">
        <v>565</v>
      </c>
      <c r="G993" s="256" t="s">
        <v>7542</v>
      </c>
    </row>
    <row r="994" spans="1:7" ht="30" customHeight="1" x14ac:dyDescent="0.2">
      <c r="A994" s="316">
        <v>2909</v>
      </c>
      <c r="B994" s="255" t="s">
        <v>6219</v>
      </c>
      <c r="C994" s="255" t="s">
        <v>6721</v>
      </c>
      <c r="D994" s="255" t="s">
        <v>8274</v>
      </c>
      <c r="E994" s="262" t="s">
        <v>2198</v>
      </c>
      <c r="F994" s="256" t="s">
        <v>565</v>
      </c>
      <c r="G994" s="256" t="s">
        <v>8257</v>
      </c>
    </row>
    <row r="995" spans="1:7" ht="30" customHeight="1" x14ac:dyDescent="0.2">
      <c r="A995" s="254">
        <v>2910</v>
      </c>
      <c r="B995" s="255" t="s">
        <v>6219</v>
      </c>
      <c r="C995" s="255" t="s">
        <v>6722</v>
      </c>
      <c r="D995" s="383" t="s">
        <v>9377</v>
      </c>
      <c r="E995" s="262" t="s">
        <v>2198</v>
      </c>
      <c r="F995" s="256" t="s">
        <v>565</v>
      </c>
      <c r="G995" s="256" t="s">
        <v>8984</v>
      </c>
    </row>
    <row r="996" spans="1:7" ht="30" customHeight="1" x14ac:dyDescent="0.2">
      <c r="A996" s="316">
        <v>2911</v>
      </c>
      <c r="B996" s="255" t="s">
        <v>6219</v>
      </c>
      <c r="C996" s="255" t="s">
        <v>6723</v>
      </c>
      <c r="D996" s="383" t="s">
        <v>9378</v>
      </c>
      <c r="E996" s="262" t="s">
        <v>2198</v>
      </c>
      <c r="F996" s="256" t="s">
        <v>565</v>
      </c>
      <c r="G996" s="256" t="s">
        <v>8984</v>
      </c>
    </row>
    <row r="997" spans="1:7" ht="30" customHeight="1" x14ac:dyDescent="0.2">
      <c r="A997" s="316">
        <v>2912</v>
      </c>
      <c r="B997" s="255" t="s">
        <v>6219</v>
      </c>
      <c r="C997" s="255" t="s">
        <v>6724</v>
      </c>
      <c r="D997" s="383" t="s">
        <v>9379</v>
      </c>
      <c r="E997" s="262" t="s">
        <v>2198</v>
      </c>
      <c r="F997" s="256" t="s">
        <v>565</v>
      </c>
      <c r="G997" s="256" t="s">
        <v>8984</v>
      </c>
    </row>
    <row r="998" spans="1:7" ht="30" customHeight="1" x14ac:dyDescent="0.2">
      <c r="A998" s="254">
        <v>2913</v>
      </c>
      <c r="B998" s="255" t="s">
        <v>6219</v>
      </c>
      <c r="C998" s="255" t="s">
        <v>6725</v>
      </c>
      <c r="D998" s="383" t="s">
        <v>9380</v>
      </c>
      <c r="E998" s="262" t="s">
        <v>2198</v>
      </c>
      <c r="F998" s="256" t="s">
        <v>565</v>
      </c>
      <c r="G998" s="256" t="s">
        <v>8984</v>
      </c>
    </row>
    <row r="999" spans="1:7" ht="30" customHeight="1" x14ac:dyDescent="0.2">
      <c r="A999" s="316">
        <v>2914</v>
      </c>
      <c r="B999" s="255" t="s">
        <v>6219</v>
      </c>
      <c r="C999" s="255" t="s">
        <v>6726</v>
      </c>
      <c r="D999" s="383" t="s">
        <v>9381</v>
      </c>
      <c r="E999" s="262" t="s">
        <v>2198</v>
      </c>
      <c r="F999" s="256" t="s">
        <v>565</v>
      </c>
      <c r="G999" s="256" t="s">
        <v>8984</v>
      </c>
    </row>
    <row r="1000" spans="1:7" ht="30" customHeight="1" x14ac:dyDescent="0.2">
      <c r="A1000" s="316">
        <v>2915</v>
      </c>
      <c r="B1000" s="255" t="s">
        <v>6219</v>
      </c>
      <c r="C1000" s="255" t="s">
        <v>6727</v>
      </c>
      <c r="D1000" s="383" t="s">
        <v>9382</v>
      </c>
      <c r="E1000" s="262" t="s">
        <v>2198</v>
      </c>
      <c r="F1000" s="256" t="s">
        <v>565</v>
      </c>
      <c r="G1000" s="256" t="s">
        <v>8984</v>
      </c>
    </row>
    <row r="1001" spans="1:7" ht="30" customHeight="1" x14ac:dyDescent="0.2">
      <c r="A1001" s="254">
        <v>2916</v>
      </c>
      <c r="B1001" s="255" t="s">
        <v>6219</v>
      </c>
      <c r="C1001" s="255" t="s">
        <v>6728</v>
      </c>
      <c r="D1001" s="383" t="s">
        <v>9383</v>
      </c>
      <c r="E1001" s="262" t="s">
        <v>2198</v>
      </c>
      <c r="F1001" s="256" t="s">
        <v>565</v>
      </c>
      <c r="G1001" s="256" t="s">
        <v>8984</v>
      </c>
    </row>
    <row r="1002" spans="1:7" ht="30" customHeight="1" x14ac:dyDescent="0.2">
      <c r="A1002" s="316">
        <v>2917</v>
      </c>
      <c r="B1002" s="255" t="s">
        <v>6219</v>
      </c>
      <c r="C1002" s="255" t="s">
        <v>6729</v>
      </c>
      <c r="D1002" s="383" t="s">
        <v>9384</v>
      </c>
      <c r="E1002" s="262" t="s">
        <v>2198</v>
      </c>
      <c r="F1002" s="256" t="s">
        <v>565</v>
      </c>
      <c r="G1002" s="256" t="s">
        <v>8984</v>
      </c>
    </row>
    <row r="1003" spans="1:7" ht="30" customHeight="1" x14ac:dyDescent="0.2">
      <c r="A1003" s="316">
        <v>2918</v>
      </c>
      <c r="B1003" s="255" t="s">
        <v>6219</v>
      </c>
      <c r="C1003" s="255" t="s">
        <v>6730</v>
      </c>
      <c r="D1003" s="383" t="s">
        <v>9385</v>
      </c>
      <c r="E1003" s="262" t="s">
        <v>2198</v>
      </c>
      <c r="F1003" s="256" t="s">
        <v>565</v>
      </c>
      <c r="G1003" s="256" t="s">
        <v>8984</v>
      </c>
    </row>
    <row r="1004" spans="1:7" ht="30" customHeight="1" x14ac:dyDescent="0.2">
      <c r="A1004" s="254">
        <v>2919</v>
      </c>
      <c r="B1004" s="255" t="s">
        <v>6219</v>
      </c>
      <c r="C1004" s="255" t="s">
        <v>6731</v>
      </c>
      <c r="D1004" s="383" t="s">
        <v>9386</v>
      </c>
      <c r="E1004" s="262" t="s">
        <v>2198</v>
      </c>
      <c r="F1004" s="256" t="s">
        <v>565</v>
      </c>
      <c r="G1004" s="256" t="s">
        <v>8984</v>
      </c>
    </row>
    <row r="1005" spans="1:7" ht="30" customHeight="1" x14ac:dyDescent="0.2">
      <c r="A1005" s="316">
        <v>2920</v>
      </c>
      <c r="B1005" s="255" t="s">
        <v>6219</v>
      </c>
      <c r="C1005" s="255" t="s">
        <v>6732</v>
      </c>
      <c r="D1005" s="383" t="s">
        <v>9387</v>
      </c>
      <c r="E1005" s="262" t="s">
        <v>2198</v>
      </c>
      <c r="F1005" s="256" t="s">
        <v>565</v>
      </c>
      <c r="G1005" s="256" t="s">
        <v>8984</v>
      </c>
    </row>
    <row r="1006" spans="1:7" ht="30" customHeight="1" x14ac:dyDescent="0.2">
      <c r="A1006" s="316">
        <v>2921</v>
      </c>
      <c r="B1006" s="255" t="s">
        <v>6219</v>
      </c>
      <c r="C1006" s="255" t="s">
        <v>6733</v>
      </c>
      <c r="D1006" s="383" t="s">
        <v>9386</v>
      </c>
      <c r="E1006" s="262" t="s">
        <v>2198</v>
      </c>
      <c r="F1006" s="256" t="s">
        <v>565</v>
      </c>
      <c r="G1006" s="256" t="s">
        <v>8984</v>
      </c>
    </row>
    <row r="1007" spans="1:7" ht="30" customHeight="1" x14ac:dyDescent="0.2">
      <c r="A1007" s="254">
        <v>2922</v>
      </c>
      <c r="B1007" s="255" t="s">
        <v>6219</v>
      </c>
      <c r="C1007" s="255" t="s">
        <v>6734</v>
      </c>
      <c r="D1007" s="255" t="s">
        <v>8275</v>
      </c>
      <c r="E1007" s="262" t="s">
        <v>2198</v>
      </c>
      <c r="F1007" s="256" t="s">
        <v>565</v>
      </c>
      <c r="G1007" s="256" t="s">
        <v>8257</v>
      </c>
    </row>
    <row r="1008" spans="1:7" ht="30" customHeight="1" x14ac:dyDescent="0.2">
      <c r="A1008" s="316">
        <v>2923</v>
      </c>
      <c r="B1008" s="255" t="s">
        <v>6219</v>
      </c>
      <c r="C1008" s="255" t="s">
        <v>6735</v>
      </c>
      <c r="D1008" s="255" t="s">
        <v>7972</v>
      </c>
      <c r="E1008" s="262" t="s">
        <v>2198</v>
      </c>
      <c r="F1008" s="256" t="s">
        <v>565</v>
      </c>
      <c r="G1008" s="256" t="s">
        <v>7962</v>
      </c>
    </row>
    <row r="1009" spans="1:7" ht="30" customHeight="1" x14ac:dyDescent="0.2">
      <c r="A1009" s="316">
        <v>2924</v>
      </c>
      <c r="B1009" s="255" t="s">
        <v>6219</v>
      </c>
      <c r="C1009" s="255" t="s">
        <v>6736</v>
      </c>
      <c r="D1009" s="255" t="s">
        <v>8055</v>
      </c>
      <c r="E1009" s="262" t="s">
        <v>2198</v>
      </c>
      <c r="F1009" s="256" t="s">
        <v>565</v>
      </c>
      <c r="G1009" s="256" t="s">
        <v>8050</v>
      </c>
    </row>
    <row r="1010" spans="1:7" ht="30" customHeight="1" x14ac:dyDescent="0.2">
      <c r="A1010" s="254">
        <v>2925</v>
      </c>
      <c r="B1010" s="255" t="s">
        <v>6219</v>
      </c>
      <c r="C1010" s="255" t="s">
        <v>6737</v>
      </c>
      <c r="D1010" s="255" t="s">
        <v>8056</v>
      </c>
      <c r="E1010" s="262" t="s">
        <v>2198</v>
      </c>
      <c r="F1010" s="256" t="s">
        <v>565</v>
      </c>
      <c r="G1010" s="256" t="s">
        <v>8050</v>
      </c>
    </row>
    <row r="1011" spans="1:7" ht="30" customHeight="1" x14ac:dyDescent="0.2">
      <c r="A1011" s="316">
        <v>2926</v>
      </c>
      <c r="B1011" s="255" t="s">
        <v>6219</v>
      </c>
      <c r="C1011" s="255" t="s">
        <v>6738</v>
      </c>
      <c r="D1011" s="255" t="s">
        <v>7973</v>
      </c>
      <c r="E1011" s="262" t="s">
        <v>2198</v>
      </c>
      <c r="F1011" s="256" t="s">
        <v>565</v>
      </c>
      <c r="G1011" s="256" t="s">
        <v>7962</v>
      </c>
    </row>
    <row r="1012" spans="1:7" ht="30" customHeight="1" x14ac:dyDescent="0.2">
      <c r="A1012" s="316">
        <v>2927</v>
      </c>
      <c r="B1012" s="255" t="s">
        <v>6219</v>
      </c>
      <c r="C1012" s="255" t="s">
        <v>6739</v>
      </c>
      <c r="D1012" s="255" t="s">
        <v>7973</v>
      </c>
      <c r="E1012" s="262" t="s">
        <v>2198</v>
      </c>
      <c r="F1012" s="256" t="s">
        <v>565</v>
      </c>
      <c r="G1012" s="256" t="s">
        <v>7962</v>
      </c>
    </row>
    <row r="1013" spans="1:7" ht="30" customHeight="1" x14ac:dyDescent="0.2">
      <c r="A1013" s="254">
        <v>2928</v>
      </c>
      <c r="B1013" s="255" t="s">
        <v>6219</v>
      </c>
      <c r="C1013" s="255" t="s">
        <v>6740</v>
      </c>
      <c r="D1013" s="255" t="s">
        <v>7973</v>
      </c>
      <c r="E1013" s="262" t="s">
        <v>2198</v>
      </c>
      <c r="F1013" s="256" t="s">
        <v>565</v>
      </c>
      <c r="G1013" s="256" t="s">
        <v>7962</v>
      </c>
    </row>
    <row r="1014" spans="1:7" ht="30" customHeight="1" x14ac:dyDescent="0.2">
      <c r="A1014" s="316">
        <v>2929</v>
      </c>
      <c r="B1014" s="255" t="s">
        <v>6219</v>
      </c>
      <c r="C1014" s="255" t="s">
        <v>6741</v>
      </c>
      <c r="D1014" s="255" t="s">
        <v>7973</v>
      </c>
      <c r="E1014" s="262" t="s">
        <v>2198</v>
      </c>
      <c r="F1014" s="256" t="s">
        <v>565</v>
      </c>
      <c r="G1014" s="256" t="s">
        <v>7962</v>
      </c>
    </row>
    <row r="1015" spans="1:7" ht="30" customHeight="1" x14ac:dyDescent="0.2">
      <c r="A1015" s="316">
        <v>2930</v>
      </c>
      <c r="B1015" s="255" t="s">
        <v>6219</v>
      </c>
      <c r="C1015" s="255" t="s">
        <v>6742</v>
      </c>
      <c r="D1015" s="255" t="s">
        <v>7973</v>
      </c>
      <c r="E1015" s="262" t="s">
        <v>2198</v>
      </c>
      <c r="F1015" s="256" t="s">
        <v>565</v>
      </c>
      <c r="G1015" s="256" t="s">
        <v>7962</v>
      </c>
    </row>
    <row r="1016" spans="1:7" ht="30" customHeight="1" x14ac:dyDescent="0.2">
      <c r="A1016" s="254">
        <v>2931</v>
      </c>
      <c r="B1016" s="255" t="s">
        <v>6219</v>
      </c>
      <c r="C1016" s="255" t="s">
        <v>6743</v>
      </c>
      <c r="D1016" s="255" t="s">
        <v>7974</v>
      </c>
      <c r="E1016" s="262" t="s">
        <v>2198</v>
      </c>
      <c r="F1016" s="256" t="s">
        <v>565</v>
      </c>
      <c r="G1016" s="256" t="s">
        <v>7962</v>
      </c>
    </row>
    <row r="1017" spans="1:7" ht="30" customHeight="1" x14ac:dyDescent="0.2">
      <c r="A1017" s="316">
        <v>2932</v>
      </c>
      <c r="B1017" s="255" t="s">
        <v>6219</v>
      </c>
      <c r="C1017" s="255" t="s">
        <v>6744</v>
      </c>
      <c r="D1017" s="255" t="s">
        <v>7975</v>
      </c>
      <c r="E1017" s="262" t="s">
        <v>2198</v>
      </c>
      <c r="F1017" s="256" t="s">
        <v>565</v>
      </c>
      <c r="G1017" s="256" t="s">
        <v>7962</v>
      </c>
    </row>
    <row r="1018" spans="1:7" ht="30" customHeight="1" x14ac:dyDescent="0.2">
      <c r="A1018" s="316">
        <v>2933</v>
      </c>
      <c r="B1018" s="255" t="s">
        <v>6219</v>
      </c>
      <c r="C1018" s="255" t="s">
        <v>6745</v>
      </c>
      <c r="D1018" s="255" t="s">
        <v>7976</v>
      </c>
      <c r="E1018" s="262" t="s">
        <v>2198</v>
      </c>
      <c r="F1018" s="256" t="s">
        <v>565</v>
      </c>
      <c r="G1018" s="256" t="s">
        <v>7962</v>
      </c>
    </row>
    <row r="1019" spans="1:7" ht="30" customHeight="1" x14ac:dyDescent="0.2">
      <c r="A1019" s="254">
        <v>2934</v>
      </c>
      <c r="B1019" s="255" t="s">
        <v>6219</v>
      </c>
      <c r="C1019" s="255" t="s">
        <v>6746</v>
      </c>
      <c r="D1019" s="255" t="s">
        <v>8057</v>
      </c>
      <c r="E1019" s="262" t="s">
        <v>2198</v>
      </c>
      <c r="F1019" s="256" t="s">
        <v>565</v>
      </c>
      <c r="G1019" s="256" t="s">
        <v>8050</v>
      </c>
    </row>
    <row r="1020" spans="1:7" ht="30" customHeight="1" x14ac:dyDescent="0.2">
      <c r="A1020" s="316">
        <v>2935</v>
      </c>
      <c r="B1020" s="255" t="s">
        <v>6219</v>
      </c>
      <c r="C1020" s="262" t="s">
        <v>6747</v>
      </c>
      <c r="D1020" s="255" t="s">
        <v>8058</v>
      </c>
      <c r="E1020" s="262" t="s">
        <v>2198</v>
      </c>
      <c r="F1020" s="256" t="s">
        <v>565</v>
      </c>
      <c r="G1020" s="256" t="s">
        <v>8050</v>
      </c>
    </row>
    <row r="1021" spans="1:7" ht="30" customHeight="1" x14ac:dyDescent="0.2">
      <c r="A1021" s="316">
        <v>2936</v>
      </c>
      <c r="B1021" s="255" t="s">
        <v>6219</v>
      </c>
      <c r="C1021" s="255" t="s">
        <v>9156</v>
      </c>
      <c r="D1021" s="255" t="s">
        <v>7610</v>
      </c>
      <c r="E1021" s="262" t="s">
        <v>2198</v>
      </c>
      <c r="F1021" s="256" t="s">
        <v>565</v>
      </c>
      <c r="G1021" s="256" t="s">
        <v>7542</v>
      </c>
    </row>
    <row r="1022" spans="1:7" ht="30" customHeight="1" x14ac:dyDescent="0.2">
      <c r="A1022" s="254">
        <v>2937</v>
      </c>
      <c r="B1022" s="255" t="s">
        <v>6219</v>
      </c>
      <c r="C1022" s="255" t="s">
        <v>6748</v>
      </c>
      <c r="D1022" s="255" t="s">
        <v>7611</v>
      </c>
      <c r="E1022" s="262" t="s">
        <v>2198</v>
      </c>
      <c r="F1022" s="256" t="s">
        <v>565</v>
      </c>
      <c r="G1022" s="256" t="s">
        <v>7542</v>
      </c>
    </row>
    <row r="1023" spans="1:7" ht="30" customHeight="1" x14ac:dyDescent="0.2">
      <c r="A1023" s="316">
        <v>2938</v>
      </c>
      <c r="B1023" s="255" t="s">
        <v>6219</v>
      </c>
      <c r="C1023" s="255" t="s">
        <v>6749</v>
      </c>
      <c r="D1023" s="255" t="s">
        <v>7612</v>
      </c>
      <c r="E1023" s="262" t="s">
        <v>2198</v>
      </c>
      <c r="F1023" s="256" t="s">
        <v>565</v>
      </c>
      <c r="G1023" s="256" t="s">
        <v>7542</v>
      </c>
    </row>
    <row r="1024" spans="1:7" ht="30" customHeight="1" x14ac:dyDescent="0.2">
      <c r="A1024" s="316">
        <v>2939</v>
      </c>
      <c r="B1024" s="255" t="s">
        <v>6219</v>
      </c>
      <c r="C1024" s="255" t="s">
        <v>6750</v>
      </c>
      <c r="D1024" s="255" t="s">
        <v>7613</v>
      </c>
      <c r="E1024" s="262" t="s">
        <v>2198</v>
      </c>
      <c r="F1024" s="256" t="s">
        <v>565</v>
      </c>
      <c r="G1024" s="256" t="s">
        <v>7542</v>
      </c>
    </row>
    <row r="1025" spans="1:7" ht="30" customHeight="1" x14ac:dyDescent="0.2">
      <c r="A1025" s="254">
        <v>2940</v>
      </c>
      <c r="B1025" s="255" t="s">
        <v>6219</v>
      </c>
      <c r="C1025" s="255" t="s">
        <v>6751</v>
      </c>
      <c r="D1025" s="255" t="s">
        <v>7614</v>
      </c>
      <c r="E1025" s="262" t="s">
        <v>2198</v>
      </c>
      <c r="F1025" s="256" t="s">
        <v>565</v>
      </c>
      <c r="G1025" s="256" t="s">
        <v>7542</v>
      </c>
    </row>
    <row r="1026" spans="1:7" ht="30" customHeight="1" x14ac:dyDescent="0.2">
      <c r="A1026" s="316">
        <v>2941</v>
      </c>
      <c r="B1026" s="255" t="s">
        <v>6219</v>
      </c>
      <c r="C1026" s="255" t="s">
        <v>9388</v>
      </c>
      <c r="D1026" s="255" t="s">
        <v>7605</v>
      </c>
      <c r="E1026" s="263" t="str">
        <f>+C1026</f>
        <v xml:space="preserve">Se ha encontrado durante la verificación de información existente en el cuadro de datos que en la carpeta “H”, se tienen los siguientes faltantes en referencia a puentes peatonales existentes. Se solicita aclarar si esta información será suministrada.
H-H5-H5106  -  6. GCSP-F-064 inventario obras de drenaje-
H-H5-H5107  -  7. GCSP-F-065 inventario puentes (Carretero)-
H-H5-H5108  -  8. GCSP-F-066 inventario puentes peatonales-
H-H5-H5109  -  9. GCSP-F-068 inventario centros educativos-
H-H5-H51912  -  2. PUENTE PTONAL P VALLUNO -Presentación1-
H-H5-H51913  -  3 INTERSECCION GUACARI-
H-H5-H51916  -  6. PTE VEHICULAR SONSO -Layout1-
H-H5-H51917  -  7. PEATONAL VINCULO 1 -Layout1-
H-H5-H51918  -  8. PPEATONAL VINCULO 2 -Layout1-
H-H5-H51919  -  9. PEATONAL ZANJON HONDO -Layout1-
H-H5-H519370  -  T3 Puente peatonal La Nubia-
H-H5-H519371  -  T3 Puente peatonal Sena-
H-H5-H51975  -  Peatonal La Nubia-
H-H5-H51976  -  Peatonal Sena-
H-H5-H51977  -  Providencia Buga-
H-H5-H51978  -  Puente peatonal Amaime-
H-H5-H51979  -  Puente peatonal el Vinculo 1-
H-H5-H51980  -  Puente peatonal el Vinculo 2-
H-H5-H51981  -  Puente peatonal Pueblito Valluno-
H-H5-H51982  -  Puente peatonal Sonso-
H-H5-H51983  -  Puente peatonal Zanjon Hondo-
H-H5-H51984  -  Puente Rio Sabaletas-
H-H5-H51985  -  Variante Sonso-
H-H6-H61-4  -  4. GCSP-F-063 inventario muros (carretero)-
H-H6-H61-5  -  5. GCSP-F-064 inventario obras de drenaje-
H-H6-H61-6  -  6. GCSP-F-065 inventario puentes (carretero)-
H-H6-H61-7  -  7. GCSP-F-066 inventario puentes peatonales-
H-H6-H616-1  -  1. Puente Peatonal la dolores-
H-H6-H616-2  -  2. Puente Peatonal Caucaseco-
H-H6-H616-5  -  5. Puente Peatonal Guanabanal-
H-H6-H616-6  -  6. Puente Peatonal La Unión-
H-H7-H71-8  -  8. GCSP-F-066 Inventario puentes peatonales-
H-H7-H71-17  -  16.1. PLANOS RED IRD-
H-H7-H7111-3  -  Control Peatonal Deprimido Vijes-
H-H7-H7111-4  -  ControL Peatonal Mulalo-
H-H7-H7111-5  -  Control Peatonal Pelongo-
H-H7-H7111-6  -  ControL Peatonal San Marcos-
H-H7-H7111-7  -  ControL Peatonal Yotoco Carvajal-
H-H7-H7111-8  -  ControL Peatonal Yotoco-
H-H7-H7117  -  Peatonal Deprimido Vijes-
H-H7-H7118  -  Peatonal Mulalo-
H-H7-H7118-1  -  Ficha predial 001-
H-H7-H7119  -  Peatonal Pelongo-
H-H7-H7120  -  Peatonal San Marcos-
H-H7-H7120-1  -  Ficha predial 001-
H-H7-H7120-2  -  Ficha predial 002-
H-H7-H7120-3  -  predio 001-
H-H7-H7120-4  -  predio 002-
H-H7-H7121  -  Peatonal Yotoco-
H-H7-H7122  -  Peatonal Yotoco Carvajal-
H-H7-H7123  -  Variante Yumbo-
</v>
      </c>
      <c r="F1026" s="271" t="s">
        <v>565</v>
      </c>
      <c r="G1026" s="271" t="s">
        <v>7542</v>
      </c>
    </row>
    <row r="1027" spans="1:7" ht="312" customHeight="1" x14ac:dyDescent="0.2">
      <c r="A1027" s="316">
        <v>2942</v>
      </c>
      <c r="B1027" s="255" t="s">
        <v>6219</v>
      </c>
      <c r="C1027" s="255" t="s">
        <v>6752</v>
      </c>
      <c r="D1027" s="255" t="s">
        <v>9204</v>
      </c>
      <c r="E1027" s="263"/>
      <c r="F1027" s="271" t="s">
        <v>2559</v>
      </c>
      <c r="G1027" s="271" t="s">
        <v>9136</v>
      </c>
    </row>
    <row r="1028" spans="1:7" ht="30" customHeight="1" x14ac:dyDescent="0.2">
      <c r="A1028" s="254">
        <v>2943</v>
      </c>
      <c r="B1028" s="255" t="s">
        <v>6219</v>
      </c>
      <c r="C1028" s="255" t="s">
        <v>9389</v>
      </c>
      <c r="D1028" s="255" t="s">
        <v>7605</v>
      </c>
      <c r="E1028" s="262" t="str">
        <f>+C1028</f>
        <v>H-H3-H315 - 5. Formato GCSP-F-063 Inventarios murosH-H3-H316 - 6. Formato GCSP-F-064 Inventario obras de drenajeH-H3-H317 - 7. Formato GCSP-F-065 Inventario puentes (carretero)-
H-H3-H318 - 8. Formato GCSP-F-066 Inventario puentes peatonalesH-H4-H40542 - T2 Doble Calzada Candelaria, Int.Candelaria y peatonal CandelariaH-H4-H40543 - T2 Doble Calzada Sder de Quilichao Ye de VillaricaH-H4-H40544 - T2 Intersección CalotoH-H4-H40545 - T2 Intersección JamundíH-H4-H40546 - T2 Intersección Variante Sur Palmira y Vte.Sur PalmiraH-H4-H40547 - T2 Pte.Peatonal PrimaveraH-H4-H40548 - T2 Pte.Peatonal Seguro SocialH-H4-H40549 - T2 Pte.Peatonal Agua AzulH-H4-H40550 - T2 Pte.Peatonal ArrobledaH-H4-H40551 - T2 Pte.Peatonal CabuyalH-H4-H40552 - T2 Pte.Peatonal El BoloH-H4-H40553 - T2 Pte.Peatonal FanaH-H4-H40554 - T2 Pte.Peatonal GuacheneH-H4-H40555 - T2 Pte.Peatonal Perico NegroH-H4-H40556 - T2 Pte.Peatonal San IsidroH-H4-H40557 - T2 Pte.Peatonal San RafaelH-H4-H40558 - T2 Pte.Peatonal VeracruzH-H4-H40559 - T2 Pte.Peatonal VillaricaH-H4-H40560 - T2 Pte.Río BoloH-H4-H40561 - T2 Variante El BoloH-H4-H40562 - T2 Variante Puerto TejadaH-H4-H40563 - T2 Variante Villarica pl1-
H-H4-H40564 - T2 Variante Villarica pl2-
H-H4-H4063 - Peatonal San IsidroH-H4-H4064 - Puente peatonal Agua AzulH-H4-H4065 - Puente peatonal ArrobledaH-H4-H4066 - Puente peatonal Cabuyal-
H-H4-H4068 - Puente peatonal CandelariaH-H4-H4070 - Puente peatonal el BoloH-H4-H4072 - Puente peatonal GuacheneH-H4-H4073 - Puente peatonal Perico negroH-H4-H4074 - Puente peatonal PrimaveraH-H4-H4076 - Puente peatonal San RafaelH-H4-H4077 - Puente peatonal Seguro SocialH-H4-H4079 - Puente peatonal VeracruzH-H4-H4080 - Puente peatonal VillaricaH-H4-H4081 - Puente río BoloH-H4-H4112 - 2. PEATONAL FANA -Layout1-
H-H4-H4113 - 3. PEATONAL TERRANOVA -Layout1-
H-H4-H4114 - 4. YE VILLARRICA -Layout1-
H-H4-H4115 - 5 VTE ENT. VILLARRICA -Layout1-
H-H4-H4116 - 6. PEATONAL VILLARICA -Layout1-
H-H4-H4117 - 7 INT.SALIDA VTE VILLARRICA -Layout1-
H-H4-H4118 - 8. PEATONAL PRIMAVERA -Layout1-
H-H4-H4119 - 9 INT VTE PTO TEJADA ENTRADA -Layout1-
H-H4-H4120 - 10 INT.GUACHENE -Layout1-
H-H4-H4121 - 11. CONRINTO -Layout1-
H-H4-H4122 - 12 INT.PTO TEJADA SALIDA -Layout1-
H-H4-H4123 - 13. PEATONAL CABUYAL -Layout1-
H-H4-H4124 - 14. INT CANDELARIA -Layout1-
H-H4-H4125 - 15. PEATONAL CANDELARIA -Layout1-
H-H4-H4126 - 16. PEATONAL EL BOLO PTE-Layout1-
H-H4-H4127 - 17. INT.VARIANTE SUR -Layout1-
H-H4-H4128 - 18 Peatonal Sucromiles -Presentación1-
H-H5-H5104 - 4. GCSP-F-062 inventario cunetas (carretero)-
H-H5-H5105 - 5. GCSP-F-063 inventario muros (carretero)-
H-H5-H5106 - 6. GCSP-F-064 inventario obras de drenajeH-H5-H5107 - 7. GCSP-F-065 inventario puentes (Carretero)-
H-H5-H5108 - 8. GCSP-F-066 inventario puentes peatonalesH-H5-H5109 - 9. GCSP-F-068 inventario centros educativos-
H-H5-H51912 - 2. PUENTE PTONAL P VALLUNO -Presentación1-
H-H5-H51913 - 3 INTERSECCION GUACARIH-H5-H51916 - 6. PTE VEHICULAR SONSO -Layout1-
H-H5-H51917 - 7. PEATONAL VINCULO 1 -Layout1-
H-H5-H51918 - 8. PPEATONAL VINCULO 2 -Layout1-
H-H5-H51919 - 9. PEATONAL ZANJON HONDO -Layout1-
H-H5-H519370 - T3 Puente peatonal La NubiaH-H5-H519371 - T3 Puente peatonal SenaH-H5-H51975 - Peatonal La NubiaH-H5-H51976 - Peatonal SenaH-H5-H51977 - Providencia BugaH-H5-H51978 - Puente peatonal AmaimeH-H5-H51979 - Puente peatonal el Vinculo 1-
H-H5-H51980 - Puente peatonal el Vinculo 2-
H-H5-H51981 - Puente peatonal Pueblito VallunoH-H5-H51982 - Puente peatonal SonsoH-H5-H51983 - Puente peatonal Zanjon HondoH-H5-H51984 - Puente Rio SabaletasH-H5-H51985 - Variante SonsoH-H6-H61-4 - 4. GCSP-F-063 inventario muros (carretero)-
H-H6-H61-5 - 5. GCSP-F-064 inventario obras de drenajeH-H6-H61-6 - 6. GCSP-F-065 inventario puentes (carretero)-
H-H6-H61-7 - 7. GCSP-F-066 inventario puentes peatonalesH-H6-H616-1 - 1. Puente Peatonal la doloresH-H6-H616-2 - 2. Puente Peatonal CaucasecoH-H6-H616-5 - 5. Puente Peatonal GuanabanalH-H6-H616-6 - 6. Puente Peatonal La UniónH-H7-H71-8 - 8. GCSP-F-066 Inventario puentes peatonalesH-H7-H71-17 - 16.1. PLANOS RED IRDH-H7-H7111-3 - Control Peatonal Deprimido VijesH-H7-H7111-4 - ControL Peatonal MulaloH-H7-H7111-5 - Control Peatonal PelongoH-H7-H7111-6 - ControL Peatonal San Marcos-
H-H7-H7111-7 - ControL Peatonal Yotoco CarvajalH-H7-H7111-8 - ControL Peatonal YotocoH-H7-H7117 - Peatonal Deprimido VijesH-H7-H7118 - Peatonal MulaloH-H7-H7118-1 - Ficha predial 001-
H-H7-H7119 - Peatonal PelongoH-H7-H7120 - Peatonal San MarcosH-H7-H7120-1 - Ficha predial 001-
H-H7-H7120-2 - Ficha predial 002-
H-H7-H7120-3 - predio 001-
H-H7-H7120-4 - predio 002-
H-H7-H7121 - Peatonal Yotoco                                                                                                   H-H7-H7122 - Peatonal Yotoco Carvajal                                                                                                H-H7-H7123 - Variante Yumbo                                                                                                                 H-H7-H7124-2 - predio 001CH-H7-H713 - ANEXOS FORMATO GCSP-F-124_ PEAJE PASO LA TORREH-H7-H713-1 - 711-05-038861-2007 PERMISO VERTIMIENTOS TRAMO 5_ PEAJE PASO LA TORREH-H7-H713-2 - DT- VAL 45963 _OFICIO INVIAS A CORPORACIÓN_ TRAMO 5-
H-H7-H713-3 - RESOLUCION 0711 No. 711 TRAMO 5 CONCESIÓN DE AGUAS_ PEAJE PASO LA TORRE                                                                                                       H-H7-H713-4 - UTDVVCC-P-EPU-532-2018_ NOTIFICACION CESION DE PERMISOS TRAMO 5-
H-H7-H714 - PLANOS FORMATO GCSP-F-081_ INVENTARIO SISTEMA ELÉCTRICO (CARRETERO) -TRAMO 5-
H-H7-H714-1 - 1-INT A DESNIVEL SALIDA VAR YUMBO                                                    H-H7-H714-2 - 2-PEATONAL MATAPALO VAR YUMBO                                                         H-H7-H714-3 - 3-PTE VEHICULAR SOBRE RIO CAUCA                                                         H-H7-H714-4 - 4-INTERSECCION A DESNIVEL MULALOH-H7-H714-5 - 5-PEATONAL PELONGO                                                                                                           H-H7-H714-6 - 6-PEATONAL SAN MARCOS                                                                   H-H7-H714-7 - 7-PASO DEPRIMIDO VIJESH-H7-H714-8 - 8-PUENTE PEATONAL YOTOCOH-H7-H714-9 - 9- PUENTE PEATONAL YOTOCO-CARVAJALH-H8-H81-8 - 8. GCSP-F-066 inventario puentes peatonalesH-H8-H8129 - Peatonal AcequiaH-H8-H8130 - Peatonal Aeropuerto-
H-H8-H8131 - Peatonal MatapaloH-H8-H8133 - Peatonal Tres Esquinas-</v>
      </c>
      <c r="F1028" s="271" t="s">
        <v>565</v>
      </c>
      <c r="G1028" s="271" t="s">
        <v>7542</v>
      </c>
    </row>
    <row r="1029" spans="1:7" ht="30" customHeight="1" x14ac:dyDescent="0.2">
      <c r="A1029" s="316">
        <v>2944</v>
      </c>
      <c r="B1029" s="255" t="s">
        <v>6219</v>
      </c>
      <c r="C1029" s="255" t="s">
        <v>6753</v>
      </c>
      <c r="D1029" s="255" t="s">
        <v>7615</v>
      </c>
      <c r="E1029" s="262" t="s">
        <v>2198</v>
      </c>
      <c r="F1029" s="256" t="s">
        <v>565</v>
      </c>
      <c r="G1029" s="256" t="s">
        <v>7542</v>
      </c>
    </row>
    <row r="1030" spans="1:7" ht="30" customHeight="1" x14ac:dyDescent="0.2">
      <c r="A1030" s="316">
        <v>2945</v>
      </c>
      <c r="B1030" s="255" t="s">
        <v>6219</v>
      </c>
      <c r="C1030" s="255" t="s">
        <v>6754</v>
      </c>
      <c r="D1030" s="255" t="s">
        <v>9390</v>
      </c>
      <c r="E1030" s="262" t="s">
        <v>2198</v>
      </c>
      <c r="F1030" s="256" t="s">
        <v>565</v>
      </c>
      <c r="G1030" s="256" t="s">
        <v>8984</v>
      </c>
    </row>
    <row r="1031" spans="1:7" ht="30" customHeight="1" x14ac:dyDescent="0.2">
      <c r="A1031" s="254">
        <v>2946</v>
      </c>
      <c r="B1031" s="255" t="s">
        <v>6219</v>
      </c>
      <c r="C1031" s="255" t="s">
        <v>6755</v>
      </c>
      <c r="D1031" s="255" t="s">
        <v>7616</v>
      </c>
      <c r="E1031" s="255" t="s">
        <v>6756</v>
      </c>
      <c r="F1031" s="256" t="s">
        <v>565</v>
      </c>
      <c r="G1031" s="256" t="s">
        <v>7542</v>
      </c>
    </row>
    <row r="1032" spans="1:7" ht="30" customHeight="1" x14ac:dyDescent="0.2">
      <c r="A1032" s="316">
        <v>2947</v>
      </c>
      <c r="B1032" s="255" t="s">
        <v>6219</v>
      </c>
      <c r="C1032" s="255" t="s">
        <v>6757</v>
      </c>
      <c r="D1032" s="255" t="s">
        <v>7605</v>
      </c>
      <c r="E1032" s="255" t="s">
        <v>6756</v>
      </c>
      <c r="F1032" s="256" t="s">
        <v>565</v>
      </c>
      <c r="G1032" s="256" t="s">
        <v>7542</v>
      </c>
    </row>
    <row r="1033" spans="1:7" ht="30" customHeight="1" x14ac:dyDescent="0.2">
      <c r="A1033" s="316">
        <v>2948</v>
      </c>
      <c r="B1033" s="255" t="s">
        <v>6219</v>
      </c>
      <c r="C1033" s="255" t="s">
        <v>6758</v>
      </c>
      <c r="D1033" s="255" t="s">
        <v>7617</v>
      </c>
      <c r="E1033" s="255" t="s">
        <v>6756</v>
      </c>
      <c r="F1033" s="256" t="s">
        <v>565</v>
      </c>
      <c r="G1033" s="256" t="s">
        <v>7542</v>
      </c>
    </row>
    <row r="1034" spans="1:7" ht="30" customHeight="1" x14ac:dyDescent="0.2">
      <c r="A1034" s="254">
        <v>2949</v>
      </c>
      <c r="B1034" s="255" t="s">
        <v>6219</v>
      </c>
      <c r="C1034" s="262" t="s">
        <v>10248</v>
      </c>
      <c r="D1034" s="262" t="s">
        <v>7618</v>
      </c>
      <c r="E1034" s="262" t="s">
        <v>6759</v>
      </c>
      <c r="F1034" s="269" t="s">
        <v>565</v>
      </c>
      <c r="G1034" s="269" t="s">
        <v>7542</v>
      </c>
    </row>
    <row r="1035" spans="1:7" ht="30" customHeight="1" x14ac:dyDescent="0.2">
      <c r="A1035" s="316">
        <v>2950</v>
      </c>
      <c r="B1035" s="255" t="s">
        <v>6219</v>
      </c>
      <c r="C1035" s="255" t="s">
        <v>6760</v>
      </c>
      <c r="D1035" s="255" t="s">
        <v>7619</v>
      </c>
      <c r="E1035" s="262" t="s">
        <v>2198</v>
      </c>
      <c r="F1035" s="256" t="s">
        <v>565</v>
      </c>
      <c r="G1035" s="256" t="s">
        <v>7542</v>
      </c>
    </row>
    <row r="1036" spans="1:7" ht="30" customHeight="1" x14ac:dyDescent="0.2">
      <c r="A1036" s="316">
        <v>2951</v>
      </c>
      <c r="B1036" s="255" t="s">
        <v>6219</v>
      </c>
      <c r="C1036" s="255" t="s">
        <v>6761</v>
      </c>
      <c r="D1036" s="255" t="s">
        <v>7605</v>
      </c>
      <c r="E1036" s="262" t="s">
        <v>6762</v>
      </c>
      <c r="F1036" s="256" t="s">
        <v>565</v>
      </c>
      <c r="G1036" s="256" t="s">
        <v>7542</v>
      </c>
    </row>
    <row r="1037" spans="1:7" ht="30" customHeight="1" x14ac:dyDescent="0.2">
      <c r="A1037" s="254">
        <v>2952</v>
      </c>
      <c r="B1037" s="255" t="s">
        <v>6219</v>
      </c>
      <c r="C1037" s="262" t="s">
        <v>6763</v>
      </c>
      <c r="D1037" s="383" t="s">
        <v>9391</v>
      </c>
      <c r="E1037" s="262" t="s">
        <v>2198</v>
      </c>
      <c r="F1037" s="256" t="s">
        <v>565</v>
      </c>
      <c r="G1037" s="256" t="s">
        <v>8984</v>
      </c>
    </row>
    <row r="1038" spans="1:7" ht="30" customHeight="1" x14ac:dyDescent="0.2">
      <c r="A1038" s="316">
        <v>2953</v>
      </c>
      <c r="B1038" s="255" t="s">
        <v>6219</v>
      </c>
      <c r="C1038" s="262" t="s">
        <v>6764</v>
      </c>
      <c r="D1038" s="383" t="s">
        <v>9391</v>
      </c>
      <c r="E1038" s="262" t="s">
        <v>2198</v>
      </c>
      <c r="F1038" s="256" t="s">
        <v>565</v>
      </c>
      <c r="G1038" s="256" t="s">
        <v>8984</v>
      </c>
    </row>
    <row r="1039" spans="1:7" ht="30" customHeight="1" x14ac:dyDescent="0.2">
      <c r="A1039" s="316">
        <v>2954</v>
      </c>
      <c r="B1039" s="255" t="s">
        <v>6219</v>
      </c>
      <c r="C1039" s="262" t="s">
        <v>6765</v>
      </c>
      <c r="D1039" s="262" t="s">
        <v>7620</v>
      </c>
      <c r="E1039" s="262" t="s">
        <v>6766</v>
      </c>
      <c r="F1039" s="256" t="s">
        <v>565</v>
      </c>
      <c r="G1039" s="256" t="s">
        <v>7542</v>
      </c>
    </row>
    <row r="1040" spans="1:7" ht="30" customHeight="1" x14ac:dyDescent="0.2">
      <c r="A1040" s="254">
        <v>2955</v>
      </c>
      <c r="B1040" s="255" t="s">
        <v>6219</v>
      </c>
      <c r="C1040" s="262" t="s">
        <v>6767</v>
      </c>
      <c r="D1040" s="262" t="s">
        <v>7621</v>
      </c>
      <c r="E1040" s="262" t="s">
        <v>6768</v>
      </c>
      <c r="F1040" s="256" t="s">
        <v>565</v>
      </c>
      <c r="G1040" s="256" t="s">
        <v>7542</v>
      </c>
    </row>
    <row r="1041" spans="1:7" ht="30" customHeight="1" x14ac:dyDescent="0.2">
      <c r="A1041" s="316">
        <v>2956</v>
      </c>
      <c r="B1041" s="255" t="s">
        <v>6219</v>
      </c>
      <c r="C1041" s="262" t="s">
        <v>6769</v>
      </c>
      <c r="D1041" s="262" t="s">
        <v>7622</v>
      </c>
      <c r="E1041" s="262" t="s">
        <v>6770</v>
      </c>
      <c r="F1041" s="256" t="s">
        <v>565</v>
      </c>
      <c r="G1041" s="256" t="s">
        <v>7542</v>
      </c>
    </row>
    <row r="1042" spans="1:7" ht="30" customHeight="1" x14ac:dyDescent="0.2">
      <c r="A1042" s="316">
        <v>2957</v>
      </c>
      <c r="B1042" s="255" t="s">
        <v>6219</v>
      </c>
      <c r="C1042" s="262" t="s">
        <v>6771</v>
      </c>
      <c r="D1042" s="262" t="s">
        <v>8276</v>
      </c>
      <c r="E1042" s="262" t="s">
        <v>6770</v>
      </c>
      <c r="F1042" s="256" t="s">
        <v>565</v>
      </c>
      <c r="G1042" s="256" t="s">
        <v>8257</v>
      </c>
    </row>
    <row r="1043" spans="1:7" ht="30" customHeight="1" x14ac:dyDescent="0.2">
      <c r="A1043" s="254">
        <v>2958</v>
      </c>
      <c r="B1043" s="255" t="s">
        <v>6219</v>
      </c>
      <c r="C1043" s="262" t="s">
        <v>6772</v>
      </c>
      <c r="D1043" s="262" t="s">
        <v>7623</v>
      </c>
      <c r="E1043" s="262" t="s">
        <v>6773</v>
      </c>
      <c r="F1043" s="256" t="s">
        <v>565</v>
      </c>
      <c r="G1043" s="256" t="s">
        <v>7542</v>
      </c>
    </row>
    <row r="1044" spans="1:7" ht="91.5" customHeight="1" x14ac:dyDescent="0.2">
      <c r="A1044" s="316">
        <v>2959</v>
      </c>
      <c r="B1044" s="255" t="s">
        <v>6774</v>
      </c>
      <c r="C1044" s="255" t="s">
        <v>6775</v>
      </c>
      <c r="D1044" s="255" t="s">
        <v>9205</v>
      </c>
      <c r="E1044" s="255" t="s">
        <v>10249</v>
      </c>
      <c r="F1044" s="271" t="s">
        <v>6067</v>
      </c>
      <c r="G1044" s="271" t="s">
        <v>9179</v>
      </c>
    </row>
    <row r="1045" spans="1:7" ht="97.5" customHeight="1" x14ac:dyDescent="0.2">
      <c r="A1045" s="316">
        <v>2960</v>
      </c>
      <c r="B1045" s="255" t="s">
        <v>6774</v>
      </c>
      <c r="C1045" s="255" t="s">
        <v>6776</v>
      </c>
      <c r="D1045" s="255" t="s">
        <v>9159</v>
      </c>
      <c r="E1045" s="255" t="s">
        <v>10250</v>
      </c>
      <c r="F1045" s="271" t="s">
        <v>6067</v>
      </c>
      <c r="G1045" s="271" t="s">
        <v>9136</v>
      </c>
    </row>
    <row r="1046" spans="1:7" ht="30" customHeight="1" x14ac:dyDescent="0.2">
      <c r="A1046" s="254">
        <v>2961</v>
      </c>
      <c r="B1046" s="255" t="s">
        <v>6774</v>
      </c>
      <c r="C1046" s="385" t="s">
        <v>6777</v>
      </c>
      <c r="D1046" s="255" t="s">
        <v>9124</v>
      </c>
      <c r="E1046" s="255" t="s">
        <v>10251</v>
      </c>
      <c r="F1046" s="271" t="s">
        <v>6067</v>
      </c>
      <c r="G1046" s="271" t="s">
        <v>8947</v>
      </c>
    </row>
    <row r="1047" spans="1:7" ht="70.5" customHeight="1" x14ac:dyDescent="0.2">
      <c r="A1047" s="316">
        <v>2962</v>
      </c>
      <c r="B1047" s="255" t="s">
        <v>6774</v>
      </c>
      <c r="C1047" s="262" t="s">
        <v>6778</v>
      </c>
      <c r="D1047" s="255" t="s">
        <v>9160</v>
      </c>
      <c r="E1047" s="255" t="s">
        <v>10252</v>
      </c>
      <c r="F1047" s="271" t="s">
        <v>6067</v>
      </c>
      <c r="G1047" s="271" t="s">
        <v>9136</v>
      </c>
    </row>
    <row r="1048" spans="1:7" ht="30" customHeight="1" x14ac:dyDescent="0.2">
      <c r="A1048" s="316">
        <v>2963</v>
      </c>
      <c r="B1048" s="255" t="s">
        <v>6774</v>
      </c>
      <c r="C1048" s="262" t="s">
        <v>10253</v>
      </c>
      <c r="D1048" s="255" t="s">
        <v>9125</v>
      </c>
      <c r="E1048" s="349" t="s">
        <v>10254</v>
      </c>
      <c r="F1048" s="271" t="s">
        <v>6067</v>
      </c>
      <c r="G1048" s="271" t="s">
        <v>8947</v>
      </c>
    </row>
    <row r="1049" spans="1:7" ht="79.5" customHeight="1" x14ac:dyDescent="0.2">
      <c r="A1049" s="254">
        <v>2964</v>
      </c>
      <c r="B1049" s="255" t="s">
        <v>6774</v>
      </c>
      <c r="C1049" s="262" t="s">
        <v>6779</v>
      </c>
      <c r="D1049" s="255" t="s">
        <v>9161</v>
      </c>
      <c r="E1049" s="255" t="s">
        <v>10255</v>
      </c>
      <c r="F1049" s="271" t="s">
        <v>6067</v>
      </c>
      <c r="G1049" s="271" t="s">
        <v>9136</v>
      </c>
    </row>
    <row r="1050" spans="1:7" ht="30" customHeight="1" x14ac:dyDescent="0.2">
      <c r="A1050" s="316">
        <v>2965</v>
      </c>
      <c r="B1050" s="255" t="s">
        <v>6774</v>
      </c>
      <c r="C1050" s="262" t="s">
        <v>6780</v>
      </c>
      <c r="D1050" s="255" t="s">
        <v>9126</v>
      </c>
      <c r="E1050" s="255" t="s">
        <v>10256</v>
      </c>
      <c r="F1050" s="271" t="s">
        <v>6067</v>
      </c>
      <c r="G1050" s="271" t="s">
        <v>8947</v>
      </c>
    </row>
    <row r="1051" spans="1:7" ht="93.75" customHeight="1" x14ac:dyDescent="0.2">
      <c r="A1051" s="316">
        <v>2966</v>
      </c>
      <c r="B1051" s="255" t="s">
        <v>6774</v>
      </c>
      <c r="C1051" s="255" t="s">
        <v>6781</v>
      </c>
      <c r="D1051" s="255" t="s">
        <v>9162</v>
      </c>
      <c r="E1051" s="255" t="s">
        <v>10257</v>
      </c>
      <c r="F1051" s="271" t="s">
        <v>6067</v>
      </c>
      <c r="G1051" s="271" t="s">
        <v>9136</v>
      </c>
    </row>
    <row r="1052" spans="1:7" ht="30" customHeight="1" x14ac:dyDescent="0.2">
      <c r="A1052" s="254">
        <v>2967</v>
      </c>
      <c r="B1052" s="255" t="s">
        <v>6774</v>
      </c>
      <c r="C1052" s="262" t="s">
        <v>6782</v>
      </c>
      <c r="D1052" s="255" t="s">
        <v>9118</v>
      </c>
      <c r="E1052" s="255" t="s">
        <v>10258</v>
      </c>
      <c r="F1052" s="271" t="s">
        <v>6067</v>
      </c>
      <c r="G1052" s="271" t="s">
        <v>8947</v>
      </c>
    </row>
    <row r="1053" spans="1:7" ht="101.25" customHeight="1" x14ac:dyDescent="0.2">
      <c r="A1053" s="316">
        <v>2968</v>
      </c>
      <c r="B1053" s="255" t="s">
        <v>6774</v>
      </c>
      <c r="C1053" s="385" t="s">
        <v>6783</v>
      </c>
      <c r="D1053" s="255" t="s">
        <v>9163</v>
      </c>
      <c r="E1053" s="255" t="s">
        <v>10259</v>
      </c>
      <c r="F1053" s="271" t="s">
        <v>6067</v>
      </c>
      <c r="G1053" s="271" t="s">
        <v>9136</v>
      </c>
    </row>
    <row r="1054" spans="1:7" ht="30" customHeight="1" x14ac:dyDescent="0.2">
      <c r="A1054" s="316">
        <v>2969</v>
      </c>
      <c r="B1054" s="255" t="s">
        <v>6774</v>
      </c>
      <c r="C1054" s="262" t="s">
        <v>6784</v>
      </c>
      <c r="D1054" s="255" t="s">
        <v>8351</v>
      </c>
      <c r="E1054" s="349" t="s">
        <v>10260</v>
      </c>
      <c r="F1054" s="271" t="s">
        <v>6067</v>
      </c>
      <c r="G1054" s="271" t="s">
        <v>8947</v>
      </c>
    </row>
    <row r="1055" spans="1:7" ht="72" customHeight="1" x14ac:dyDescent="0.2">
      <c r="A1055" s="254">
        <v>2970</v>
      </c>
      <c r="B1055" s="255" t="s">
        <v>6774</v>
      </c>
      <c r="C1055" s="262" t="s">
        <v>6785</v>
      </c>
      <c r="D1055" s="255" t="s">
        <v>9164</v>
      </c>
      <c r="E1055" s="349" t="s">
        <v>10261</v>
      </c>
      <c r="F1055" s="271" t="s">
        <v>6067</v>
      </c>
      <c r="G1055" s="271" t="s">
        <v>9136</v>
      </c>
    </row>
    <row r="1056" spans="1:7" ht="72" customHeight="1" x14ac:dyDescent="0.2">
      <c r="A1056" s="316">
        <v>2971</v>
      </c>
      <c r="B1056" s="255" t="s">
        <v>6774</v>
      </c>
      <c r="C1056" s="262" t="s">
        <v>6786</v>
      </c>
      <c r="D1056" s="255" t="s">
        <v>9165</v>
      </c>
      <c r="E1056" s="349" t="s">
        <v>10262</v>
      </c>
      <c r="F1056" s="271" t="s">
        <v>6067</v>
      </c>
      <c r="G1056" s="271" t="s">
        <v>9136</v>
      </c>
    </row>
    <row r="1057" spans="1:7" ht="30" customHeight="1" x14ac:dyDescent="0.2">
      <c r="A1057" s="316">
        <v>2972</v>
      </c>
      <c r="B1057" s="280" t="s">
        <v>6787</v>
      </c>
      <c r="C1057" s="255" t="s">
        <v>6788</v>
      </c>
      <c r="D1057" s="255" t="s">
        <v>7039</v>
      </c>
      <c r="E1057" s="255" t="s">
        <v>6789</v>
      </c>
      <c r="F1057" s="256" t="s">
        <v>84</v>
      </c>
      <c r="G1057" s="256" t="s">
        <v>7027</v>
      </c>
    </row>
    <row r="1058" spans="1:7" ht="30" customHeight="1" x14ac:dyDescent="0.2">
      <c r="A1058" s="254">
        <v>2973</v>
      </c>
      <c r="B1058" s="280" t="s">
        <v>6787</v>
      </c>
      <c r="C1058" s="255" t="s">
        <v>6790</v>
      </c>
      <c r="D1058" s="255" t="s">
        <v>7040</v>
      </c>
      <c r="E1058" s="255" t="s">
        <v>6791</v>
      </c>
      <c r="F1058" s="256" t="s">
        <v>84</v>
      </c>
      <c r="G1058" s="256" t="s">
        <v>7027</v>
      </c>
    </row>
    <row r="1059" spans="1:7" ht="30" customHeight="1" x14ac:dyDescent="0.2">
      <c r="A1059" s="316">
        <v>2974</v>
      </c>
      <c r="B1059" s="280" t="s">
        <v>6787</v>
      </c>
      <c r="C1059" s="255" t="s">
        <v>6792</v>
      </c>
      <c r="D1059" s="255" t="s">
        <v>8585</v>
      </c>
      <c r="E1059" s="255" t="s">
        <v>6793</v>
      </c>
      <c r="F1059" s="256" t="s">
        <v>84</v>
      </c>
      <c r="G1059" s="256" t="s">
        <v>8577</v>
      </c>
    </row>
    <row r="1060" spans="1:7" ht="30" customHeight="1" x14ac:dyDescent="0.2">
      <c r="A1060" s="316">
        <v>2975</v>
      </c>
      <c r="B1060" s="255" t="s">
        <v>6794</v>
      </c>
      <c r="C1060" s="255" t="s">
        <v>6795</v>
      </c>
      <c r="D1060" s="255" t="s">
        <v>7041</v>
      </c>
      <c r="E1060" s="255" t="s">
        <v>1727</v>
      </c>
      <c r="F1060" s="271" t="s">
        <v>84</v>
      </c>
      <c r="G1060" s="271" t="s">
        <v>7027</v>
      </c>
    </row>
    <row r="1061" spans="1:7" ht="150" customHeight="1" x14ac:dyDescent="0.2">
      <c r="A1061" s="254">
        <v>2976</v>
      </c>
      <c r="B1061" s="255" t="s">
        <v>6794</v>
      </c>
      <c r="C1061" s="255" t="s">
        <v>6796</v>
      </c>
      <c r="D1061" s="255" t="s">
        <v>9206</v>
      </c>
      <c r="E1061" s="255" t="s">
        <v>6797</v>
      </c>
      <c r="F1061" s="256" t="s">
        <v>565</v>
      </c>
      <c r="G1061" s="256" t="s">
        <v>8984</v>
      </c>
    </row>
    <row r="1062" spans="1:7" ht="30" customHeight="1" x14ac:dyDescent="0.2">
      <c r="A1062" s="316">
        <v>2977</v>
      </c>
      <c r="B1062" s="255" t="s">
        <v>6794</v>
      </c>
      <c r="C1062" s="255" t="s">
        <v>6798</v>
      </c>
      <c r="D1062" s="255" t="s">
        <v>8586</v>
      </c>
      <c r="E1062" s="255" t="s">
        <v>6799</v>
      </c>
      <c r="F1062" s="271" t="s">
        <v>6078</v>
      </c>
      <c r="G1062" s="271" t="s">
        <v>8577</v>
      </c>
    </row>
    <row r="1063" spans="1:7" ht="30" customHeight="1" x14ac:dyDescent="0.2">
      <c r="A1063" s="316">
        <v>2978</v>
      </c>
      <c r="B1063" s="255" t="s">
        <v>6794</v>
      </c>
      <c r="C1063" s="255" t="s">
        <v>6800</v>
      </c>
      <c r="D1063" s="255" t="s">
        <v>7042</v>
      </c>
      <c r="E1063" s="255" t="s">
        <v>6801</v>
      </c>
      <c r="F1063" s="271" t="s">
        <v>84</v>
      </c>
      <c r="G1063" s="271" t="s">
        <v>7027</v>
      </c>
    </row>
    <row r="1064" spans="1:7" ht="30" customHeight="1" x14ac:dyDescent="0.2">
      <c r="A1064" s="254">
        <v>2979</v>
      </c>
      <c r="B1064" s="255" t="s">
        <v>6794</v>
      </c>
      <c r="C1064" s="255" t="s">
        <v>6802</v>
      </c>
      <c r="D1064" s="255" t="s">
        <v>7043</v>
      </c>
      <c r="E1064" s="255" t="s">
        <v>6803</v>
      </c>
      <c r="F1064" s="271" t="s">
        <v>84</v>
      </c>
      <c r="G1064" s="271" t="s">
        <v>7027</v>
      </c>
    </row>
    <row r="1065" spans="1:7" ht="30" customHeight="1" x14ac:dyDescent="0.2">
      <c r="A1065" s="316">
        <v>2980</v>
      </c>
      <c r="B1065" s="255" t="s">
        <v>6794</v>
      </c>
      <c r="C1065" s="255" t="s">
        <v>6804</v>
      </c>
      <c r="D1065" s="255" t="s">
        <v>7044</v>
      </c>
      <c r="E1065" s="255" t="s">
        <v>6805</v>
      </c>
      <c r="F1065" s="271" t="s">
        <v>84</v>
      </c>
      <c r="G1065" s="271" t="s">
        <v>7027</v>
      </c>
    </row>
    <row r="1066" spans="1:7" ht="30" customHeight="1" x14ac:dyDescent="0.2">
      <c r="A1066" s="316">
        <v>2981</v>
      </c>
      <c r="B1066" s="255" t="s">
        <v>6794</v>
      </c>
      <c r="C1066" s="255" t="s">
        <v>6806</v>
      </c>
      <c r="D1066" s="255" t="s">
        <v>8551</v>
      </c>
      <c r="E1066" s="255" t="s">
        <v>6807</v>
      </c>
      <c r="F1066" s="271" t="s">
        <v>84</v>
      </c>
      <c r="G1066" s="271" t="s">
        <v>8577</v>
      </c>
    </row>
    <row r="1067" spans="1:7" ht="30" customHeight="1" x14ac:dyDescent="0.2">
      <c r="A1067" s="254">
        <v>2982</v>
      </c>
      <c r="B1067" s="255" t="s">
        <v>6794</v>
      </c>
      <c r="C1067" s="255" t="s">
        <v>6808</v>
      </c>
      <c r="D1067" s="255" t="s">
        <v>8587</v>
      </c>
      <c r="E1067" s="255" t="s">
        <v>6809</v>
      </c>
      <c r="F1067" s="271" t="s">
        <v>84</v>
      </c>
      <c r="G1067" s="271" t="s">
        <v>8577</v>
      </c>
    </row>
    <row r="1068" spans="1:7" ht="30" customHeight="1" x14ac:dyDescent="0.2">
      <c r="A1068" s="316">
        <v>2983</v>
      </c>
      <c r="B1068" s="255" t="s">
        <v>6794</v>
      </c>
      <c r="C1068" s="255" t="s">
        <v>6810</v>
      </c>
      <c r="D1068" s="255" t="s">
        <v>7045</v>
      </c>
      <c r="E1068" s="255"/>
      <c r="F1068" s="271" t="s">
        <v>84</v>
      </c>
      <c r="G1068" s="271" t="s">
        <v>7027</v>
      </c>
    </row>
    <row r="1069" spans="1:7" ht="138.75" customHeight="1" x14ac:dyDescent="0.2">
      <c r="A1069" s="316">
        <v>2984</v>
      </c>
      <c r="B1069" s="255" t="s">
        <v>6794</v>
      </c>
      <c r="C1069" s="255" t="s">
        <v>6811</v>
      </c>
      <c r="D1069" s="255" t="s">
        <v>9207</v>
      </c>
      <c r="E1069" s="255" t="s">
        <v>6812</v>
      </c>
      <c r="F1069" s="271" t="s">
        <v>6078</v>
      </c>
      <c r="G1069" s="271" t="s">
        <v>8020</v>
      </c>
    </row>
    <row r="1070" spans="1:7" ht="30" customHeight="1" x14ac:dyDescent="0.2">
      <c r="A1070" s="254">
        <v>2985</v>
      </c>
      <c r="B1070" s="255" t="s">
        <v>6794</v>
      </c>
      <c r="C1070" s="255" t="s">
        <v>6813</v>
      </c>
      <c r="D1070" s="255" t="s">
        <v>7046</v>
      </c>
      <c r="E1070" s="255" t="s">
        <v>6814</v>
      </c>
      <c r="F1070" s="271" t="s">
        <v>84</v>
      </c>
      <c r="G1070" s="271" t="s">
        <v>7027</v>
      </c>
    </row>
    <row r="1071" spans="1:7" ht="30" customHeight="1" x14ac:dyDescent="0.2">
      <c r="A1071" s="316">
        <v>2986</v>
      </c>
      <c r="B1071" s="255" t="s">
        <v>6794</v>
      </c>
      <c r="C1071" s="255" t="s">
        <v>6815</v>
      </c>
      <c r="D1071" s="255" t="s">
        <v>9107</v>
      </c>
      <c r="E1071" s="255"/>
      <c r="F1071" s="271" t="s">
        <v>6078</v>
      </c>
      <c r="G1071" s="271" t="s">
        <v>8890</v>
      </c>
    </row>
    <row r="1072" spans="1:7" ht="30" customHeight="1" x14ac:dyDescent="0.2">
      <c r="A1072" s="316">
        <v>2987</v>
      </c>
      <c r="B1072" s="255" t="s">
        <v>6794</v>
      </c>
      <c r="C1072" s="255" t="s">
        <v>6816</v>
      </c>
      <c r="D1072" s="255" t="s">
        <v>8588</v>
      </c>
      <c r="E1072" s="255"/>
      <c r="F1072" s="271" t="s">
        <v>84</v>
      </c>
      <c r="G1072" s="271" t="s">
        <v>8577</v>
      </c>
    </row>
    <row r="1073" spans="1:7" ht="30" customHeight="1" x14ac:dyDescent="0.2">
      <c r="A1073" s="254">
        <v>2988</v>
      </c>
      <c r="B1073" s="255" t="s">
        <v>6817</v>
      </c>
      <c r="C1073" s="255" t="s">
        <v>6818</v>
      </c>
      <c r="D1073" s="255" t="s">
        <v>8589</v>
      </c>
      <c r="E1073" s="255" t="s">
        <v>6819</v>
      </c>
      <c r="F1073" s="256" t="s">
        <v>84</v>
      </c>
      <c r="G1073" s="256" t="s">
        <v>8577</v>
      </c>
    </row>
    <row r="1074" spans="1:7" ht="30" customHeight="1" x14ac:dyDescent="0.2">
      <c r="A1074" s="316">
        <v>2989</v>
      </c>
      <c r="B1074" s="255" t="s">
        <v>6817</v>
      </c>
      <c r="C1074" s="255" t="s">
        <v>6820</v>
      </c>
      <c r="D1074" s="255" t="s">
        <v>8141</v>
      </c>
      <c r="E1074" s="255" t="s">
        <v>6821</v>
      </c>
      <c r="F1074" s="256" t="s">
        <v>40</v>
      </c>
      <c r="G1074" s="256" t="s">
        <v>8140</v>
      </c>
    </row>
    <row r="1075" spans="1:7" ht="30" customHeight="1" x14ac:dyDescent="0.2">
      <c r="A1075" s="316">
        <v>2990</v>
      </c>
      <c r="B1075" s="255" t="s">
        <v>6817</v>
      </c>
      <c r="C1075" s="255" t="s">
        <v>6822</v>
      </c>
      <c r="D1075" s="255" t="s">
        <v>9555</v>
      </c>
      <c r="E1075" s="255" t="s">
        <v>6823</v>
      </c>
      <c r="F1075" s="256" t="s">
        <v>40</v>
      </c>
      <c r="G1075" s="256" t="s">
        <v>8971</v>
      </c>
    </row>
    <row r="1076" spans="1:7" ht="30" customHeight="1" x14ac:dyDescent="0.2">
      <c r="A1076" s="254">
        <v>2991</v>
      </c>
      <c r="B1076" s="255" t="s">
        <v>6817</v>
      </c>
      <c r="C1076" s="255" t="s">
        <v>6824</v>
      </c>
      <c r="D1076" s="255" t="s">
        <v>9022</v>
      </c>
      <c r="E1076" s="255" t="s">
        <v>6825</v>
      </c>
      <c r="F1076" s="256" t="s">
        <v>6826</v>
      </c>
      <c r="G1076" s="256" t="s">
        <v>8890</v>
      </c>
    </row>
    <row r="1077" spans="1:7" ht="30" customHeight="1" x14ac:dyDescent="0.2">
      <c r="A1077" s="316">
        <v>2992</v>
      </c>
      <c r="B1077" s="255" t="s">
        <v>6817</v>
      </c>
      <c r="C1077" s="255" t="s">
        <v>6827</v>
      </c>
      <c r="D1077" s="255" t="s">
        <v>8403</v>
      </c>
      <c r="E1077" s="255" t="s">
        <v>6828</v>
      </c>
      <c r="F1077" s="256" t="s">
        <v>84</v>
      </c>
      <c r="G1077" s="256" t="s">
        <v>8577</v>
      </c>
    </row>
    <row r="1078" spans="1:7" ht="30" customHeight="1" x14ac:dyDescent="0.2">
      <c r="A1078" s="316">
        <v>2993</v>
      </c>
      <c r="B1078" s="255" t="s">
        <v>6817</v>
      </c>
      <c r="C1078" s="255" t="s">
        <v>6829</v>
      </c>
      <c r="D1078" s="255" t="s">
        <v>7977</v>
      </c>
      <c r="E1078" s="255" t="s">
        <v>6830</v>
      </c>
      <c r="F1078" s="256" t="s">
        <v>84</v>
      </c>
      <c r="G1078" s="256" t="s">
        <v>7962</v>
      </c>
    </row>
    <row r="1079" spans="1:7" ht="30" customHeight="1" x14ac:dyDescent="0.2">
      <c r="A1079" s="254">
        <v>2994</v>
      </c>
      <c r="B1079" s="255" t="s">
        <v>6817</v>
      </c>
      <c r="C1079" s="255" t="s">
        <v>6831</v>
      </c>
      <c r="D1079" s="255" t="s">
        <v>8590</v>
      </c>
      <c r="E1079" s="255" t="s">
        <v>6830</v>
      </c>
      <c r="F1079" s="256" t="s">
        <v>84</v>
      </c>
      <c r="G1079" s="256" t="s">
        <v>8577</v>
      </c>
    </row>
    <row r="1080" spans="1:7" ht="30" customHeight="1" x14ac:dyDescent="0.2">
      <c r="A1080" s="316">
        <v>2995</v>
      </c>
      <c r="B1080" s="255" t="s">
        <v>6817</v>
      </c>
      <c r="C1080" s="255" t="s">
        <v>6832</v>
      </c>
      <c r="D1080" s="255" t="s">
        <v>8591</v>
      </c>
      <c r="E1080" s="255" t="s">
        <v>6833</v>
      </c>
      <c r="F1080" s="256" t="s">
        <v>84</v>
      </c>
      <c r="G1080" s="256" t="s">
        <v>8577</v>
      </c>
    </row>
    <row r="1081" spans="1:7" ht="30" customHeight="1" x14ac:dyDescent="0.2">
      <c r="A1081" s="316">
        <v>2996</v>
      </c>
      <c r="B1081" s="255" t="s">
        <v>6817</v>
      </c>
      <c r="C1081" s="255" t="s">
        <v>6834</v>
      </c>
      <c r="D1081" s="255" t="s">
        <v>8504</v>
      </c>
      <c r="E1081" s="255" t="s">
        <v>6835</v>
      </c>
      <c r="F1081" s="256" t="s">
        <v>6264</v>
      </c>
      <c r="G1081" s="256" t="s">
        <v>8501</v>
      </c>
    </row>
    <row r="1082" spans="1:7" ht="30" customHeight="1" x14ac:dyDescent="0.2">
      <c r="A1082" s="254">
        <v>2997</v>
      </c>
      <c r="B1082" s="255" t="s">
        <v>6817</v>
      </c>
      <c r="C1082" s="255" t="s">
        <v>6836</v>
      </c>
      <c r="D1082" s="255" t="s">
        <v>8142</v>
      </c>
      <c r="E1082" s="255" t="s">
        <v>6837</v>
      </c>
      <c r="F1082" s="256" t="s">
        <v>40</v>
      </c>
      <c r="G1082" s="256" t="s">
        <v>8140</v>
      </c>
    </row>
    <row r="1083" spans="1:7" ht="30" customHeight="1" x14ac:dyDescent="0.2">
      <c r="A1083" s="316">
        <v>2998</v>
      </c>
      <c r="B1083" s="255" t="s">
        <v>6817</v>
      </c>
      <c r="C1083" s="255" t="s">
        <v>6838</v>
      </c>
      <c r="D1083" s="255" t="s">
        <v>8143</v>
      </c>
      <c r="E1083" s="255" t="s">
        <v>6839</v>
      </c>
      <c r="F1083" s="256" t="s">
        <v>40</v>
      </c>
      <c r="G1083" s="256" t="s">
        <v>8140</v>
      </c>
    </row>
    <row r="1084" spans="1:7" ht="30" customHeight="1" x14ac:dyDescent="0.2">
      <c r="A1084" s="316">
        <v>2999</v>
      </c>
      <c r="B1084" s="255" t="s">
        <v>6817</v>
      </c>
      <c r="C1084" s="255" t="s">
        <v>6840</v>
      </c>
      <c r="D1084" s="255" t="s">
        <v>8144</v>
      </c>
      <c r="E1084" s="255" t="s">
        <v>6841</v>
      </c>
      <c r="F1084" s="256" t="s">
        <v>40</v>
      </c>
      <c r="G1084" s="256" t="s">
        <v>8140</v>
      </c>
    </row>
    <row r="1085" spans="1:7" ht="30" customHeight="1" x14ac:dyDescent="0.2">
      <c r="A1085" s="254">
        <v>3000</v>
      </c>
      <c r="B1085" s="255" t="s">
        <v>6817</v>
      </c>
      <c r="C1085" s="255" t="s">
        <v>6842</v>
      </c>
      <c r="D1085" s="255" t="s">
        <v>8145</v>
      </c>
      <c r="E1085" s="255" t="s">
        <v>6843</v>
      </c>
      <c r="F1085" s="256" t="s">
        <v>40</v>
      </c>
      <c r="G1085" s="256" t="s">
        <v>8140</v>
      </c>
    </row>
    <row r="1086" spans="1:7" ht="30" customHeight="1" x14ac:dyDescent="0.2">
      <c r="A1086" s="316">
        <v>3001</v>
      </c>
      <c r="B1086" s="255" t="s">
        <v>6817</v>
      </c>
      <c r="C1086" s="255" t="s">
        <v>6844</v>
      </c>
      <c r="D1086" s="255" t="s">
        <v>8592</v>
      </c>
      <c r="E1086" s="255" t="s">
        <v>6845</v>
      </c>
      <c r="F1086" s="256" t="s">
        <v>6078</v>
      </c>
      <c r="G1086" s="256" t="s">
        <v>8577</v>
      </c>
    </row>
    <row r="1087" spans="1:7" ht="30" customHeight="1" x14ac:dyDescent="0.2">
      <c r="A1087" s="254">
        <v>3002</v>
      </c>
      <c r="B1087" s="255" t="s">
        <v>6817</v>
      </c>
      <c r="C1087" s="255" t="s">
        <v>6846</v>
      </c>
      <c r="D1087" s="255" t="s">
        <v>8505</v>
      </c>
      <c r="E1087" s="255" t="s">
        <v>6847</v>
      </c>
      <c r="F1087" s="256" t="s">
        <v>6046</v>
      </c>
      <c r="G1087" s="256" t="s">
        <v>8501</v>
      </c>
    </row>
    <row r="1088" spans="1:7" ht="30" customHeight="1" x14ac:dyDescent="0.2">
      <c r="A1088" s="316">
        <v>3003</v>
      </c>
      <c r="B1088" s="255" t="s">
        <v>6817</v>
      </c>
      <c r="C1088" s="255" t="s">
        <v>6848</v>
      </c>
      <c r="D1088" s="255" t="s">
        <v>8677</v>
      </c>
      <c r="E1088" s="255" t="s">
        <v>1833</v>
      </c>
      <c r="F1088" s="256" t="s">
        <v>84</v>
      </c>
      <c r="G1088" s="256" t="s">
        <v>8668</v>
      </c>
    </row>
    <row r="1089" spans="1:7" ht="30" customHeight="1" x14ac:dyDescent="0.2">
      <c r="A1089" s="316">
        <v>3004</v>
      </c>
      <c r="B1089" s="255" t="s">
        <v>6817</v>
      </c>
      <c r="C1089" s="255" t="s">
        <v>6849</v>
      </c>
      <c r="D1089" s="255" t="s">
        <v>8506</v>
      </c>
      <c r="E1089" s="255" t="s">
        <v>6850</v>
      </c>
      <c r="F1089" s="256" t="s">
        <v>322</v>
      </c>
      <c r="G1089" s="256" t="s">
        <v>8501</v>
      </c>
    </row>
    <row r="1090" spans="1:7" ht="30" customHeight="1" x14ac:dyDescent="0.2">
      <c r="A1090" s="254">
        <v>3005</v>
      </c>
      <c r="B1090" s="255" t="s">
        <v>6817</v>
      </c>
      <c r="C1090" s="255" t="s">
        <v>6851</v>
      </c>
      <c r="D1090" s="255" t="s">
        <v>8146</v>
      </c>
      <c r="E1090" s="255" t="s">
        <v>6852</v>
      </c>
      <c r="F1090" s="256" t="s">
        <v>40</v>
      </c>
      <c r="G1090" s="256" t="s">
        <v>8140</v>
      </c>
    </row>
    <row r="1091" spans="1:7" ht="30" customHeight="1" x14ac:dyDescent="0.2">
      <c r="A1091" s="316">
        <v>3006</v>
      </c>
      <c r="B1091" s="255" t="s">
        <v>6817</v>
      </c>
      <c r="C1091" s="255" t="s">
        <v>6853</v>
      </c>
      <c r="D1091" s="255" t="s">
        <v>9021</v>
      </c>
      <c r="E1091" s="255" t="s">
        <v>6854</v>
      </c>
      <c r="F1091" s="256" t="s">
        <v>84</v>
      </c>
      <c r="G1091" s="256" t="s">
        <v>8890</v>
      </c>
    </row>
    <row r="1092" spans="1:7" ht="30" customHeight="1" x14ac:dyDescent="0.2">
      <c r="A1092" s="254">
        <v>3007</v>
      </c>
      <c r="B1092" s="255" t="s">
        <v>6817</v>
      </c>
      <c r="C1092" s="255" t="s">
        <v>6855</v>
      </c>
      <c r="D1092" s="255" t="s">
        <v>8147</v>
      </c>
      <c r="E1092" s="255" t="s">
        <v>6856</v>
      </c>
      <c r="F1092" s="256" t="s">
        <v>40</v>
      </c>
      <c r="G1092" s="256" t="s">
        <v>8140</v>
      </c>
    </row>
    <row r="1093" spans="1:7" ht="30" customHeight="1" x14ac:dyDescent="0.2">
      <c r="A1093" s="316">
        <v>3008</v>
      </c>
      <c r="B1093" s="255" t="s">
        <v>6817</v>
      </c>
      <c r="C1093" s="255" t="s">
        <v>6857</v>
      </c>
      <c r="D1093" s="255" t="s">
        <v>9392</v>
      </c>
      <c r="E1093" s="255" t="s">
        <v>6858</v>
      </c>
      <c r="F1093" s="256" t="s">
        <v>565</v>
      </c>
      <c r="G1093" s="256" t="s">
        <v>8971</v>
      </c>
    </row>
    <row r="1094" spans="1:7" ht="30" customHeight="1" x14ac:dyDescent="0.2">
      <c r="A1094" s="316">
        <v>3009</v>
      </c>
      <c r="B1094" s="255" t="s">
        <v>6817</v>
      </c>
      <c r="C1094" s="255" t="s">
        <v>6859</v>
      </c>
      <c r="D1094" s="255" t="s">
        <v>9393</v>
      </c>
      <c r="E1094" s="255" t="s">
        <v>6860</v>
      </c>
      <c r="F1094" s="256" t="s">
        <v>565</v>
      </c>
      <c r="G1094" s="256" t="s">
        <v>8971</v>
      </c>
    </row>
    <row r="1095" spans="1:7" ht="30" customHeight="1" x14ac:dyDescent="0.2">
      <c r="A1095" s="254">
        <v>3010</v>
      </c>
      <c r="B1095" s="255" t="s">
        <v>6817</v>
      </c>
      <c r="C1095" s="255" t="s">
        <v>6861</v>
      </c>
      <c r="D1095" s="255" t="s">
        <v>8148</v>
      </c>
      <c r="E1095" s="255" t="s">
        <v>6862</v>
      </c>
      <c r="F1095" s="256" t="s">
        <v>565</v>
      </c>
      <c r="G1095" s="256" t="s">
        <v>8140</v>
      </c>
    </row>
    <row r="1096" spans="1:7" ht="30" customHeight="1" x14ac:dyDescent="0.2">
      <c r="A1096" s="316">
        <v>3011</v>
      </c>
      <c r="B1096" s="255" t="s">
        <v>6817</v>
      </c>
      <c r="C1096" s="255" t="s">
        <v>6863</v>
      </c>
      <c r="D1096" s="255" t="s">
        <v>8149</v>
      </c>
      <c r="E1096" s="255" t="s">
        <v>6864</v>
      </c>
      <c r="F1096" s="256" t="s">
        <v>565</v>
      </c>
      <c r="G1096" s="256" t="s">
        <v>8140</v>
      </c>
    </row>
    <row r="1097" spans="1:7" ht="30" customHeight="1" x14ac:dyDescent="0.2">
      <c r="A1097" s="254">
        <v>3012</v>
      </c>
      <c r="B1097" s="255" t="s">
        <v>6817</v>
      </c>
      <c r="C1097" s="255" t="s">
        <v>6865</v>
      </c>
      <c r="D1097" s="255" t="s">
        <v>9394</v>
      </c>
      <c r="E1097" s="255" t="s">
        <v>6866</v>
      </c>
      <c r="F1097" s="256" t="s">
        <v>565</v>
      </c>
      <c r="G1097" s="256" t="s">
        <v>8971</v>
      </c>
    </row>
    <row r="1098" spans="1:7" ht="30" customHeight="1" x14ac:dyDescent="0.2">
      <c r="A1098" s="316">
        <v>3013</v>
      </c>
      <c r="B1098" s="255" t="s">
        <v>6817</v>
      </c>
      <c r="C1098" s="255" t="s">
        <v>6867</v>
      </c>
      <c r="D1098" s="255" t="s">
        <v>9395</v>
      </c>
      <c r="E1098" s="255" t="s">
        <v>6868</v>
      </c>
      <c r="F1098" s="256" t="s">
        <v>565</v>
      </c>
      <c r="G1098" s="256" t="s">
        <v>8984</v>
      </c>
    </row>
    <row r="1099" spans="1:7" ht="30" customHeight="1" x14ac:dyDescent="0.2">
      <c r="A1099" s="316">
        <v>3014</v>
      </c>
      <c r="B1099" s="255" t="s">
        <v>6817</v>
      </c>
      <c r="C1099" s="255" t="s">
        <v>6869</v>
      </c>
      <c r="D1099" s="255" t="s">
        <v>8150</v>
      </c>
      <c r="E1099" s="255" t="s">
        <v>6870</v>
      </c>
      <c r="F1099" s="256" t="s">
        <v>565</v>
      </c>
      <c r="G1099" s="256" t="s">
        <v>8140</v>
      </c>
    </row>
    <row r="1100" spans="1:7" ht="30" customHeight="1" x14ac:dyDescent="0.2">
      <c r="A1100" s="254">
        <v>3015</v>
      </c>
      <c r="B1100" s="255" t="s">
        <v>6817</v>
      </c>
      <c r="C1100" s="255" t="s">
        <v>6871</v>
      </c>
      <c r="D1100" s="255" t="s">
        <v>8151</v>
      </c>
      <c r="E1100" s="255" t="s">
        <v>6872</v>
      </c>
      <c r="F1100" s="256" t="s">
        <v>565</v>
      </c>
      <c r="G1100" s="256" t="s">
        <v>8140</v>
      </c>
    </row>
    <row r="1101" spans="1:7" ht="30" customHeight="1" x14ac:dyDescent="0.2">
      <c r="A1101" s="316">
        <v>3016</v>
      </c>
      <c r="B1101" s="255" t="s">
        <v>6817</v>
      </c>
      <c r="C1101" s="255" t="s">
        <v>6873</v>
      </c>
      <c r="D1101" s="255" t="s">
        <v>8507</v>
      </c>
      <c r="E1101" s="255" t="s">
        <v>6874</v>
      </c>
      <c r="F1101" s="256" t="s">
        <v>322</v>
      </c>
      <c r="G1101" s="256" t="s">
        <v>8501</v>
      </c>
    </row>
    <row r="1102" spans="1:7" ht="30" customHeight="1" x14ac:dyDescent="0.2">
      <c r="A1102" s="254">
        <v>3017</v>
      </c>
      <c r="B1102" s="255" t="s">
        <v>6817</v>
      </c>
      <c r="C1102" s="255" t="s">
        <v>6875</v>
      </c>
      <c r="D1102" s="255" t="s">
        <v>8508</v>
      </c>
      <c r="E1102" s="255" t="s">
        <v>6839</v>
      </c>
      <c r="F1102" s="256" t="s">
        <v>322</v>
      </c>
      <c r="G1102" s="256" t="s">
        <v>8501</v>
      </c>
    </row>
    <row r="1103" spans="1:7" ht="30" customHeight="1" x14ac:dyDescent="0.2">
      <c r="A1103" s="316">
        <v>3018</v>
      </c>
      <c r="B1103" s="280" t="s">
        <v>6876</v>
      </c>
      <c r="C1103" s="255" t="s">
        <v>3468</v>
      </c>
      <c r="D1103" s="255" t="s">
        <v>21</v>
      </c>
      <c r="E1103" s="255" t="s">
        <v>914</v>
      </c>
      <c r="F1103" s="271" t="s">
        <v>74</v>
      </c>
      <c r="G1103" s="271" t="s">
        <v>7364</v>
      </c>
    </row>
    <row r="1104" spans="1:7" ht="30" customHeight="1" x14ac:dyDescent="0.2">
      <c r="A1104" s="316">
        <v>3019</v>
      </c>
      <c r="B1104" s="280" t="s">
        <v>6876</v>
      </c>
      <c r="C1104" s="255" t="s">
        <v>3469</v>
      </c>
      <c r="D1104" s="255" t="s">
        <v>7370</v>
      </c>
      <c r="E1104" s="255" t="s">
        <v>914</v>
      </c>
      <c r="F1104" s="271" t="s">
        <v>74</v>
      </c>
      <c r="G1104" s="271" t="s">
        <v>7364</v>
      </c>
    </row>
    <row r="1105" spans="1:7" ht="30" customHeight="1" x14ac:dyDescent="0.2">
      <c r="A1105" s="254">
        <v>3020</v>
      </c>
      <c r="B1105" s="280" t="s">
        <v>6876</v>
      </c>
      <c r="C1105" s="255" t="s">
        <v>918</v>
      </c>
      <c r="D1105" s="255" t="s">
        <v>8110</v>
      </c>
      <c r="E1105" s="255" t="s">
        <v>919</v>
      </c>
      <c r="F1105" s="271" t="s">
        <v>74</v>
      </c>
      <c r="G1105" s="271" t="s">
        <v>8090</v>
      </c>
    </row>
    <row r="1106" spans="1:7" ht="126.75" customHeight="1" x14ac:dyDescent="0.2">
      <c r="A1106" s="316">
        <v>3021</v>
      </c>
      <c r="B1106" s="280" t="s">
        <v>6876</v>
      </c>
      <c r="C1106" s="255" t="s">
        <v>3470</v>
      </c>
      <c r="D1106" s="255" t="s">
        <v>9219</v>
      </c>
      <c r="E1106" s="255" t="s">
        <v>921</v>
      </c>
      <c r="F1106" s="271" t="s">
        <v>322</v>
      </c>
      <c r="G1106" s="271" t="s">
        <v>8501</v>
      </c>
    </row>
    <row r="1107" spans="1:7" ht="30" customHeight="1" x14ac:dyDescent="0.2">
      <c r="A1107" s="316">
        <v>3022</v>
      </c>
      <c r="B1107" s="280" t="s">
        <v>6876</v>
      </c>
      <c r="C1107" s="255" t="s">
        <v>3471</v>
      </c>
      <c r="D1107" s="255" t="s">
        <v>8509</v>
      </c>
      <c r="E1107" s="255" t="s">
        <v>941</v>
      </c>
      <c r="F1107" s="271" t="s">
        <v>6147</v>
      </c>
      <c r="G1107" s="271" t="s">
        <v>8501</v>
      </c>
    </row>
    <row r="1108" spans="1:7" ht="30" customHeight="1" x14ac:dyDescent="0.2">
      <c r="A1108" s="254">
        <v>3023</v>
      </c>
      <c r="B1108" s="280" t="s">
        <v>6876</v>
      </c>
      <c r="C1108" s="255" t="s">
        <v>943</v>
      </c>
      <c r="D1108" s="255" t="s">
        <v>7964</v>
      </c>
      <c r="E1108" s="255" t="s">
        <v>944</v>
      </c>
      <c r="F1108" s="271" t="s">
        <v>322</v>
      </c>
      <c r="G1108" s="271" t="s">
        <v>7962</v>
      </c>
    </row>
    <row r="1109" spans="1:7" ht="30" customHeight="1" x14ac:dyDescent="0.2">
      <c r="A1109" s="316">
        <v>3024</v>
      </c>
      <c r="B1109" s="280" t="s">
        <v>6876</v>
      </c>
      <c r="C1109" s="255" t="s">
        <v>946</v>
      </c>
      <c r="D1109" s="255" t="s">
        <v>948</v>
      </c>
      <c r="E1109" s="255" t="s">
        <v>947</v>
      </c>
      <c r="F1109" s="271" t="s">
        <v>322</v>
      </c>
      <c r="G1109" s="271" t="s">
        <v>8138</v>
      </c>
    </row>
    <row r="1110" spans="1:7" ht="30" customHeight="1" x14ac:dyDescent="0.2">
      <c r="A1110" s="316">
        <v>3025</v>
      </c>
      <c r="B1110" s="280" t="s">
        <v>6876</v>
      </c>
      <c r="C1110" s="255" t="s">
        <v>949</v>
      </c>
      <c r="D1110" s="255" t="s">
        <v>7980</v>
      </c>
      <c r="E1110" s="255" t="s">
        <v>950</v>
      </c>
      <c r="F1110" s="271" t="s">
        <v>6264</v>
      </c>
      <c r="G1110" s="271" t="s">
        <v>8138</v>
      </c>
    </row>
    <row r="1111" spans="1:7" ht="30" customHeight="1" x14ac:dyDescent="0.2">
      <c r="A1111" s="254">
        <v>3026</v>
      </c>
      <c r="B1111" s="280" t="s">
        <v>6876</v>
      </c>
      <c r="C1111" s="255" t="s">
        <v>951</v>
      </c>
      <c r="D1111" s="255" t="s">
        <v>8152</v>
      </c>
      <c r="E1111" s="255" t="s">
        <v>952</v>
      </c>
      <c r="F1111" s="271" t="s">
        <v>565</v>
      </c>
      <c r="G1111" s="271" t="s">
        <v>8140</v>
      </c>
    </row>
    <row r="1112" spans="1:7" ht="30" customHeight="1" x14ac:dyDescent="0.2">
      <c r="A1112" s="316">
        <v>3027</v>
      </c>
      <c r="B1112" s="280" t="s">
        <v>6876</v>
      </c>
      <c r="C1112" s="255" t="s">
        <v>953</v>
      </c>
      <c r="D1112" s="255" t="s">
        <v>8153</v>
      </c>
      <c r="E1112" s="255" t="s">
        <v>954</v>
      </c>
      <c r="F1112" s="256" t="s">
        <v>565</v>
      </c>
      <c r="G1112" s="271" t="s">
        <v>8140</v>
      </c>
    </row>
    <row r="1113" spans="1:7" ht="30" customHeight="1" x14ac:dyDescent="0.2">
      <c r="A1113" s="316">
        <v>3028</v>
      </c>
      <c r="B1113" s="280" t="s">
        <v>6876</v>
      </c>
      <c r="C1113" s="255" t="s">
        <v>3473</v>
      </c>
      <c r="D1113" s="255" t="s">
        <v>8154</v>
      </c>
      <c r="E1113" s="255" t="s">
        <v>954</v>
      </c>
      <c r="F1113" s="256" t="s">
        <v>565</v>
      </c>
      <c r="G1113" s="271" t="s">
        <v>8140</v>
      </c>
    </row>
    <row r="1114" spans="1:7" ht="30" customHeight="1" x14ac:dyDescent="0.2">
      <c r="A1114" s="254">
        <v>3029</v>
      </c>
      <c r="B1114" s="280" t="s">
        <v>6876</v>
      </c>
      <c r="C1114" s="255" t="s">
        <v>9924</v>
      </c>
      <c r="D1114" s="255" t="s">
        <v>9396</v>
      </c>
      <c r="E1114" s="255" t="s">
        <v>954</v>
      </c>
      <c r="F1114" s="256" t="s">
        <v>565</v>
      </c>
      <c r="G1114" s="256" t="s">
        <v>8984</v>
      </c>
    </row>
    <row r="1115" spans="1:7" ht="30" customHeight="1" x14ac:dyDescent="0.2">
      <c r="A1115" s="316">
        <v>3030</v>
      </c>
      <c r="B1115" s="280" t="s">
        <v>6876</v>
      </c>
      <c r="C1115" s="255" t="s">
        <v>972</v>
      </c>
      <c r="D1115" s="255" t="s">
        <v>8155</v>
      </c>
      <c r="E1115" s="255" t="s">
        <v>973</v>
      </c>
      <c r="F1115" s="271" t="s">
        <v>565</v>
      </c>
      <c r="G1115" s="271" t="s">
        <v>8140</v>
      </c>
    </row>
    <row r="1116" spans="1:7" ht="30" customHeight="1" x14ac:dyDescent="0.2">
      <c r="A1116" s="316">
        <v>3031</v>
      </c>
      <c r="B1116" s="280" t="s">
        <v>6876</v>
      </c>
      <c r="C1116" s="255" t="s">
        <v>974</v>
      </c>
      <c r="D1116" s="255" t="s">
        <v>7047</v>
      </c>
      <c r="E1116" s="255" t="s">
        <v>975</v>
      </c>
      <c r="F1116" s="271" t="s">
        <v>84</v>
      </c>
      <c r="G1116" s="271" t="s">
        <v>7027</v>
      </c>
    </row>
    <row r="1117" spans="1:7" ht="30" customHeight="1" x14ac:dyDescent="0.2">
      <c r="A1117" s="254">
        <v>3032</v>
      </c>
      <c r="B1117" s="280" t="s">
        <v>6876</v>
      </c>
      <c r="C1117" s="255" t="s">
        <v>976</v>
      </c>
      <c r="D1117" s="255" t="s">
        <v>7387</v>
      </c>
      <c r="E1117" s="255" t="s">
        <v>977</v>
      </c>
      <c r="F1117" s="271" t="s">
        <v>74</v>
      </c>
      <c r="G1117" s="271" t="s">
        <v>7364</v>
      </c>
    </row>
    <row r="1118" spans="1:7" ht="30" customHeight="1" x14ac:dyDescent="0.2">
      <c r="A1118" s="316">
        <v>3033</v>
      </c>
      <c r="B1118" s="280" t="s">
        <v>6876</v>
      </c>
      <c r="C1118" s="255" t="s">
        <v>3475</v>
      </c>
      <c r="D1118" s="255" t="s">
        <v>8156</v>
      </c>
      <c r="E1118" s="255" t="s">
        <v>980</v>
      </c>
      <c r="F1118" s="271" t="s">
        <v>565</v>
      </c>
      <c r="G1118" s="271" t="s">
        <v>8140</v>
      </c>
    </row>
    <row r="1119" spans="1:7" ht="30" customHeight="1" x14ac:dyDescent="0.2">
      <c r="A1119" s="316">
        <v>3034</v>
      </c>
      <c r="B1119" s="280" t="s">
        <v>6876</v>
      </c>
      <c r="C1119" s="255" t="s">
        <v>983</v>
      </c>
      <c r="D1119" s="255" t="s">
        <v>8157</v>
      </c>
      <c r="E1119" s="255" t="s">
        <v>984</v>
      </c>
      <c r="F1119" s="271" t="s">
        <v>565</v>
      </c>
      <c r="G1119" s="271" t="s">
        <v>8140</v>
      </c>
    </row>
    <row r="1120" spans="1:7" ht="30" customHeight="1" x14ac:dyDescent="0.2">
      <c r="A1120" s="254">
        <v>3035</v>
      </c>
      <c r="B1120" s="280" t="s">
        <v>6876</v>
      </c>
      <c r="C1120" s="255" t="s">
        <v>3476</v>
      </c>
      <c r="D1120" s="255" t="s">
        <v>8892</v>
      </c>
      <c r="E1120" s="255" t="s">
        <v>3478</v>
      </c>
      <c r="F1120" s="271" t="s">
        <v>84</v>
      </c>
      <c r="G1120" s="271" t="s">
        <v>8890</v>
      </c>
    </row>
    <row r="1121" spans="1:7" ht="30" customHeight="1" x14ac:dyDescent="0.2">
      <c r="A1121" s="316">
        <v>3036</v>
      </c>
      <c r="B1121" s="280" t="s">
        <v>6876</v>
      </c>
      <c r="C1121" s="255" t="s">
        <v>3479</v>
      </c>
      <c r="D1121" s="255" t="s">
        <v>8593</v>
      </c>
      <c r="E1121" s="255" t="s">
        <v>3478</v>
      </c>
      <c r="F1121" s="271" t="s">
        <v>84</v>
      </c>
      <c r="G1121" s="271" t="s">
        <v>8577</v>
      </c>
    </row>
    <row r="1122" spans="1:7" ht="30" customHeight="1" x14ac:dyDescent="0.2">
      <c r="A1122" s="316">
        <v>3037</v>
      </c>
      <c r="B1122" s="280" t="s">
        <v>6876</v>
      </c>
      <c r="C1122" s="255" t="s">
        <v>3480</v>
      </c>
      <c r="D1122" s="255" t="s">
        <v>8568</v>
      </c>
      <c r="E1122" s="255" t="s">
        <v>3481</v>
      </c>
      <c r="F1122" s="271" t="s">
        <v>6078</v>
      </c>
      <c r="G1122" s="271" t="s">
        <v>8577</v>
      </c>
    </row>
    <row r="1123" spans="1:7" ht="30" customHeight="1" x14ac:dyDescent="0.2">
      <c r="A1123" s="254">
        <v>3038</v>
      </c>
      <c r="B1123" s="280" t="s">
        <v>6876</v>
      </c>
      <c r="C1123" s="255" t="s">
        <v>3482</v>
      </c>
      <c r="D1123" s="255" t="s">
        <v>8594</v>
      </c>
      <c r="E1123" s="255" t="s">
        <v>3483</v>
      </c>
      <c r="F1123" s="271" t="s">
        <v>84</v>
      </c>
      <c r="G1123" s="271" t="s">
        <v>8577</v>
      </c>
    </row>
    <row r="1124" spans="1:7" ht="30" customHeight="1" x14ac:dyDescent="0.2">
      <c r="A1124" s="316">
        <v>3039</v>
      </c>
      <c r="B1124" s="280" t="s">
        <v>6876</v>
      </c>
      <c r="C1124" s="255" t="s">
        <v>9925</v>
      </c>
      <c r="D1124" s="255" t="s">
        <v>8595</v>
      </c>
      <c r="E1124" s="255" t="s">
        <v>9926</v>
      </c>
      <c r="F1124" s="271" t="s">
        <v>84</v>
      </c>
      <c r="G1124" s="271" t="s">
        <v>8577</v>
      </c>
    </row>
    <row r="1125" spans="1:7" ht="30" customHeight="1" x14ac:dyDescent="0.2">
      <c r="A1125" s="316">
        <v>3040</v>
      </c>
      <c r="B1125" s="280" t="s">
        <v>6876</v>
      </c>
      <c r="C1125" s="255" t="s">
        <v>3484</v>
      </c>
      <c r="D1125" s="255" t="s">
        <v>8596</v>
      </c>
      <c r="E1125" s="255" t="s">
        <v>3485</v>
      </c>
      <c r="F1125" s="271" t="s">
        <v>6078</v>
      </c>
      <c r="G1125" s="271" t="s">
        <v>8577</v>
      </c>
    </row>
    <row r="1126" spans="1:7" ht="30" customHeight="1" x14ac:dyDescent="0.2">
      <c r="A1126" s="254">
        <v>3041</v>
      </c>
      <c r="B1126" s="280" t="s">
        <v>6876</v>
      </c>
      <c r="C1126" s="255" t="s">
        <v>3486</v>
      </c>
      <c r="D1126" s="255" t="s">
        <v>8597</v>
      </c>
      <c r="E1126" s="255" t="s">
        <v>3487</v>
      </c>
      <c r="F1126" s="271" t="s">
        <v>84</v>
      </c>
      <c r="G1126" s="271" t="s">
        <v>8577</v>
      </c>
    </row>
    <row r="1127" spans="1:7" ht="30" customHeight="1" x14ac:dyDescent="0.2">
      <c r="A1127" s="316">
        <v>3042</v>
      </c>
      <c r="B1127" s="280" t="s">
        <v>6876</v>
      </c>
      <c r="C1127" s="255" t="s">
        <v>3488</v>
      </c>
      <c r="D1127" s="255" t="s">
        <v>8158</v>
      </c>
      <c r="E1127" s="255" t="s">
        <v>346</v>
      </c>
      <c r="F1127" s="256" t="s">
        <v>565</v>
      </c>
      <c r="G1127" s="256" t="s">
        <v>8140</v>
      </c>
    </row>
    <row r="1128" spans="1:7" ht="30" customHeight="1" x14ac:dyDescent="0.2">
      <c r="A1128" s="316">
        <v>3043</v>
      </c>
      <c r="B1128" s="280" t="s">
        <v>6876</v>
      </c>
      <c r="C1128" s="255" t="s">
        <v>3489</v>
      </c>
      <c r="D1128" s="255" t="s">
        <v>8159</v>
      </c>
      <c r="E1128" s="255" t="s">
        <v>3490</v>
      </c>
      <c r="F1128" s="256" t="s">
        <v>565</v>
      </c>
      <c r="G1128" s="256" t="s">
        <v>8140</v>
      </c>
    </row>
    <row r="1129" spans="1:7" ht="30" customHeight="1" x14ac:dyDescent="0.2">
      <c r="A1129" s="254">
        <v>3044</v>
      </c>
      <c r="B1129" s="280" t="s">
        <v>6876</v>
      </c>
      <c r="C1129" s="255" t="s">
        <v>3491</v>
      </c>
      <c r="D1129" s="255" t="s">
        <v>8160</v>
      </c>
      <c r="E1129" s="255" t="s">
        <v>3490</v>
      </c>
      <c r="F1129" s="256" t="s">
        <v>565</v>
      </c>
      <c r="G1129" s="256" t="s">
        <v>8140</v>
      </c>
    </row>
    <row r="1130" spans="1:7" ht="30" customHeight="1" x14ac:dyDescent="0.2">
      <c r="A1130" s="316">
        <v>3045</v>
      </c>
      <c r="B1130" s="280" t="s">
        <v>6876</v>
      </c>
      <c r="C1130" s="255" t="s">
        <v>6877</v>
      </c>
      <c r="D1130" s="255" t="s">
        <v>9021</v>
      </c>
      <c r="E1130" s="255" t="s">
        <v>6878</v>
      </c>
      <c r="F1130" s="271" t="s">
        <v>84</v>
      </c>
      <c r="G1130" s="271" t="s">
        <v>8890</v>
      </c>
    </row>
    <row r="1131" spans="1:7" ht="30" customHeight="1" x14ac:dyDescent="0.2">
      <c r="A1131" s="316">
        <v>3046</v>
      </c>
      <c r="B1131" s="255" t="s">
        <v>6879</v>
      </c>
      <c r="C1131" s="255" t="s">
        <v>6880</v>
      </c>
      <c r="D1131" s="255" t="s">
        <v>8161</v>
      </c>
      <c r="E1131" s="255" t="s">
        <v>6881</v>
      </c>
      <c r="F1131" s="256" t="s">
        <v>565</v>
      </c>
      <c r="G1131" s="256" t="s">
        <v>8140</v>
      </c>
    </row>
    <row r="1132" spans="1:7" ht="30" customHeight="1" x14ac:dyDescent="0.2">
      <c r="A1132" s="254">
        <v>3047</v>
      </c>
      <c r="B1132" s="255" t="s">
        <v>6879</v>
      </c>
      <c r="C1132" s="255" t="s">
        <v>6882</v>
      </c>
      <c r="D1132" s="255" t="s">
        <v>8162</v>
      </c>
      <c r="E1132" s="255" t="s">
        <v>6883</v>
      </c>
      <c r="F1132" s="256" t="s">
        <v>565</v>
      </c>
      <c r="G1132" s="256" t="s">
        <v>8140</v>
      </c>
    </row>
    <row r="1133" spans="1:7" ht="30" customHeight="1" x14ac:dyDescent="0.2">
      <c r="A1133" s="316">
        <v>3048</v>
      </c>
      <c r="B1133" s="255" t="s">
        <v>6879</v>
      </c>
      <c r="C1133" s="255" t="s">
        <v>6884</v>
      </c>
      <c r="D1133" s="255" t="s">
        <v>8163</v>
      </c>
      <c r="E1133" s="255" t="s">
        <v>6885</v>
      </c>
      <c r="F1133" s="256" t="s">
        <v>565</v>
      </c>
      <c r="G1133" s="256" t="s">
        <v>8140</v>
      </c>
    </row>
    <row r="1134" spans="1:7" ht="30" customHeight="1" x14ac:dyDescent="0.2">
      <c r="A1134" s="316">
        <v>3049</v>
      </c>
      <c r="B1134" s="255" t="s">
        <v>6879</v>
      </c>
      <c r="C1134" s="255" t="s">
        <v>6886</v>
      </c>
      <c r="D1134" s="255" t="s">
        <v>8164</v>
      </c>
      <c r="E1134" s="255" t="s">
        <v>6885</v>
      </c>
      <c r="F1134" s="256" t="s">
        <v>565</v>
      </c>
      <c r="G1134" s="256" t="s">
        <v>8140</v>
      </c>
    </row>
    <row r="1135" spans="1:7" ht="30" customHeight="1" x14ac:dyDescent="0.2">
      <c r="A1135" s="254">
        <v>3050</v>
      </c>
      <c r="B1135" s="255" t="s">
        <v>6879</v>
      </c>
      <c r="C1135" s="255" t="s">
        <v>6887</v>
      </c>
      <c r="D1135" s="255" t="s">
        <v>8165</v>
      </c>
      <c r="E1135" s="255" t="s">
        <v>6888</v>
      </c>
      <c r="F1135" s="256" t="s">
        <v>565</v>
      </c>
      <c r="G1135" s="256" t="s">
        <v>8140</v>
      </c>
    </row>
    <row r="1136" spans="1:7" ht="30" customHeight="1" x14ac:dyDescent="0.2">
      <c r="A1136" s="316">
        <v>3051</v>
      </c>
      <c r="B1136" s="255" t="s">
        <v>6879</v>
      </c>
      <c r="C1136" s="255" t="s">
        <v>6889</v>
      </c>
      <c r="D1136" s="255" t="s">
        <v>8166</v>
      </c>
      <c r="E1136" s="255" t="s">
        <v>6890</v>
      </c>
      <c r="F1136" s="256" t="s">
        <v>565</v>
      </c>
      <c r="G1136" s="256" t="s">
        <v>8140</v>
      </c>
    </row>
    <row r="1137" spans="1:7" ht="30" customHeight="1" x14ac:dyDescent="0.2">
      <c r="A1137" s="316">
        <v>3052</v>
      </c>
      <c r="B1137" s="255" t="s">
        <v>6879</v>
      </c>
      <c r="C1137" s="255" t="s">
        <v>6891</v>
      </c>
      <c r="D1137" s="255" t="s">
        <v>8167</v>
      </c>
      <c r="E1137" s="255" t="s">
        <v>6892</v>
      </c>
      <c r="F1137" s="256" t="s">
        <v>565</v>
      </c>
      <c r="G1137" s="256" t="s">
        <v>8140</v>
      </c>
    </row>
    <row r="1138" spans="1:7" ht="30" customHeight="1" x14ac:dyDescent="0.2">
      <c r="A1138" s="254">
        <v>3053</v>
      </c>
      <c r="B1138" s="255" t="s">
        <v>6879</v>
      </c>
      <c r="C1138" s="255" t="s">
        <v>6893</v>
      </c>
      <c r="D1138" s="255" t="s">
        <v>8168</v>
      </c>
      <c r="E1138" s="255" t="s">
        <v>6894</v>
      </c>
      <c r="F1138" s="256" t="s">
        <v>565</v>
      </c>
      <c r="G1138" s="256" t="s">
        <v>8140</v>
      </c>
    </row>
    <row r="1139" spans="1:7" ht="30" customHeight="1" x14ac:dyDescent="0.2">
      <c r="A1139" s="316">
        <v>3054</v>
      </c>
      <c r="B1139" s="255" t="s">
        <v>6879</v>
      </c>
      <c r="C1139" s="255" t="s">
        <v>6895</v>
      </c>
      <c r="D1139" s="255" t="s">
        <v>8169</v>
      </c>
      <c r="E1139" s="255" t="s">
        <v>6896</v>
      </c>
      <c r="F1139" s="256" t="s">
        <v>565</v>
      </c>
      <c r="G1139" s="256" t="s">
        <v>8140</v>
      </c>
    </row>
    <row r="1140" spans="1:7" ht="30" customHeight="1" x14ac:dyDescent="0.2">
      <c r="A1140" s="316">
        <v>3055</v>
      </c>
      <c r="B1140" s="255" t="s">
        <v>6879</v>
      </c>
      <c r="C1140" s="255" t="s">
        <v>6897</v>
      </c>
      <c r="D1140" s="255" t="s">
        <v>8170</v>
      </c>
      <c r="E1140" s="255" t="s">
        <v>6898</v>
      </c>
      <c r="F1140" s="256" t="s">
        <v>565</v>
      </c>
      <c r="G1140" s="256" t="s">
        <v>8140</v>
      </c>
    </row>
    <row r="1141" spans="1:7" ht="30" customHeight="1" x14ac:dyDescent="0.2">
      <c r="A1141" s="254">
        <v>3056</v>
      </c>
      <c r="B1141" s="255" t="s">
        <v>6879</v>
      </c>
      <c r="C1141" s="255" t="s">
        <v>6899</v>
      </c>
      <c r="D1141" s="255" t="s">
        <v>8171</v>
      </c>
      <c r="E1141" s="255" t="s">
        <v>6900</v>
      </c>
      <c r="F1141" s="256" t="s">
        <v>565</v>
      </c>
      <c r="G1141" s="256" t="s">
        <v>8140</v>
      </c>
    </row>
    <row r="1142" spans="1:7" ht="30" customHeight="1" x14ac:dyDescent="0.2">
      <c r="A1142" s="316">
        <v>3057</v>
      </c>
      <c r="B1142" s="255" t="s">
        <v>6879</v>
      </c>
      <c r="C1142" s="255" t="s">
        <v>6901</v>
      </c>
      <c r="D1142" s="255" t="s">
        <v>8170</v>
      </c>
      <c r="E1142" s="255" t="s">
        <v>6900</v>
      </c>
      <c r="F1142" s="256" t="s">
        <v>565</v>
      </c>
      <c r="G1142" s="256" t="s">
        <v>8140</v>
      </c>
    </row>
    <row r="1143" spans="1:7" ht="30" customHeight="1" x14ac:dyDescent="0.2">
      <c r="A1143" s="316">
        <v>3058</v>
      </c>
      <c r="B1143" s="255" t="s">
        <v>6902</v>
      </c>
      <c r="C1143" s="255" t="s">
        <v>6903</v>
      </c>
      <c r="D1143" s="253" t="s">
        <v>8172</v>
      </c>
      <c r="E1143" s="255" t="s">
        <v>6904</v>
      </c>
      <c r="F1143" s="256" t="s">
        <v>565</v>
      </c>
      <c r="G1143" s="256" t="s">
        <v>8140</v>
      </c>
    </row>
    <row r="1144" spans="1:7" ht="30" customHeight="1" x14ac:dyDescent="0.2">
      <c r="A1144" s="254">
        <v>3059</v>
      </c>
      <c r="B1144" s="255" t="s">
        <v>6902</v>
      </c>
      <c r="C1144" s="255" t="s">
        <v>6905</v>
      </c>
      <c r="D1144" s="253" t="s">
        <v>8173</v>
      </c>
      <c r="E1144" s="255" t="s">
        <v>6906</v>
      </c>
      <c r="F1144" s="256" t="s">
        <v>565</v>
      </c>
      <c r="G1144" s="256" t="s">
        <v>8140</v>
      </c>
    </row>
    <row r="1145" spans="1:7" ht="30" customHeight="1" x14ac:dyDescent="0.2">
      <c r="A1145" s="316">
        <v>3060</v>
      </c>
      <c r="B1145" s="255" t="s">
        <v>6902</v>
      </c>
      <c r="C1145" s="255" t="s">
        <v>6907</v>
      </c>
      <c r="D1145" s="349" t="s">
        <v>8174</v>
      </c>
      <c r="E1145" s="255" t="s">
        <v>6906</v>
      </c>
      <c r="F1145" s="256" t="s">
        <v>565</v>
      </c>
      <c r="G1145" s="256" t="s">
        <v>8140</v>
      </c>
    </row>
    <row r="1146" spans="1:7" ht="30" customHeight="1" x14ac:dyDescent="0.2">
      <c r="A1146" s="316">
        <v>3061</v>
      </c>
      <c r="B1146" s="255" t="s">
        <v>6902</v>
      </c>
      <c r="C1146" s="255" t="s">
        <v>6908</v>
      </c>
      <c r="D1146" s="349" t="s">
        <v>9397</v>
      </c>
      <c r="E1146" s="255" t="s">
        <v>6906</v>
      </c>
      <c r="F1146" s="256" t="s">
        <v>565</v>
      </c>
      <c r="G1146" s="256" t="s">
        <v>8971</v>
      </c>
    </row>
    <row r="1147" spans="1:7" ht="30" customHeight="1" x14ac:dyDescent="0.2">
      <c r="A1147" s="254">
        <v>3062</v>
      </c>
      <c r="B1147" s="255" t="s">
        <v>6902</v>
      </c>
      <c r="C1147" s="255" t="s">
        <v>6909</v>
      </c>
      <c r="D1147" s="349" t="s">
        <v>8175</v>
      </c>
      <c r="E1147" s="255" t="s">
        <v>6906</v>
      </c>
      <c r="F1147" s="256" t="s">
        <v>565</v>
      </c>
      <c r="G1147" s="256" t="s">
        <v>8140</v>
      </c>
    </row>
    <row r="1148" spans="1:7" ht="30" customHeight="1" x14ac:dyDescent="0.2">
      <c r="A1148" s="316">
        <v>3063</v>
      </c>
      <c r="B1148" s="255" t="s">
        <v>6902</v>
      </c>
      <c r="C1148" s="255" t="s">
        <v>6910</v>
      </c>
      <c r="D1148" s="349" t="s">
        <v>8176</v>
      </c>
      <c r="E1148" s="255" t="s">
        <v>6906</v>
      </c>
      <c r="F1148" s="256" t="s">
        <v>565</v>
      </c>
      <c r="G1148" s="256" t="s">
        <v>8140</v>
      </c>
    </row>
    <row r="1149" spans="1:7" ht="30" customHeight="1" x14ac:dyDescent="0.2">
      <c r="A1149" s="316">
        <v>3064</v>
      </c>
      <c r="B1149" s="255" t="s">
        <v>6902</v>
      </c>
      <c r="C1149" s="255" t="s">
        <v>6911</v>
      </c>
      <c r="D1149" s="349" t="s">
        <v>9398</v>
      </c>
      <c r="E1149" s="255" t="s">
        <v>6906</v>
      </c>
      <c r="F1149" s="256" t="s">
        <v>565</v>
      </c>
      <c r="G1149" s="256" t="s">
        <v>8971</v>
      </c>
    </row>
    <row r="1150" spans="1:7" ht="30" customHeight="1" x14ac:dyDescent="0.2">
      <c r="A1150" s="254">
        <v>3065</v>
      </c>
      <c r="B1150" s="255" t="s">
        <v>6902</v>
      </c>
      <c r="C1150" s="255" t="s">
        <v>6912</v>
      </c>
      <c r="D1150" s="349" t="s">
        <v>9399</v>
      </c>
      <c r="E1150" s="255" t="s">
        <v>6906</v>
      </c>
      <c r="F1150" s="256" t="s">
        <v>565</v>
      </c>
      <c r="G1150" s="256" t="s">
        <v>8971</v>
      </c>
    </row>
    <row r="1151" spans="1:7" ht="30" customHeight="1" x14ac:dyDescent="0.2">
      <c r="A1151" s="316">
        <v>3066</v>
      </c>
      <c r="B1151" s="255" t="s">
        <v>6902</v>
      </c>
      <c r="C1151" s="255" t="s">
        <v>6913</v>
      </c>
      <c r="D1151" s="349" t="s">
        <v>8177</v>
      </c>
      <c r="E1151" s="255" t="s">
        <v>6906</v>
      </c>
      <c r="F1151" s="256" t="s">
        <v>565</v>
      </c>
      <c r="G1151" s="256" t="s">
        <v>8140</v>
      </c>
    </row>
    <row r="1152" spans="1:7" ht="30" customHeight="1" x14ac:dyDescent="0.2">
      <c r="A1152" s="316">
        <v>3067</v>
      </c>
      <c r="B1152" s="255" t="s">
        <v>6902</v>
      </c>
      <c r="C1152" s="255" t="s">
        <v>6914</v>
      </c>
      <c r="D1152" s="349" t="s">
        <v>8178</v>
      </c>
      <c r="E1152" s="255" t="s">
        <v>6906</v>
      </c>
      <c r="F1152" s="256" t="s">
        <v>565</v>
      </c>
      <c r="G1152" s="256" t="s">
        <v>8140</v>
      </c>
    </row>
    <row r="1153" spans="1:7" ht="30" customHeight="1" x14ac:dyDescent="0.2">
      <c r="A1153" s="254">
        <v>3068</v>
      </c>
      <c r="B1153" s="255" t="s">
        <v>6902</v>
      </c>
      <c r="C1153" s="255" t="s">
        <v>6915</v>
      </c>
      <c r="D1153" s="349" t="s">
        <v>8179</v>
      </c>
      <c r="E1153" s="255" t="s">
        <v>6906</v>
      </c>
      <c r="F1153" s="256" t="s">
        <v>565</v>
      </c>
      <c r="G1153" s="256" t="s">
        <v>8140</v>
      </c>
    </row>
    <row r="1154" spans="1:7" ht="30" customHeight="1" x14ac:dyDescent="0.2">
      <c r="A1154" s="316">
        <v>3069</v>
      </c>
      <c r="B1154" s="255" t="s">
        <v>6902</v>
      </c>
      <c r="C1154" s="255" t="s">
        <v>6916</v>
      </c>
      <c r="D1154" s="349" t="s">
        <v>8180</v>
      </c>
      <c r="E1154" s="255" t="s">
        <v>6906</v>
      </c>
      <c r="F1154" s="256" t="s">
        <v>565</v>
      </c>
      <c r="G1154" s="256" t="s">
        <v>8140</v>
      </c>
    </row>
    <row r="1155" spans="1:7" ht="30" customHeight="1" x14ac:dyDescent="0.2">
      <c r="A1155" s="316">
        <v>3070</v>
      </c>
      <c r="B1155" s="255" t="s">
        <v>6902</v>
      </c>
      <c r="C1155" s="255" t="s">
        <v>6917</v>
      </c>
      <c r="D1155" s="349" t="s">
        <v>8181</v>
      </c>
      <c r="E1155" s="255" t="s">
        <v>6906</v>
      </c>
      <c r="F1155" s="256" t="s">
        <v>565</v>
      </c>
      <c r="G1155" s="256" t="s">
        <v>8140</v>
      </c>
    </row>
    <row r="1156" spans="1:7" ht="30" customHeight="1" x14ac:dyDescent="0.2">
      <c r="A1156" s="254">
        <v>3071</v>
      </c>
      <c r="B1156" s="255" t="s">
        <v>6902</v>
      </c>
      <c r="C1156" s="255" t="s">
        <v>6918</v>
      </c>
      <c r="D1156" s="349" t="s">
        <v>8182</v>
      </c>
      <c r="E1156" s="255" t="s">
        <v>6906</v>
      </c>
      <c r="F1156" s="256" t="s">
        <v>565</v>
      </c>
      <c r="G1156" s="256" t="s">
        <v>8140</v>
      </c>
    </row>
    <row r="1157" spans="1:7" ht="30" customHeight="1" x14ac:dyDescent="0.2">
      <c r="A1157" s="316">
        <v>3072</v>
      </c>
      <c r="B1157" s="255" t="s">
        <v>6902</v>
      </c>
      <c r="C1157" s="255" t="s">
        <v>6919</v>
      </c>
      <c r="D1157" s="349" t="s">
        <v>8183</v>
      </c>
      <c r="E1157" s="255" t="s">
        <v>6906</v>
      </c>
      <c r="F1157" s="256" t="s">
        <v>565</v>
      </c>
      <c r="G1157" s="256" t="s">
        <v>8140</v>
      </c>
    </row>
    <row r="1158" spans="1:7" ht="30" customHeight="1" x14ac:dyDescent="0.2">
      <c r="A1158" s="316">
        <v>3073</v>
      </c>
      <c r="B1158" s="255" t="s">
        <v>6902</v>
      </c>
      <c r="C1158" s="255" t="s">
        <v>6920</v>
      </c>
      <c r="D1158" s="349" t="s">
        <v>9400</v>
      </c>
      <c r="E1158" s="255" t="s">
        <v>6906</v>
      </c>
      <c r="F1158" s="256" t="s">
        <v>565</v>
      </c>
      <c r="G1158" s="256" t="s">
        <v>8971</v>
      </c>
    </row>
    <row r="1159" spans="1:7" ht="81" customHeight="1" x14ac:dyDescent="0.2">
      <c r="A1159" s="254">
        <v>3074</v>
      </c>
      <c r="B1159" s="255" t="s">
        <v>6902</v>
      </c>
      <c r="C1159" s="255" t="s">
        <v>6921</v>
      </c>
      <c r="D1159" s="255" t="s">
        <v>9173</v>
      </c>
      <c r="E1159" s="255" t="s">
        <v>6922</v>
      </c>
      <c r="F1159" s="256" t="s">
        <v>84</v>
      </c>
      <c r="G1159" s="256" t="s">
        <v>8020</v>
      </c>
    </row>
    <row r="1160" spans="1:7" ht="30" customHeight="1" x14ac:dyDescent="0.2">
      <c r="A1160" s="254">
        <v>3075</v>
      </c>
      <c r="B1160" s="280" t="s">
        <v>6923</v>
      </c>
      <c r="C1160" s="278" t="s">
        <v>6924</v>
      </c>
      <c r="D1160" s="255" t="s">
        <v>7388</v>
      </c>
      <c r="E1160" s="255"/>
      <c r="F1160" s="256" t="s">
        <v>74</v>
      </c>
      <c r="G1160" s="256" t="s">
        <v>7364</v>
      </c>
    </row>
    <row r="1161" spans="1:7" ht="65.25" customHeight="1" x14ac:dyDescent="0.2">
      <c r="A1161" s="319"/>
      <c r="B1161" s="243"/>
      <c r="F1161" s="241"/>
    </row>
    <row r="1162" spans="1:7" ht="65.25" customHeight="1" x14ac:dyDescent="0.2">
      <c r="A1162" s="319"/>
      <c r="B1162" s="243"/>
      <c r="F1162" s="241"/>
    </row>
    <row r="1163" spans="1:7" ht="65.25" customHeight="1" x14ac:dyDescent="0.2">
      <c r="A1163" s="386"/>
      <c r="B1163" s="243"/>
      <c r="F1163" s="241"/>
    </row>
    <row r="1164" spans="1:7" ht="65.25" customHeight="1" x14ac:dyDescent="0.2">
      <c r="A1164" s="319"/>
      <c r="B1164" s="243"/>
      <c r="F1164" s="241"/>
    </row>
    <row r="1165" spans="1:7" ht="65.25" customHeight="1" x14ac:dyDescent="0.2">
      <c r="A1165" s="319"/>
      <c r="B1165" s="243"/>
      <c r="F1165" s="241"/>
    </row>
    <row r="1166" spans="1:7" ht="65.25" customHeight="1" x14ac:dyDescent="0.2">
      <c r="A1166" s="386"/>
      <c r="B1166" s="243"/>
      <c r="F1166" s="241"/>
    </row>
    <row r="1167" spans="1:7" ht="65.25" customHeight="1" x14ac:dyDescent="0.2">
      <c r="A1167" s="319"/>
      <c r="B1167" s="243"/>
      <c r="F1167" s="241"/>
    </row>
    <row r="1168" spans="1:7" ht="65.25" customHeight="1" x14ac:dyDescent="0.2">
      <c r="A1168" s="319"/>
      <c r="B1168" s="243"/>
      <c r="F1168" s="241"/>
    </row>
    <row r="1169" spans="1:6" ht="65.25" customHeight="1" x14ac:dyDescent="0.2">
      <c r="A1169" s="386"/>
      <c r="B1169" s="243"/>
      <c r="F1169" s="241"/>
    </row>
    <row r="1170" spans="1:6" ht="65.25" customHeight="1" x14ac:dyDescent="0.2">
      <c r="A1170" s="319"/>
      <c r="B1170" s="243"/>
      <c r="F1170" s="241"/>
    </row>
    <row r="1171" spans="1:6" ht="65.25" customHeight="1" x14ac:dyDescent="0.2">
      <c r="A1171" s="319"/>
      <c r="B1171" s="243"/>
      <c r="F1171" s="241"/>
    </row>
    <row r="1172" spans="1:6" ht="65.25" customHeight="1" x14ac:dyDescent="0.2">
      <c r="A1172" s="386"/>
      <c r="B1172" s="243"/>
      <c r="F1172" s="241"/>
    </row>
    <row r="1173" spans="1:6" ht="65.25" customHeight="1" x14ac:dyDescent="0.2">
      <c r="A1173" s="319"/>
      <c r="B1173" s="243"/>
      <c r="F1173" s="241"/>
    </row>
    <row r="1174" spans="1:6" ht="65.25" customHeight="1" x14ac:dyDescent="0.2">
      <c r="A1174" s="319"/>
      <c r="B1174" s="243"/>
      <c r="F1174" s="241"/>
    </row>
    <row r="1175" spans="1:6" ht="65.25" customHeight="1" x14ac:dyDescent="0.2">
      <c r="A1175" s="386"/>
      <c r="B1175" s="243"/>
      <c r="F1175" s="241"/>
    </row>
    <row r="1176" spans="1:6" ht="65.25" customHeight="1" x14ac:dyDescent="0.2">
      <c r="A1176" s="319"/>
      <c r="B1176" s="243"/>
      <c r="F1176" s="241"/>
    </row>
    <row r="1177" spans="1:6" ht="65.25" customHeight="1" x14ac:dyDescent="0.2">
      <c r="A1177" s="319"/>
      <c r="B1177" s="243"/>
      <c r="F1177" s="241"/>
    </row>
    <row r="1178" spans="1:6" ht="65.25" customHeight="1" x14ac:dyDescent="0.2">
      <c r="A1178" s="386"/>
      <c r="B1178" s="243"/>
      <c r="F1178" s="241"/>
    </row>
    <row r="1179" spans="1:6" ht="65.25" customHeight="1" x14ac:dyDescent="0.2">
      <c r="A1179" s="319"/>
      <c r="B1179" s="243"/>
      <c r="F1179" s="241"/>
    </row>
    <row r="1180" spans="1:6" ht="65.25" customHeight="1" x14ac:dyDescent="0.2">
      <c r="A1180" s="319"/>
      <c r="B1180" s="243"/>
      <c r="F1180" s="241"/>
    </row>
    <row r="1181" spans="1:6" ht="65.25" customHeight="1" x14ac:dyDescent="0.2">
      <c r="A1181" s="386"/>
      <c r="B1181" s="243"/>
      <c r="F1181" s="241"/>
    </row>
    <row r="1182" spans="1:6" ht="65.25" customHeight="1" x14ac:dyDescent="0.2">
      <c r="A1182" s="319"/>
      <c r="B1182" s="243"/>
      <c r="F1182" s="241"/>
    </row>
    <row r="1183" spans="1:6" ht="65.25" customHeight="1" x14ac:dyDescent="0.2">
      <c r="A1183" s="319"/>
      <c r="B1183" s="243"/>
      <c r="F1183" s="241"/>
    </row>
    <row r="1184" spans="1:6" ht="65.25" customHeight="1" x14ac:dyDescent="0.2">
      <c r="A1184" s="386"/>
      <c r="B1184" s="243"/>
      <c r="F1184" s="241"/>
    </row>
    <row r="1185" spans="1:6" ht="65.25" customHeight="1" x14ac:dyDescent="0.2">
      <c r="A1185" s="319"/>
      <c r="B1185" s="243"/>
      <c r="F1185" s="241"/>
    </row>
    <row r="1186" spans="1:6" ht="65.25" customHeight="1" x14ac:dyDescent="0.2">
      <c r="A1186" s="319"/>
      <c r="B1186" s="243"/>
      <c r="F1186" s="241"/>
    </row>
    <row r="1187" spans="1:6" ht="65.25" customHeight="1" x14ac:dyDescent="0.2">
      <c r="A1187" s="386"/>
      <c r="B1187" s="243"/>
      <c r="F1187" s="241"/>
    </row>
    <row r="1188" spans="1:6" ht="65.25" customHeight="1" x14ac:dyDescent="0.2">
      <c r="A1188" s="319"/>
      <c r="B1188" s="243"/>
      <c r="F1188" s="241"/>
    </row>
    <row r="1189" spans="1:6" ht="65.25" customHeight="1" x14ac:dyDescent="0.2">
      <c r="A1189" s="319"/>
      <c r="B1189" s="243"/>
      <c r="F1189" s="241"/>
    </row>
    <row r="1190" spans="1:6" ht="65.25" customHeight="1" x14ac:dyDescent="0.2">
      <c r="A1190" s="386"/>
      <c r="B1190" s="243"/>
      <c r="F1190" s="241"/>
    </row>
    <row r="1191" spans="1:6" ht="65.25" customHeight="1" x14ac:dyDescent="0.2">
      <c r="A1191" s="319"/>
      <c r="B1191" s="243"/>
      <c r="F1191" s="241"/>
    </row>
    <row r="1192" spans="1:6" ht="65.25" customHeight="1" x14ac:dyDescent="0.2">
      <c r="A1192" s="319"/>
      <c r="B1192" s="243"/>
      <c r="F1192" s="241"/>
    </row>
    <row r="1193" spans="1:6" ht="65.25" customHeight="1" x14ac:dyDescent="0.2">
      <c r="A1193" s="386"/>
      <c r="B1193" s="243"/>
      <c r="F1193" s="241"/>
    </row>
    <row r="1194" spans="1:6" ht="65.25" customHeight="1" x14ac:dyDescent="0.2">
      <c r="A1194" s="319"/>
      <c r="B1194" s="243"/>
      <c r="F1194" s="241"/>
    </row>
    <row r="1195" spans="1:6" ht="65.25" customHeight="1" x14ac:dyDescent="0.2">
      <c r="A1195" s="319"/>
      <c r="B1195" s="243"/>
      <c r="F1195" s="241"/>
    </row>
    <row r="1196" spans="1:6" ht="65.25" customHeight="1" x14ac:dyDescent="0.2">
      <c r="A1196" s="386"/>
      <c r="B1196" s="243"/>
      <c r="F1196" s="241"/>
    </row>
    <row r="1197" spans="1:6" ht="65.25" customHeight="1" x14ac:dyDescent="0.2">
      <c r="A1197" s="319"/>
      <c r="B1197" s="243"/>
      <c r="F1197" s="241"/>
    </row>
    <row r="1198" spans="1:6" ht="65.25" customHeight="1" x14ac:dyDescent="0.2">
      <c r="A1198" s="319"/>
      <c r="B1198" s="243"/>
      <c r="F1198" s="241"/>
    </row>
    <row r="1199" spans="1:6" ht="65.25" customHeight="1" x14ac:dyDescent="0.2">
      <c r="A1199" s="386"/>
      <c r="B1199" s="243"/>
      <c r="F1199" s="241"/>
    </row>
    <row r="1200" spans="1:6" ht="65.25" customHeight="1" x14ac:dyDescent="0.2">
      <c r="A1200" s="319"/>
      <c r="B1200" s="243"/>
      <c r="F1200" s="241"/>
    </row>
    <row r="1201" spans="1:6" ht="65.25" customHeight="1" x14ac:dyDescent="0.2">
      <c r="A1201" s="319"/>
      <c r="B1201" s="243"/>
      <c r="F1201" s="241"/>
    </row>
    <row r="1202" spans="1:6" ht="65.25" customHeight="1" x14ac:dyDescent="0.2">
      <c r="F1202" s="241"/>
    </row>
    <row r="1203" spans="1:6" ht="65.25" customHeight="1" x14ac:dyDescent="0.2">
      <c r="F1203" s="241"/>
    </row>
    <row r="1204" spans="1:6" ht="65.25" customHeight="1" x14ac:dyDescent="0.2">
      <c r="F1204" s="241"/>
    </row>
    <row r="1205" spans="1:6" ht="65.25" customHeight="1" x14ac:dyDescent="0.2">
      <c r="F1205" s="241"/>
    </row>
    <row r="1206" spans="1:6" ht="65.25" customHeight="1" x14ac:dyDescent="0.2">
      <c r="F1206" s="241"/>
    </row>
    <row r="1207" spans="1:6" ht="65.25" customHeight="1" x14ac:dyDescent="0.2">
      <c r="F1207" s="241"/>
    </row>
    <row r="1208" spans="1:6" ht="65.25" customHeight="1" x14ac:dyDescent="0.2">
      <c r="F1208" s="241"/>
    </row>
    <row r="1209" spans="1:6" ht="65.25" customHeight="1" x14ac:dyDescent="0.2">
      <c r="F1209" s="241"/>
    </row>
    <row r="1210" spans="1:6" ht="65.25" customHeight="1" x14ac:dyDescent="0.2">
      <c r="F1210" s="241"/>
    </row>
    <row r="1211" spans="1:6" ht="65.25" customHeight="1" x14ac:dyDescent="0.2">
      <c r="F1211" s="241"/>
    </row>
    <row r="1212" spans="1:6" ht="65.25" customHeight="1" x14ac:dyDescent="0.2">
      <c r="F1212" s="241"/>
    </row>
    <row r="1213" spans="1:6" ht="65.25" customHeight="1" x14ac:dyDescent="0.2">
      <c r="F1213" s="241"/>
    </row>
    <row r="1214" spans="1:6" ht="65.25" customHeight="1" x14ac:dyDescent="0.2">
      <c r="F1214" s="241"/>
    </row>
    <row r="1215" spans="1:6" ht="65.25" customHeight="1" x14ac:dyDescent="0.2">
      <c r="F1215" s="241"/>
    </row>
    <row r="1216" spans="1:6" ht="65.25" customHeight="1" x14ac:dyDescent="0.2">
      <c r="F1216" s="241"/>
    </row>
    <row r="1217" spans="6:6" ht="65.25" customHeight="1" x14ac:dyDescent="0.2">
      <c r="F1217" s="241"/>
    </row>
    <row r="1218" spans="6:6" ht="65.25" customHeight="1" x14ac:dyDescent="0.2">
      <c r="F1218" s="241"/>
    </row>
    <row r="1219" spans="6:6" ht="65.25" customHeight="1" x14ac:dyDescent="0.2">
      <c r="F1219" s="241"/>
    </row>
    <row r="1220" spans="6:6" ht="65.25" customHeight="1" x14ac:dyDescent="0.2">
      <c r="F1220" s="241"/>
    </row>
    <row r="1221" spans="6:6" ht="65.25" customHeight="1" x14ac:dyDescent="0.2">
      <c r="F1221" s="241"/>
    </row>
    <row r="1222" spans="6:6" ht="65.25" customHeight="1" x14ac:dyDescent="0.2">
      <c r="F1222" s="241"/>
    </row>
    <row r="1223" spans="6:6" ht="65.25" customHeight="1" x14ac:dyDescent="0.2">
      <c r="F1223" s="241"/>
    </row>
    <row r="1224" spans="6:6" ht="65.25" customHeight="1" x14ac:dyDescent="0.2">
      <c r="F1224" s="241"/>
    </row>
    <row r="1225" spans="6:6" ht="65.25" customHeight="1" x14ac:dyDescent="0.2">
      <c r="F1225" s="241"/>
    </row>
    <row r="1226" spans="6:6" ht="65.25" customHeight="1" x14ac:dyDescent="0.2">
      <c r="F1226" s="241"/>
    </row>
    <row r="1227" spans="6:6" ht="65.25" customHeight="1" x14ac:dyDescent="0.2">
      <c r="F1227" s="241"/>
    </row>
    <row r="1228" spans="6:6" ht="65.25" customHeight="1" x14ac:dyDescent="0.2">
      <c r="F1228" s="241"/>
    </row>
    <row r="1229" spans="6:6" ht="65.25" customHeight="1" x14ac:dyDescent="0.2">
      <c r="F1229" s="241"/>
    </row>
    <row r="1230" spans="6:6" ht="65.25" customHeight="1" x14ac:dyDescent="0.2">
      <c r="F1230" s="241"/>
    </row>
    <row r="1231" spans="6:6" ht="65.25" customHeight="1" x14ac:dyDescent="0.2">
      <c r="F1231" s="241"/>
    </row>
    <row r="1232" spans="6:6" ht="65.25" customHeight="1" x14ac:dyDescent="0.2">
      <c r="F1232" s="241"/>
    </row>
    <row r="1233" spans="6:6" ht="65.25" customHeight="1" x14ac:dyDescent="0.2">
      <c r="F1233" s="241"/>
    </row>
    <row r="1234" spans="6:6" ht="65.25" customHeight="1" x14ac:dyDescent="0.2">
      <c r="F1234" s="241"/>
    </row>
    <row r="1235" spans="6:6" ht="65.25" customHeight="1" x14ac:dyDescent="0.2">
      <c r="F1235" s="241"/>
    </row>
    <row r="1236" spans="6:6" ht="65.25" customHeight="1" x14ac:dyDescent="0.2">
      <c r="F1236" s="241"/>
    </row>
    <row r="1237" spans="6:6" ht="65.25" customHeight="1" x14ac:dyDescent="0.2">
      <c r="F1237" s="241"/>
    </row>
    <row r="1238" spans="6:6" ht="65.25" customHeight="1" x14ac:dyDescent="0.2">
      <c r="F1238" s="241"/>
    </row>
    <row r="1239" spans="6:6" ht="65.25" customHeight="1" x14ac:dyDescent="0.2">
      <c r="F1239" s="241"/>
    </row>
    <row r="1240" spans="6:6" ht="65.25" customHeight="1" x14ac:dyDescent="0.2">
      <c r="F1240" s="241"/>
    </row>
    <row r="1241" spans="6:6" ht="65.25" customHeight="1" x14ac:dyDescent="0.2">
      <c r="F1241" s="241"/>
    </row>
    <row r="1242" spans="6:6" ht="65.25" customHeight="1" x14ac:dyDescent="0.2">
      <c r="F1242" s="241"/>
    </row>
    <row r="1243" spans="6:6" ht="65.25" customHeight="1" x14ac:dyDescent="0.2">
      <c r="F1243" s="241"/>
    </row>
    <row r="1244" spans="6:6" ht="65.25" customHeight="1" x14ac:dyDescent="0.2">
      <c r="F1244" s="241"/>
    </row>
    <row r="1245" spans="6:6" ht="65.25" customHeight="1" x14ac:dyDescent="0.2">
      <c r="F1245" s="241"/>
    </row>
    <row r="1246" spans="6:6" ht="65.25" customHeight="1" x14ac:dyDescent="0.2">
      <c r="F1246" s="241"/>
    </row>
    <row r="1247" spans="6:6" ht="65.25" customHeight="1" x14ac:dyDescent="0.2">
      <c r="F1247" s="241"/>
    </row>
    <row r="1248" spans="6:6" ht="65.25" customHeight="1" x14ac:dyDescent="0.2">
      <c r="F1248" s="241"/>
    </row>
    <row r="1249" spans="6:6" ht="65.25" customHeight="1" x14ac:dyDescent="0.2">
      <c r="F1249" s="241"/>
    </row>
    <row r="1250" spans="6:6" ht="65.25" customHeight="1" x14ac:dyDescent="0.2">
      <c r="F1250" s="241"/>
    </row>
    <row r="1251" spans="6:6" ht="65.25" customHeight="1" x14ac:dyDescent="0.2">
      <c r="F1251" s="241"/>
    </row>
    <row r="1252" spans="6:6" ht="65.25" customHeight="1" x14ac:dyDescent="0.2">
      <c r="F1252" s="241"/>
    </row>
    <row r="1253" spans="6:6" ht="65.25" customHeight="1" x14ac:dyDescent="0.2">
      <c r="F1253" s="241"/>
    </row>
    <row r="1254" spans="6:6" ht="65.25" customHeight="1" x14ac:dyDescent="0.2">
      <c r="F1254" s="241"/>
    </row>
    <row r="1255" spans="6:6" ht="65.25" customHeight="1" x14ac:dyDescent="0.2">
      <c r="F1255" s="241"/>
    </row>
    <row r="1256" spans="6:6" ht="65.25" customHeight="1" x14ac:dyDescent="0.2">
      <c r="F1256" s="241"/>
    </row>
    <row r="1257" spans="6:6" ht="65.25" customHeight="1" x14ac:dyDescent="0.2">
      <c r="F1257" s="241"/>
    </row>
    <row r="1258" spans="6:6" ht="65.25" customHeight="1" x14ac:dyDescent="0.2">
      <c r="F1258" s="241"/>
    </row>
    <row r="1259" spans="6:6" ht="65.25" customHeight="1" x14ac:dyDescent="0.2">
      <c r="F1259" s="241"/>
    </row>
  </sheetData>
  <autoFilter ref="A16:G1160" xr:uid="{00000000-0009-0000-0000-000003000000}"/>
  <mergeCells count="495">
    <mergeCell ref="E1026:E1027"/>
    <mergeCell ref="G746:G758"/>
    <mergeCell ref="A759:A783"/>
    <mergeCell ref="B759:B783"/>
    <mergeCell ref="D759:D783"/>
    <mergeCell ref="E759:E783"/>
    <mergeCell ref="F759:F783"/>
    <mergeCell ref="G759:G783"/>
    <mergeCell ref="A746:A758"/>
    <mergeCell ref="B746:B758"/>
    <mergeCell ref="D746:D758"/>
    <mergeCell ref="E746:E758"/>
    <mergeCell ref="F746:F758"/>
    <mergeCell ref="G740:G741"/>
    <mergeCell ref="A742:A743"/>
    <mergeCell ref="B742:B743"/>
    <mergeCell ref="D742:D743"/>
    <mergeCell ref="E742:E743"/>
    <mergeCell ref="F742:F743"/>
    <mergeCell ref="G742:G743"/>
    <mergeCell ref="A740:A741"/>
    <mergeCell ref="B740:B741"/>
    <mergeCell ref="D740:D741"/>
    <mergeCell ref="E740:E741"/>
    <mergeCell ref="F740:F741"/>
    <mergeCell ref="G736:G737"/>
    <mergeCell ref="A738:A739"/>
    <mergeCell ref="B738:B739"/>
    <mergeCell ref="D738:D739"/>
    <mergeCell ref="E738:E739"/>
    <mergeCell ref="F738:F739"/>
    <mergeCell ref="G738:G739"/>
    <mergeCell ref="A736:A737"/>
    <mergeCell ref="B736:B737"/>
    <mergeCell ref="D736:D737"/>
    <mergeCell ref="E736:E737"/>
    <mergeCell ref="F736:F737"/>
    <mergeCell ref="G717:G726"/>
    <mergeCell ref="A728:A729"/>
    <mergeCell ref="D728:D729"/>
    <mergeCell ref="E728:E729"/>
    <mergeCell ref="F728:F729"/>
    <mergeCell ref="G728:G729"/>
    <mergeCell ref="A717:A726"/>
    <mergeCell ref="B717:B726"/>
    <mergeCell ref="D717:D726"/>
    <mergeCell ref="E717:E726"/>
    <mergeCell ref="F717:F726"/>
    <mergeCell ref="G704:G713"/>
    <mergeCell ref="A714:A716"/>
    <mergeCell ref="B714:B716"/>
    <mergeCell ref="D714:D716"/>
    <mergeCell ref="E714:E716"/>
    <mergeCell ref="F714:F716"/>
    <mergeCell ref="G714:G716"/>
    <mergeCell ref="A704:A713"/>
    <mergeCell ref="B704:B713"/>
    <mergeCell ref="D704:D713"/>
    <mergeCell ref="E704:E713"/>
    <mergeCell ref="F704:F713"/>
    <mergeCell ref="G693:G698"/>
    <mergeCell ref="A699:A703"/>
    <mergeCell ref="B699:B703"/>
    <mergeCell ref="D699:D703"/>
    <mergeCell ref="E699:E703"/>
    <mergeCell ref="F699:F703"/>
    <mergeCell ref="G699:G703"/>
    <mergeCell ref="A693:A698"/>
    <mergeCell ref="B693:B698"/>
    <mergeCell ref="D693:D698"/>
    <mergeCell ref="E693:E698"/>
    <mergeCell ref="F693:F698"/>
    <mergeCell ref="G685:G688"/>
    <mergeCell ref="A689:A692"/>
    <mergeCell ref="B689:B692"/>
    <mergeCell ref="D689:D692"/>
    <mergeCell ref="E689:E692"/>
    <mergeCell ref="F689:F692"/>
    <mergeCell ref="G689:G692"/>
    <mergeCell ref="A685:A688"/>
    <mergeCell ref="B685:B688"/>
    <mergeCell ref="D685:D688"/>
    <mergeCell ref="E685:E688"/>
    <mergeCell ref="F685:F688"/>
    <mergeCell ref="G677:G679"/>
    <mergeCell ref="A680:A684"/>
    <mergeCell ref="B680:B684"/>
    <mergeCell ref="D680:D684"/>
    <mergeCell ref="E680:E684"/>
    <mergeCell ref="F680:F684"/>
    <mergeCell ref="G680:G684"/>
    <mergeCell ref="A677:A679"/>
    <mergeCell ref="B677:B679"/>
    <mergeCell ref="D677:D679"/>
    <mergeCell ref="E677:E679"/>
    <mergeCell ref="F677:F679"/>
    <mergeCell ref="G627:G629"/>
    <mergeCell ref="A674:A676"/>
    <mergeCell ref="B674:B676"/>
    <mergeCell ref="D674:D676"/>
    <mergeCell ref="E674:E676"/>
    <mergeCell ref="F674:F676"/>
    <mergeCell ref="G674:G676"/>
    <mergeCell ref="A627:A629"/>
    <mergeCell ref="B627:B629"/>
    <mergeCell ref="D627:D629"/>
    <mergeCell ref="E627:E629"/>
    <mergeCell ref="F627:F629"/>
    <mergeCell ref="G566:G567"/>
    <mergeCell ref="A570:A571"/>
    <mergeCell ref="B570:B571"/>
    <mergeCell ref="D570:D571"/>
    <mergeCell ref="E570:E571"/>
    <mergeCell ref="F570:F571"/>
    <mergeCell ref="G570:G571"/>
    <mergeCell ref="A566:A567"/>
    <mergeCell ref="B566:B567"/>
    <mergeCell ref="D566:D567"/>
    <mergeCell ref="E566:E567"/>
    <mergeCell ref="F566:F567"/>
    <mergeCell ref="G562:G563"/>
    <mergeCell ref="A564:A565"/>
    <mergeCell ref="B564:B565"/>
    <mergeCell ref="D564:D565"/>
    <mergeCell ref="E564:E565"/>
    <mergeCell ref="F564:F565"/>
    <mergeCell ref="G564:G565"/>
    <mergeCell ref="A562:A563"/>
    <mergeCell ref="B562:B563"/>
    <mergeCell ref="D562:D563"/>
    <mergeCell ref="E562:E563"/>
    <mergeCell ref="F562:F563"/>
    <mergeCell ref="A556:A557"/>
    <mergeCell ref="B556:B557"/>
    <mergeCell ref="D556:D557"/>
    <mergeCell ref="E556:E557"/>
    <mergeCell ref="F556:F557"/>
    <mergeCell ref="G556:G557"/>
    <mergeCell ref="A551:A552"/>
    <mergeCell ref="B551:B552"/>
    <mergeCell ref="D551:D552"/>
    <mergeCell ref="E551:E552"/>
    <mergeCell ref="F551:F552"/>
    <mergeCell ref="A549:A550"/>
    <mergeCell ref="B549:B550"/>
    <mergeCell ref="D549:D550"/>
    <mergeCell ref="E549:E550"/>
    <mergeCell ref="F549:F550"/>
    <mergeCell ref="G549:G550"/>
    <mergeCell ref="G551:G552"/>
    <mergeCell ref="G536:G537"/>
    <mergeCell ref="A538:A539"/>
    <mergeCell ref="B538:B539"/>
    <mergeCell ref="C538:C539"/>
    <mergeCell ref="D538:D539"/>
    <mergeCell ref="E538:E539"/>
    <mergeCell ref="F538:F539"/>
    <mergeCell ref="A536:A537"/>
    <mergeCell ref="B536:B537"/>
    <mergeCell ref="C536:C537"/>
    <mergeCell ref="D536:D537"/>
    <mergeCell ref="E536:E537"/>
    <mergeCell ref="F536:F537"/>
    <mergeCell ref="G538:G539"/>
    <mergeCell ref="A534:A535"/>
    <mergeCell ref="B534:B535"/>
    <mergeCell ref="C534:C535"/>
    <mergeCell ref="D534:D535"/>
    <mergeCell ref="E534:E535"/>
    <mergeCell ref="F534:F535"/>
    <mergeCell ref="G534:G535"/>
    <mergeCell ref="A532:A533"/>
    <mergeCell ref="B532:B533"/>
    <mergeCell ref="C532:C533"/>
    <mergeCell ref="D532:D533"/>
    <mergeCell ref="E532:E533"/>
    <mergeCell ref="F532:F533"/>
    <mergeCell ref="G532:G533"/>
    <mergeCell ref="G528:G529"/>
    <mergeCell ref="A530:A531"/>
    <mergeCell ref="B530:B531"/>
    <mergeCell ref="C530:C531"/>
    <mergeCell ref="D530:D531"/>
    <mergeCell ref="E530:E531"/>
    <mergeCell ref="F530:F531"/>
    <mergeCell ref="A528:A529"/>
    <mergeCell ref="B528:B529"/>
    <mergeCell ref="C528:C529"/>
    <mergeCell ref="D528:D529"/>
    <mergeCell ref="E528:E529"/>
    <mergeCell ref="F528:F529"/>
    <mergeCell ref="G530:G531"/>
    <mergeCell ref="A526:A527"/>
    <mergeCell ref="B526:B527"/>
    <mergeCell ref="C526:C527"/>
    <mergeCell ref="D526:D527"/>
    <mergeCell ref="E526:E527"/>
    <mergeCell ref="F526:F527"/>
    <mergeCell ref="G526:G527"/>
    <mergeCell ref="G522:G523"/>
    <mergeCell ref="A524:A525"/>
    <mergeCell ref="B524:B525"/>
    <mergeCell ref="C524:C525"/>
    <mergeCell ref="D524:D525"/>
    <mergeCell ref="E524:E525"/>
    <mergeCell ref="F524:F525"/>
    <mergeCell ref="A522:A523"/>
    <mergeCell ref="B522:B523"/>
    <mergeCell ref="D522:D523"/>
    <mergeCell ref="E522:E523"/>
    <mergeCell ref="F522:F523"/>
    <mergeCell ref="G524:G525"/>
    <mergeCell ref="G509:G512"/>
    <mergeCell ref="A513:A514"/>
    <mergeCell ref="B513:B514"/>
    <mergeCell ref="C513:C514"/>
    <mergeCell ref="D513:D514"/>
    <mergeCell ref="F513:F514"/>
    <mergeCell ref="G513:G514"/>
    <mergeCell ref="A509:A512"/>
    <mergeCell ref="B509:B512"/>
    <mergeCell ref="D509:D512"/>
    <mergeCell ref="F509:F512"/>
    <mergeCell ref="G483:G484"/>
    <mergeCell ref="A486:A494"/>
    <mergeCell ref="B486:B494"/>
    <mergeCell ref="D486:D494"/>
    <mergeCell ref="E486:E494"/>
    <mergeCell ref="F486:F494"/>
    <mergeCell ref="G486:G494"/>
    <mergeCell ref="A483:A484"/>
    <mergeCell ref="B483:B484"/>
    <mergeCell ref="D483:D484"/>
    <mergeCell ref="E483:E484"/>
    <mergeCell ref="F483:F484"/>
    <mergeCell ref="G473:G474"/>
    <mergeCell ref="A475:A476"/>
    <mergeCell ref="B475:B476"/>
    <mergeCell ref="D475:D476"/>
    <mergeCell ref="E475:E476"/>
    <mergeCell ref="F475:F476"/>
    <mergeCell ref="G475:G476"/>
    <mergeCell ref="A473:A474"/>
    <mergeCell ref="B473:B474"/>
    <mergeCell ref="D473:D474"/>
    <mergeCell ref="E473:E474"/>
    <mergeCell ref="F473:F474"/>
    <mergeCell ref="G445:G447"/>
    <mergeCell ref="G451:G453"/>
    <mergeCell ref="G466:G470"/>
    <mergeCell ref="A471:A472"/>
    <mergeCell ref="B471:B472"/>
    <mergeCell ref="D471:D472"/>
    <mergeCell ref="E471:E472"/>
    <mergeCell ref="F471:F472"/>
    <mergeCell ref="G471:G472"/>
    <mergeCell ref="A466:A470"/>
    <mergeCell ref="B466:B470"/>
    <mergeCell ref="D466:D470"/>
    <mergeCell ref="E466:E470"/>
    <mergeCell ref="F466:F470"/>
    <mergeCell ref="G455:G461"/>
    <mergeCell ref="A464:A465"/>
    <mergeCell ref="B464:B465"/>
    <mergeCell ref="D464:D465"/>
    <mergeCell ref="E464:E465"/>
    <mergeCell ref="F464:F465"/>
    <mergeCell ref="G464:G465"/>
    <mergeCell ref="A455:A461"/>
    <mergeCell ref="B455:B461"/>
    <mergeCell ref="D455:D461"/>
    <mergeCell ref="E455:E461"/>
    <mergeCell ref="F455:F461"/>
    <mergeCell ref="A441:A444"/>
    <mergeCell ref="B441:B444"/>
    <mergeCell ref="C441:C444"/>
    <mergeCell ref="D441:D444"/>
    <mergeCell ref="E441:E444"/>
    <mergeCell ref="F441:F444"/>
    <mergeCell ref="G441:G444"/>
    <mergeCell ref="A451:A453"/>
    <mergeCell ref="B451:B453"/>
    <mergeCell ref="C451:C453"/>
    <mergeCell ref="D451:D453"/>
    <mergeCell ref="E451:E453"/>
    <mergeCell ref="F451:F453"/>
    <mergeCell ref="A445:A447"/>
    <mergeCell ref="B445:B447"/>
    <mergeCell ref="D445:D447"/>
    <mergeCell ref="E445:E447"/>
    <mergeCell ref="F445:F447"/>
    <mergeCell ref="G432:G438"/>
    <mergeCell ref="A439:A440"/>
    <mergeCell ref="B439:B440"/>
    <mergeCell ref="C439:C440"/>
    <mergeCell ref="D439:D440"/>
    <mergeCell ref="E439:E440"/>
    <mergeCell ref="F439:F440"/>
    <mergeCell ref="A432:A438"/>
    <mergeCell ref="B432:B438"/>
    <mergeCell ref="C432:C438"/>
    <mergeCell ref="D432:D438"/>
    <mergeCell ref="E432:E438"/>
    <mergeCell ref="F432:F438"/>
    <mergeCell ref="G439:G440"/>
    <mergeCell ref="A424:A431"/>
    <mergeCell ref="B424:B431"/>
    <mergeCell ref="C424:C431"/>
    <mergeCell ref="D424:D431"/>
    <mergeCell ref="E424:E431"/>
    <mergeCell ref="F424:F431"/>
    <mergeCell ref="G424:G431"/>
    <mergeCell ref="A422:A423"/>
    <mergeCell ref="B422:B423"/>
    <mergeCell ref="C422:C423"/>
    <mergeCell ref="D422:D423"/>
    <mergeCell ref="E422:E423"/>
    <mergeCell ref="F422:F423"/>
    <mergeCell ref="G422:G423"/>
    <mergeCell ref="G412:G413"/>
    <mergeCell ref="A420:A421"/>
    <mergeCell ref="B420:B421"/>
    <mergeCell ref="C420:C421"/>
    <mergeCell ref="D420:D421"/>
    <mergeCell ref="E420:E421"/>
    <mergeCell ref="F420:F421"/>
    <mergeCell ref="A412:A413"/>
    <mergeCell ref="B412:B413"/>
    <mergeCell ref="C412:C413"/>
    <mergeCell ref="D412:D413"/>
    <mergeCell ref="E412:E413"/>
    <mergeCell ref="F412:F413"/>
    <mergeCell ref="G420:G421"/>
    <mergeCell ref="G382:G383"/>
    <mergeCell ref="A404:A405"/>
    <mergeCell ref="B404:B405"/>
    <mergeCell ref="D404:D405"/>
    <mergeCell ref="E404:E405"/>
    <mergeCell ref="A382:A383"/>
    <mergeCell ref="B382:B383"/>
    <mergeCell ref="C382:C383"/>
    <mergeCell ref="D382:D383"/>
    <mergeCell ref="E382:E383"/>
    <mergeCell ref="F382:F383"/>
    <mergeCell ref="F404:F405"/>
    <mergeCell ref="G404:G405"/>
    <mergeCell ref="A374:A380"/>
    <mergeCell ref="B374:B380"/>
    <mergeCell ref="C374:C380"/>
    <mergeCell ref="D374:D380"/>
    <mergeCell ref="E374:E380"/>
    <mergeCell ref="F374:F380"/>
    <mergeCell ref="G374:G380"/>
    <mergeCell ref="A369:A372"/>
    <mergeCell ref="B369:B372"/>
    <mergeCell ref="C369:C372"/>
    <mergeCell ref="D369:D372"/>
    <mergeCell ref="E369:E372"/>
    <mergeCell ref="F369:F372"/>
    <mergeCell ref="G369:G372"/>
    <mergeCell ref="G363:G364"/>
    <mergeCell ref="A365:A367"/>
    <mergeCell ref="B365:B367"/>
    <mergeCell ref="C365:C367"/>
    <mergeCell ref="D365:D367"/>
    <mergeCell ref="E365:E367"/>
    <mergeCell ref="F365:F367"/>
    <mergeCell ref="A363:A364"/>
    <mergeCell ref="B363:B364"/>
    <mergeCell ref="C363:C364"/>
    <mergeCell ref="D363:D364"/>
    <mergeCell ref="E363:E364"/>
    <mergeCell ref="F363:F364"/>
    <mergeCell ref="G365:G367"/>
    <mergeCell ref="A361:A362"/>
    <mergeCell ref="B361:B362"/>
    <mergeCell ref="C361:C362"/>
    <mergeCell ref="D361:D362"/>
    <mergeCell ref="E361:E362"/>
    <mergeCell ref="F361:F362"/>
    <mergeCell ref="G361:G362"/>
    <mergeCell ref="G347:G348"/>
    <mergeCell ref="A356:A357"/>
    <mergeCell ref="B356:B357"/>
    <mergeCell ref="C356:C357"/>
    <mergeCell ref="D356:D357"/>
    <mergeCell ref="E356:E357"/>
    <mergeCell ref="F356:F357"/>
    <mergeCell ref="A347:A348"/>
    <mergeCell ref="B347:B348"/>
    <mergeCell ref="D347:D348"/>
    <mergeCell ref="E347:E348"/>
    <mergeCell ref="F347:F348"/>
    <mergeCell ref="G356:G357"/>
    <mergeCell ref="A345:A346"/>
    <mergeCell ref="B345:B346"/>
    <mergeCell ref="D345:D346"/>
    <mergeCell ref="E345:E346"/>
    <mergeCell ref="F345:F346"/>
    <mergeCell ref="G345:G346"/>
    <mergeCell ref="A332:A336"/>
    <mergeCell ref="B332:B336"/>
    <mergeCell ref="D332:D336"/>
    <mergeCell ref="E332:E336"/>
    <mergeCell ref="F332:F336"/>
    <mergeCell ref="A327:A331"/>
    <mergeCell ref="B327:B331"/>
    <mergeCell ref="D327:D331"/>
    <mergeCell ref="E327:E331"/>
    <mergeCell ref="F327:F331"/>
    <mergeCell ref="G327:G331"/>
    <mergeCell ref="G332:G336"/>
    <mergeCell ref="G318:G320"/>
    <mergeCell ref="A321:A322"/>
    <mergeCell ref="B321:B322"/>
    <mergeCell ref="C321:C322"/>
    <mergeCell ref="D321:D322"/>
    <mergeCell ref="E321:E322"/>
    <mergeCell ref="F321:F322"/>
    <mergeCell ref="A318:A320"/>
    <mergeCell ref="B318:B320"/>
    <mergeCell ref="C318:C320"/>
    <mergeCell ref="D318:D320"/>
    <mergeCell ref="E318:E320"/>
    <mergeCell ref="F318:F320"/>
    <mergeCell ref="G321:G322"/>
    <mergeCell ref="A314:A317"/>
    <mergeCell ref="B314:B317"/>
    <mergeCell ref="D314:D317"/>
    <mergeCell ref="E314:E317"/>
    <mergeCell ref="F314:F317"/>
    <mergeCell ref="G314:G317"/>
    <mergeCell ref="A312:A313"/>
    <mergeCell ref="B312:B313"/>
    <mergeCell ref="D312:D313"/>
    <mergeCell ref="E312:E313"/>
    <mergeCell ref="F312:F313"/>
    <mergeCell ref="A307:A311"/>
    <mergeCell ref="B307:B311"/>
    <mergeCell ref="D307:D311"/>
    <mergeCell ref="E307:E311"/>
    <mergeCell ref="F307:F311"/>
    <mergeCell ref="G307:G311"/>
    <mergeCell ref="G312:G313"/>
    <mergeCell ref="G300:G301"/>
    <mergeCell ref="A302:A305"/>
    <mergeCell ref="B302:B305"/>
    <mergeCell ref="C302:C305"/>
    <mergeCell ref="D302:D305"/>
    <mergeCell ref="E302:E305"/>
    <mergeCell ref="F302:F305"/>
    <mergeCell ref="A300:A301"/>
    <mergeCell ref="B300:B301"/>
    <mergeCell ref="C300:C301"/>
    <mergeCell ref="D300:D301"/>
    <mergeCell ref="E300:E301"/>
    <mergeCell ref="F300:F301"/>
    <mergeCell ref="G302:G305"/>
    <mergeCell ref="A296:A299"/>
    <mergeCell ref="B296:B299"/>
    <mergeCell ref="C296:C299"/>
    <mergeCell ref="D296:D299"/>
    <mergeCell ref="E296:E299"/>
    <mergeCell ref="F296:F299"/>
    <mergeCell ref="G296:G299"/>
    <mergeCell ref="A294:A295"/>
    <mergeCell ref="B294:B295"/>
    <mergeCell ref="C294:C295"/>
    <mergeCell ref="D294:D295"/>
    <mergeCell ref="E294:E295"/>
    <mergeCell ref="F294:F295"/>
    <mergeCell ref="G294:G295"/>
    <mergeCell ref="G137:G139"/>
    <mergeCell ref="A285:A291"/>
    <mergeCell ref="B285:B291"/>
    <mergeCell ref="D285:D291"/>
    <mergeCell ref="E285:E291"/>
    <mergeCell ref="F285:F291"/>
    <mergeCell ref="G285:G291"/>
    <mergeCell ref="C286:C291"/>
    <mergeCell ref="A9:F9"/>
    <mergeCell ref="B11:F11"/>
    <mergeCell ref="A12:F12"/>
    <mergeCell ref="A137:A139"/>
    <mergeCell ref="B137:B139"/>
    <mergeCell ref="D137:D139"/>
    <mergeCell ref="E137:E139"/>
    <mergeCell ref="F137:F139"/>
    <mergeCell ref="A2:F2"/>
    <mergeCell ref="A3:B5"/>
    <mergeCell ref="C3:E3"/>
    <mergeCell ref="D4:E4"/>
    <mergeCell ref="D5:E5"/>
    <mergeCell ref="A6:F6"/>
    <mergeCell ref="A13:D14"/>
  </mergeCells>
  <pageMargins left="0.7" right="0.7" top="0.75" bottom="0.75" header="0.3" footer="0.3"/>
  <pageSetup paperSize="143" scale="6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I199"/>
  <sheetViews>
    <sheetView showGridLines="0" topLeftCell="A2" zoomScale="50" zoomScaleNormal="50" workbookViewId="0">
      <selection activeCell="C10" sqref="C10:G10"/>
    </sheetView>
  </sheetViews>
  <sheetFormatPr baseColWidth="10" defaultColWidth="9.140625" defaultRowHeight="15.75" x14ac:dyDescent="0.25"/>
  <cols>
    <col min="1" max="1" width="2.28515625" style="288" customWidth="1"/>
    <col min="2" max="2" width="9.5703125" style="320" customWidth="1"/>
    <col min="3" max="3" width="11.28515625" style="289" customWidth="1"/>
    <col min="4" max="4" width="74.5703125" style="288" customWidth="1"/>
    <col min="5" max="5" width="87.28515625" style="288" customWidth="1"/>
    <col min="6" max="6" width="33.140625" style="288" customWidth="1"/>
    <col min="7" max="7" width="35.140625" style="288" customWidth="1"/>
    <col min="8" max="249" width="9.140625" style="288"/>
    <col min="250" max="250" width="50.42578125" style="288" customWidth="1"/>
    <col min="251" max="251" width="33.28515625" style="288" customWidth="1"/>
    <col min="252" max="252" width="31.42578125" style="288" customWidth="1"/>
    <col min="253" max="254" width="28.7109375" style="288" customWidth="1"/>
    <col min="255" max="255" width="35.140625" style="288" customWidth="1"/>
    <col min="256" max="256" width="28.7109375" style="288" customWidth="1"/>
    <col min="257" max="505" width="9.140625" style="288"/>
    <col min="506" max="506" width="50.42578125" style="288" customWidth="1"/>
    <col min="507" max="507" width="33.28515625" style="288" customWidth="1"/>
    <col min="508" max="508" width="31.42578125" style="288" customWidth="1"/>
    <col min="509" max="510" width="28.7109375" style="288" customWidth="1"/>
    <col min="511" max="511" width="35.140625" style="288" customWidth="1"/>
    <col min="512" max="512" width="28.7109375" style="288" customWidth="1"/>
    <col min="513" max="761" width="9.140625" style="288"/>
    <col min="762" max="762" width="50.42578125" style="288" customWidth="1"/>
    <col min="763" max="763" width="33.28515625" style="288" customWidth="1"/>
    <col min="764" max="764" width="31.42578125" style="288" customWidth="1"/>
    <col min="765" max="766" width="28.7109375" style="288" customWidth="1"/>
    <col min="767" max="767" width="35.140625" style="288" customWidth="1"/>
    <col min="768" max="768" width="28.7109375" style="288" customWidth="1"/>
    <col min="769" max="1017" width="9.140625" style="288"/>
    <col min="1018" max="1018" width="50.42578125" style="288" customWidth="1"/>
    <col min="1019" max="1019" width="33.28515625" style="288" customWidth="1"/>
    <col min="1020" max="1020" width="31.42578125" style="288" customWidth="1"/>
    <col min="1021" max="1022" width="28.7109375" style="288" customWidth="1"/>
    <col min="1023" max="1023" width="35.140625" style="288" customWidth="1"/>
    <col min="1024" max="1024" width="28.7109375" style="288" customWidth="1"/>
    <col min="1025" max="1273" width="9.140625" style="288"/>
    <col min="1274" max="1274" width="50.42578125" style="288" customWidth="1"/>
    <col min="1275" max="1275" width="33.28515625" style="288" customWidth="1"/>
    <col min="1276" max="1276" width="31.42578125" style="288" customWidth="1"/>
    <col min="1277" max="1278" width="28.7109375" style="288" customWidth="1"/>
    <col min="1279" max="1279" width="35.140625" style="288" customWidth="1"/>
    <col min="1280" max="1280" width="28.7109375" style="288" customWidth="1"/>
    <col min="1281" max="1529" width="9.140625" style="288"/>
    <col min="1530" max="1530" width="50.42578125" style="288" customWidth="1"/>
    <col min="1531" max="1531" width="33.28515625" style="288" customWidth="1"/>
    <col min="1532" max="1532" width="31.42578125" style="288" customWidth="1"/>
    <col min="1533" max="1534" width="28.7109375" style="288" customWidth="1"/>
    <col min="1535" max="1535" width="35.140625" style="288" customWidth="1"/>
    <col min="1536" max="1536" width="28.7109375" style="288" customWidth="1"/>
    <col min="1537" max="1785" width="9.140625" style="288"/>
    <col min="1786" max="1786" width="50.42578125" style="288" customWidth="1"/>
    <col min="1787" max="1787" width="33.28515625" style="288" customWidth="1"/>
    <col min="1788" max="1788" width="31.42578125" style="288" customWidth="1"/>
    <col min="1789" max="1790" width="28.7109375" style="288" customWidth="1"/>
    <col min="1791" max="1791" width="35.140625" style="288" customWidth="1"/>
    <col min="1792" max="1792" width="28.7109375" style="288" customWidth="1"/>
    <col min="1793" max="2041" width="9.140625" style="288"/>
    <col min="2042" max="2042" width="50.42578125" style="288" customWidth="1"/>
    <col min="2043" max="2043" width="33.28515625" style="288" customWidth="1"/>
    <col min="2044" max="2044" width="31.42578125" style="288" customWidth="1"/>
    <col min="2045" max="2046" width="28.7109375" style="288" customWidth="1"/>
    <col min="2047" max="2047" width="35.140625" style="288" customWidth="1"/>
    <col min="2048" max="2048" width="28.7109375" style="288" customWidth="1"/>
    <col min="2049" max="2297" width="9.140625" style="288"/>
    <col min="2298" max="2298" width="50.42578125" style="288" customWidth="1"/>
    <col min="2299" max="2299" width="33.28515625" style="288" customWidth="1"/>
    <col min="2300" max="2300" width="31.42578125" style="288" customWidth="1"/>
    <col min="2301" max="2302" width="28.7109375" style="288" customWidth="1"/>
    <col min="2303" max="2303" width="35.140625" style="288" customWidth="1"/>
    <col min="2304" max="2304" width="28.7109375" style="288" customWidth="1"/>
    <col min="2305" max="2553" width="9.140625" style="288"/>
    <col min="2554" max="2554" width="50.42578125" style="288" customWidth="1"/>
    <col min="2555" max="2555" width="33.28515625" style="288" customWidth="1"/>
    <col min="2556" max="2556" width="31.42578125" style="288" customWidth="1"/>
    <col min="2557" max="2558" width="28.7109375" style="288" customWidth="1"/>
    <col min="2559" max="2559" width="35.140625" style="288" customWidth="1"/>
    <col min="2560" max="2560" width="28.7109375" style="288" customWidth="1"/>
    <col min="2561" max="2809" width="9.140625" style="288"/>
    <col min="2810" max="2810" width="50.42578125" style="288" customWidth="1"/>
    <col min="2811" max="2811" width="33.28515625" style="288" customWidth="1"/>
    <col min="2812" max="2812" width="31.42578125" style="288" customWidth="1"/>
    <col min="2813" max="2814" width="28.7109375" style="288" customWidth="1"/>
    <col min="2815" max="2815" width="35.140625" style="288" customWidth="1"/>
    <col min="2816" max="2816" width="28.7109375" style="288" customWidth="1"/>
    <col min="2817" max="3065" width="9.140625" style="288"/>
    <col min="3066" max="3066" width="50.42578125" style="288" customWidth="1"/>
    <col min="3067" max="3067" width="33.28515625" style="288" customWidth="1"/>
    <col min="3068" max="3068" width="31.42578125" style="288" customWidth="1"/>
    <col min="3069" max="3070" width="28.7109375" style="288" customWidth="1"/>
    <col min="3071" max="3071" width="35.140625" style="288" customWidth="1"/>
    <col min="3072" max="3072" width="28.7109375" style="288" customWidth="1"/>
    <col min="3073" max="3321" width="9.140625" style="288"/>
    <col min="3322" max="3322" width="50.42578125" style="288" customWidth="1"/>
    <col min="3323" max="3323" width="33.28515625" style="288" customWidth="1"/>
    <col min="3324" max="3324" width="31.42578125" style="288" customWidth="1"/>
    <col min="3325" max="3326" width="28.7109375" style="288" customWidth="1"/>
    <col min="3327" max="3327" width="35.140625" style="288" customWidth="1"/>
    <col min="3328" max="3328" width="28.7109375" style="288" customWidth="1"/>
    <col min="3329" max="3577" width="9.140625" style="288"/>
    <col min="3578" max="3578" width="50.42578125" style="288" customWidth="1"/>
    <col min="3579" max="3579" width="33.28515625" style="288" customWidth="1"/>
    <col min="3580" max="3580" width="31.42578125" style="288" customWidth="1"/>
    <col min="3581" max="3582" width="28.7109375" style="288" customWidth="1"/>
    <col min="3583" max="3583" width="35.140625" style="288" customWidth="1"/>
    <col min="3584" max="3584" width="28.7109375" style="288" customWidth="1"/>
    <col min="3585" max="3833" width="9.140625" style="288"/>
    <col min="3834" max="3834" width="50.42578125" style="288" customWidth="1"/>
    <col min="3835" max="3835" width="33.28515625" style="288" customWidth="1"/>
    <col min="3836" max="3836" width="31.42578125" style="288" customWidth="1"/>
    <col min="3837" max="3838" width="28.7109375" style="288" customWidth="1"/>
    <col min="3839" max="3839" width="35.140625" style="288" customWidth="1"/>
    <col min="3840" max="3840" width="28.7109375" style="288" customWidth="1"/>
    <col min="3841" max="4089" width="9.140625" style="288"/>
    <col min="4090" max="4090" width="50.42578125" style="288" customWidth="1"/>
    <col min="4091" max="4091" width="33.28515625" style="288" customWidth="1"/>
    <col min="4092" max="4092" width="31.42578125" style="288" customWidth="1"/>
    <col min="4093" max="4094" width="28.7109375" style="288" customWidth="1"/>
    <col min="4095" max="4095" width="35.140625" style="288" customWidth="1"/>
    <col min="4096" max="4096" width="28.7109375" style="288" customWidth="1"/>
    <col min="4097" max="4345" width="9.140625" style="288"/>
    <col min="4346" max="4346" width="50.42578125" style="288" customWidth="1"/>
    <col min="4347" max="4347" width="33.28515625" style="288" customWidth="1"/>
    <col min="4348" max="4348" width="31.42578125" style="288" customWidth="1"/>
    <col min="4349" max="4350" width="28.7109375" style="288" customWidth="1"/>
    <col min="4351" max="4351" width="35.140625" style="288" customWidth="1"/>
    <col min="4352" max="4352" width="28.7109375" style="288" customWidth="1"/>
    <col min="4353" max="4601" width="9.140625" style="288"/>
    <col min="4602" max="4602" width="50.42578125" style="288" customWidth="1"/>
    <col min="4603" max="4603" width="33.28515625" style="288" customWidth="1"/>
    <col min="4604" max="4604" width="31.42578125" style="288" customWidth="1"/>
    <col min="4605" max="4606" width="28.7109375" style="288" customWidth="1"/>
    <col min="4607" max="4607" width="35.140625" style="288" customWidth="1"/>
    <col min="4608" max="4608" width="28.7109375" style="288" customWidth="1"/>
    <col min="4609" max="4857" width="9.140625" style="288"/>
    <col min="4858" max="4858" width="50.42578125" style="288" customWidth="1"/>
    <col min="4859" max="4859" width="33.28515625" style="288" customWidth="1"/>
    <col min="4860" max="4860" width="31.42578125" style="288" customWidth="1"/>
    <col min="4861" max="4862" width="28.7109375" style="288" customWidth="1"/>
    <col min="4863" max="4863" width="35.140625" style="288" customWidth="1"/>
    <col min="4864" max="4864" width="28.7109375" style="288" customWidth="1"/>
    <col min="4865" max="5113" width="9.140625" style="288"/>
    <col min="5114" max="5114" width="50.42578125" style="288" customWidth="1"/>
    <col min="5115" max="5115" width="33.28515625" style="288" customWidth="1"/>
    <col min="5116" max="5116" width="31.42578125" style="288" customWidth="1"/>
    <col min="5117" max="5118" width="28.7109375" style="288" customWidth="1"/>
    <col min="5119" max="5119" width="35.140625" style="288" customWidth="1"/>
    <col min="5120" max="5120" width="28.7109375" style="288" customWidth="1"/>
    <col min="5121" max="5369" width="9.140625" style="288"/>
    <col min="5370" max="5370" width="50.42578125" style="288" customWidth="1"/>
    <col min="5371" max="5371" width="33.28515625" style="288" customWidth="1"/>
    <col min="5372" max="5372" width="31.42578125" style="288" customWidth="1"/>
    <col min="5373" max="5374" width="28.7109375" style="288" customWidth="1"/>
    <col min="5375" max="5375" width="35.140625" style="288" customWidth="1"/>
    <col min="5376" max="5376" width="28.7109375" style="288" customWidth="1"/>
    <col min="5377" max="5625" width="9.140625" style="288"/>
    <col min="5626" max="5626" width="50.42578125" style="288" customWidth="1"/>
    <col min="5627" max="5627" width="33.28515625" style="288" customWidth="1"/>
    <col min="5628" max="5628" width="31.42578125" style="288" customWidth="1"/>
    <col min="5629" max="5630" width="28.7109375" style="288" customWidth="1"/>
    <col min="5631" max="5631" width="35.140625" style="288" customWidth="1"/>
    <col min="5632" max="5632" width="28.7109375" style="288" customWidth="1"/>
    <col min="5633" max="5881" width="9.140625" style="288"/>
    <col min="5882" max="5882" width="50.42578125" style="288" customWidth="1"/>
    <col min="5883" max="5883" width="33.28515625" style="288" customWidth="1"/>
    <col min="5884" max="5884" width="31.42578125" style="288" customWidth="1"/>
    <col min="5885" max="5886" width="28.7109375" style="288" customWidth="1"/>
    <col min="5887" max="5887" width="35.140625" style="288" customWidth="1"/>
    <col min="5888" max="5888" width="28.7109375" style="288" customWidth="1"/>
    <col min="5889" max="6137" width="9.140625" style="288"/>
    <col min="6138" max="6138" width="50.42578125" style="288" customWidth="1"/>
    <col min="6139" max="6139" width="33.28515625" style="288" customWidth="1"/>
    <col min="6140" max="6140" width="31.42578125" style="288" customWidth="1"/>
    <col min="6141" max="6142" width="28.7109375" style="288" customWidth="1"/>
    <col min="6143" max="6143" width="35.140625" style="288" customWidth="1"/>
    <col min="6144" max="6144" width="28.7109375" style="288" customWidth="1"/>
    <col min="6145" max="6393" width="9.140625" style="288"/>
    <col min="6394" max="6394" width="50.42578125" style="288" customWidth="1"/>
    <col min="6395" max="6395" width="33.28515625" style="288" customWidth="1"/>
    <col min="6396" max="6396" width="31.42578125" style="288" customWidth="1"/>
    <col min="6397" max="6398" width="28.7109375" style="288" customWidth="1"/>
    <col min="6399" max="6399" width="35.140625" style="288" customWidth="1"/>
    <col min="6400" max="6400" width="28.7109375" style="288" customWidth="1"/>
    <col min="6401" max="6649" width="9.140625" style="288"/>
    <col min="6650" max="6650" width="50.42578125" style="288" customWidth="1"/>
    <col min="6651" max="6651" width="33.28515625" style="288" customWidth="1"/>
    <col min="6652" max="6652" width="31.42578125" style="288" customWidth="1"/>
    <col min="6653" max="6654" width="28.7109375" style="288" customWidth="1"/>
    <col min="6655" max="6655" width="35.140625" style="288" customWidth="1"/>
    <col min="6656" max="6656" width="28.7109375" style="288" customWidth="1"/>
    <col min="6657" max="6905" width="9.140625" style="288"/>
    <col min="6906" max="6906" width="50.42578125" style="288" customWidth="1"/>
    <col min="6907" max="6907" width="33.28515625" style="288" customWidth="1"/>
    <col min="6908" max="6908" width="31.42578125" style="288" customWidth="1"/>
    <col min="6909" max="6910" width="28.7109375" style="288" customWidth="1"/>
    <col min="6911" max="6911" width="35.140625" style="288" customWidth="1"/>
    <col min="6912" max="6912" width="28.7109375" style="288" customWidth="1"/>
    <col min="6913" max="7161" width="9.140625" style="288"/>
    <col min="7162" max="7162" width="50.42578125" style="288" customWidth="1"/>
    <col min="7163" max="7163" width="33.28515625" style="288" customWidth="1"/>
    <col min="7164" max="7164" width="31.42578125" style="288" customWidth="1"/>
    <col min="7165" max="7166" width="28.7109375" style="288" customWidth="1"/>
    <col min="7167" max="7167" width="35.140625" style="288" customWidth="1"/>
    <col min="7168" max="7168" width="28.7109375" style="288" customWidth="1"/>
    <col min="7169" max="7417" width="9.140625" style="288"/>
    <col min="7418" max="7418" width="50.42578125" style="288" customWidth="1"/>
    <col min="7419" max="7419" width="33.28515625" style="288" customWidth="1"/>
    <col min="7420" max="7420" width="31.42578125" style="288" customWidth="1"/>
    <col min="7421" max="7422" width="28.7109375" style="288" customWidth="1"/>
    <col min="7423" max="7423" width="35.140625" style="288" customWidth="1"/>
    <col min="7424" max="7424" width="28.7109375" style="288" customWidth="1"/>
    <col min="7425" max="7673" width="9.140625" style="288"/>
    <col min="7674" max="7674" width="50.42578125" style="288" customWidth="1"/>
    <col min="7675" max="7675" width="33.28515625" style="288" customWidth="1"/>
    <col min="7676" max="7676" width="31.42578125" style="288" customWidth="1"/>
    <col min="7677" max="7678" width="28.7109375" style="288" customWidth="1"/>
    <col min="7679" max="7679" width="35.140625" style="288" customWidth="1"/>
    <col min="7680" max="7680" width="28.7109375" style="288" customWidth="1"/>
    <col min="7681" max="7929" width="9.140625" style="288"/>
    <col min="7930" max="7930" width="50.42578125" style="288" customWidth="1"/>
    <col min="7931" max="7931" width="33.28515625" style="288" customWidth="1"/>
    <col min="7932" max="7932" width="31.42578125" style="288" customWidth="1"/>
    <col min="7933" max="7934" width="28.7109375" style="288" customWidth="1"/>
    <col min="7935" max="7935" width="35.140625" style="288" customWidth="1"/>
    <col min="7936" max="7936" width="28.7109375" style="288" customWidth="1"/>
    <col min="7937" max="8185" width="9.140625" style="288"/>
    <col min="8186" max="8186" width="50.42578125" style="288" customWidth="1"/>
    <col min="8187" max="8187" width="33.28515625" style="288" customWidth="1"/>
    <col min="8188" max="8188" width="31.42578125" style="288" customWidth="1"/>
    <col min="8189" max="8190" width="28.7109375" style="288" customWidth="1"/>
    <col min="8191" max="8191" width="35.140625" style="288" customWidth="1"/>
    <col min="8192" max="8192" width="28.7109375" style="288" customWidth="1"/>
    <col min="8193" max="8441" width="9.140625" style="288"/>
    <col min="8442" max="8442" width="50.42578125" style="288" customWidth="1"/>
    <col min="8443" max="8443" width="33.28515625" style="288" customWidth="1"/>
    <col min="8444" max="8444" width="31.42578125" style="288" customWidth="1"/>
    <col min="8445" max="8446" width="28.7109375" style="288" customWidth="1"/>
    <col min="8447" max="8447" width="35.140625" style="288" customWidth="1"/>
    <col min="8448" max="8448" width="28.7109375" style="288" customWidth="1"/>
    <col min="8449" max="8697" width="9.140625" style="288"/>
    <col min="8698" max="8698" width="50.42578125" style="288" customWidth="1"/>
    <col min="8699" max="8699" width="33.28515625" style="288" customWidth="1"/>
    <col min="8700" max="8700" width="31.42578125" style="288" customWidth="1"/>
    <col min="8701" max="8702" width="28.7109375" style="288" customWidth="1"/>
    <col min="8703" max="8703" width="35.140625" style="288" customWidth="1"/>
    <col min="8704" max="8704" width="28.7109375" style="288" customWidth="1"/>
    <col min="8705" max="8953" width="9.140625" style="288"/>
    <col min="8954" max="8954" width="50.42578125" style="288" customWidth="1"/>
    <col min="8955" max="8955" width="33.28515625" style="288" customWidth="1"/>
    <col min="8956" max="8956" width="31.42578125" style="288" customWidth="1"/>
    <col min="8957" max="8958" width="28.7109375" style="288" customWidth="1"/>
    <col min="8959" max="8959" width="35.140625" style="288" customWidth="1"/>
    <col min="8960" max="8960" width="28.7109375" style="288" customWidth="1"/>
    <col min="8961" max="9209" width="9.140625" style="288"/>
    <col min="9210" max="9210" width="50.42578125" style="288" customWidth="1"/>
    <col min="9211" max="9211" width="33.28515625" style="288" customWidth="1"/>
    <col min="9212" max="9212" width="31.42578125" style="288" customWidth="1"/>
    <col min="9213" max="9214" width="28.7109375" style="288" customWidth="1"/>
    <col min="9215" max="9215" width="35.140625" style="288" customWidth="1"/>
    <col min="9216" max="9216" width="28.7109375" style="288" customWidth="1"/>
    <col min="9217" max="9465" width="9.140625" style="288"/>
    <col min="9466" max="9466" width="50.42578125" style="288" customWidth="1"/>
    <col min="9467" max="9467" width="33.28515625" style="288" customWidth="1"/>
    <col min="9468" max="9468" width="31.42578125" style="288" customWidth="1"/>
    <col min="9469" max="9470" width="28.7109375" style="288" customWidth="1"/>
    <col min="9471" max="9471" width="35.140625" style="288" customWidth="1"/>
    <col min="9472" max="9472" width="28.7109375" style="288" customWidth="1"/>
    <col min="9473" max="9721" width="9.140625" style="288"/>
    <col min="9722" max="9722" width="50.42578125" style="288" customWidth="1"/>
    <col min="9723" max="9723" width="33.28515625" style="288" customWidth="1"/>
    <col min="9724" max="9724" width="31.42578125" style="288" customWidth="1"/>
    <col min="9725" max="9726" width="28.7109375" style="288" customWidth="1"/>
    <col min="9727" max="9727" width="35.140625" style="288" customWidth="1"/>
    <col min="9728" max="9728" width="28.7109375" style="288" customWidth="1"/>
    <col min="9729" max="9977" width="9.140625" style="288"/>
    <col min="9978" max="9978" width="50.42578125" style="288" customWidth="1"/>
    <col min="9979" max="9979" width="33.28515625" style="288" customWidth="1"/>
    <col min="9980" max="9980" width="31.42578125" style="288" customWidth="1"/>
    <col min="9981" max="9982" width="28.7109375" style="288" customWidth="1"/>
    <col min="9983" max="9983" width="35.140625" style="288" customWidth="1"/>
    <col min="9984" max="9984" width="28.7109375" style="288" customWidth="1"/>
    <col min="9985" max="10233" width="9.140625" style="288"/>
    <col min="10234" max="10234" width="50.42578125" style="288" customWidth="1"/>
    <col min="10235" max="10235" width="33.28515625" style="288" customWidth="1"/>
    <col min="10236" max="10236" width="31.42578125" style="288" customWidth="1"/>
    <col min="10237" max="10238" width="28.7109375" style="288" customWidth="1"/>
    <col min="10239" max="10239" width="35.140625" style="288" customWidth="1"/>
    <col min="10240" max="10240" width="28.7109375" style="288" customWidth="1"/>
    <col min="10241" max="10489" width="9.140625" style="288"/>
    <col min="10490" max="10490" width="50.42578125" style="288" customWidth="1"/>
    <col min="10491" max="10491" width="33.28515625" style="288" customWidth="1"/>
    <col min="10492" max="10492" width="31.42578125" style="288" customWidth="1"/>
    <col min="10493" max="10494" width="28.7109375" style="288" customWidth="1"/>
    <col min="10495" max="10495" width="35.140625" style="288" customWidth="1"/>
    <col min="10496" max="10496" width="28.7109375" style="288" customWidth="1"/>
    <col min="10497" max="10745" width="9.140625" style="288"/>
    <col min="10746" max="10746" width="50.42578125" style="288" customWidth="1"/>
    <col min="10747" max="10747" width="33.28515625" style="288" customWidth="1"/>
    <col min="10748" max="10748" width="31.42578125" style="288" customWidth="1"/>
    <col min="10749" max="10750" width="28.7109375" style="288" customWidth="1"/>
    <col min="10751" max="10751" width="35.140625" style="288" customWidth="1"/>
    <col min="10752" max="10752" width="28.7109375" style="288" customWidth="1"/>
    <col min="10753" max="11001" width="9.140625" style="288"/>
    <col min="11002" max="11002" width="50.42578125" style="288" customWidth="1"/>
    <col min="11003" max="11003" width="33.28515625" style="288" customWidth="1"/>
    <col min="11004" max="11004" width="31.42578125" style="288" customWidth="1"/>
    <col min="11005" max="11006" width="28.7109375" style="288" customWidth="1"/>
    <col min="11007" max="11007" width="35.140625" style="288" customWidth="1"/>
    <col min="11008" max="11008" width="28.7109375" style="288" customWidth="1"/>
    <col min="11009" max="11257" width="9.140625" style="288"/>
    <col min="11258" max="11258" width="50.42578125" style="288" customWidth="1"/>
    <col min="11259" max="11259" width="33.28515625" style="288" customWidth="1"/>
    <col min="11260" max="11260" width="31.42578125" style="288" customWidth="1"/>
    <col min="11261" max="11262" width="28.7109375" style="288" customWidth="1"/>
    <col min="11263" max="11263" width="35.140625" style="288" customWidth="1"/>
    <col min="11264" max="11264" width="28.7109375" style="288" customWidth="1"/>
    <col min="11265" max="11513" width="9.140625" style="288"/>
    <col min="11514" max="11514" width="50.42578125" style="288" customWidth="1"/>
    <col min="11515" max="11515" width="33.28515625" style="288" customWidth="1"/>
    <col min="11516" max="11516" width="31.42578125" style="288" customWidth="1"/>
    <col min="11517" max="11518" width="28.7109375" style="288" customWidth="1"/>
    <col min="11519" max="11519" width="35.140625" style="288" customWidth="1"/>
    <col min="11520" max="11520" width="28.7109375" style="288" customWidth="1"/>
    <col min="11521" max="11769" width="9.140625" style="288"/>
    <col min="11770" max="11770" width="50.42578125" style="288" customWidth="1"/>
    <col min="11771" max="11771" width="33.28515625" style="288" customWidth="1"/>
    <col min="11772" max="11772" width="31.42578125" style="288" customWidth="1"/>
    <col min="11773" max="11774" width="28.7109375" style="288" customWidth="1"/>
    <col min="11775" max="11775" width="35.140625" style="288" customWidth="1"/>
    <col min="11776" max="11776" width="28.7109375" style="288" customWidth="1"/>
    <col min="11777" max="12025" width="9.140625" style="288"/>
    <col min="12026" max="12026" width="50.42578125" style="288" customWidth="1"/>
    <col min="12027" max="12027" width="33.28515625" style="288" customWidth="1"/>
    <col min="12028" max="12028" width="31.42578125" style="288" customWidth="1"/>
    <col min="12029" max="12030" width="28.7109375" style="288" customWidth="1"/>
    <col min="12031" max="12031" width="35.140625" style="288" customWidth="1"/>
    <col min="12032" max="12032" width="28.7109375" style="288" customWidth="1"/>
    <col min="12033" max="12281" width="9.140625" style="288"/>
    <col min="12282" max="12282" width="50.42578125" style="288" customWidth="1"/>
    <col min="12283" max="12283" width="33.28515625" style="288" customWidth="1"/>
    <col min="12284" max="12284" width="31.42578125" style="288" customWidth="1"/>
    <col min="12285" max="12286" width="28.7109375" style="288" customWidth="1"/>
    <col min="12287" max="12287" width="35.140625" style="288" customWidth="1"/>
    <col min="12288" max="12288" width="28.7109375" style="288" customWidth="1"/>
    <col min="12289" max="12537" width="9.140625" style="288"/>
    <col min="12538" max="12538" width="50.42578125" style="288" customWidth="1"/>
    <col min="12539" max="12539" width="33.28515625" style="288" customWidth="1"/>
    <col min="12540" max="12540" width="31.42578125" style="288" customWidth="1"/>
    <col min="12541" max="12542" width="28.7109375" style="288" customWidth="1"/>
    <col min="12543" max="12543" width="35.140625" style="288" customWidth="1"/>
    <col min="12544" max="12544" width="28.7109375" style="288" customWidth="1"/>
    <col min="12545" max="12793" width="9.140625" style="288"/>
    <col min="12794" max="12794" width="50.42578125" style="288" customWidth="1"/>
    <col min="12795" max="12795" width="33.28515625" style="288" customWidth="1"/>
    <col min="12796" max="12796" width="31.42578125" style="288" customWidth="1"/>
    <col min="12797" max="12798" width="28.7109375" style="288" customWidth="1"/>
    <col min="12799" max="12799" width="35.140625" style="288" customWidth="1"/>
    <col min="12800" max="12800" width="28.7109375" style="288" customWidth="1"/>
    <col min="12801" max="13049" width="9.140625" style="288"/>
    <col min="13050" max="13050" width="50.42578125" style="288" customWidth="1"/>
    <col min="13051" max="13051" width="33.28515625" style="288" customWidth="1"/>
    <col min="13052" max="13052" width="31.42578125" style="288" customWidth="1"/>
    <col min="13053" max="13054" width="28.7109375" style="288" customWidth="1"/>
    <col min="13055" max="13055" width="35.140625" style="288" customWidth="1"/>
    <col min="13056" max="13056" width="28.7109375" style="288" customWidth="1"/>
    <col min="13057" max="13305" width="9.140625" style="288"/>
    <col min="13306" max="13306" width="50.42578125" style="288" customWidth="1"/>
    <col min="13307" max="13307" width="33.28515625" style="288" customWidth="1"/>
    <col min="13308" max="13308" width="31.42578125" style="288" customWidth="1"/>
    <col min="13309" max="13310" width="28.7109375" style="288" customWidth="1"/>
    <col min="13311" max="13311" width="35.140625" style="288" customWidth="1"/>
    <col min="13312" max="13312" width="28.7109375" style="288" customWidth="1"/>
    <col min="13313" max="13561" width="9.140625" style="288"/>
    <col min="13562" max="13562" width="50.42578125" style="288" customWidth="1"/>
    <col min="13563" max="13563" width="33.28515625" style="288" customWidth="1"/>
    <col min="13564" max="13564" width="31.42578125" style="288" customWidth="1"/>
    <col min="13565" max="13566" width="28.7109375" style="288" customWidth="1"/>
    <col min="13567" max="13567" width="35.140625" style="288" customWidth="1"/>
    <col min="13568" max="13568" width="28.7109375" style="288" customWidth="1"/>
    <col min="13569" max="13817" width="9.140625" style="288"/>
    <col min="13818" max="13818" width="50.42578125" style="288" customWidth="1"/>
    <col min="13819" max="13819" width="33.28515625" style="288" customWidth="1"/>
    <col min="13820" max="13820" width="31.42578125" style="288" customWidth="1"/>
    <col min="13821" max="13822" width="28.7109375" style="288" customWidth="1"/>
    <col min="13823" max="13823" width="35.140625" style="288" customWidth="1"/>
    <col min="13824" max="13824" width="28.7109375" style="288" customWidth="1"/>
    <col min="13825" max="14073" width="9.140625" style="288"/>
    <col min="14074" max="14074" width="50.42578125" style="288" customWidth="1"/>
    <col min="14075" max="14075" width="33.28515625" style="288" customWidth="1"/>
    <col min="14076" max="14076" width="31.42578125" style="288" customWidth="1"/>
    <col min="14077" max="14078" width="28.7109375" style="288" customWidth="1"/>
    <col min="14079" max="14079" width="35.140625" style="288" customWidth="1"/>
    <col min="14080" max="14080" width="28.7109375" style="288" customWidth="1"/>
    <col min="14081" max="14329" width="9.140625" style="288"/>
    <col min="14330" max="14330" width="50.42578125" style="288" customWidth="1"/>
    <col min="14331" max="14331" width="33.28515625" style="288" customWidth="1"/>
    <col min="14332" max="14332" width="31.42578125" style="288" customWidth="1"/>
    <col min="14333" max="14334" width="28.7109375" style="288" customWidth="1"/>
    <col min="14335" max="14335" width="35.140625" style="288" customWidth="1"/>
    <col min="14336" max="14336" width="28.7109375" style="288" customWidth="1"/>
    <col min="14337" max="14585" width="9.140625" style="288"/>
    <col min="14586" max="14586" width="50.42578125" style="288" customWidth="1"/>
    <col min="14587" max="14587" width="33.28515625" style="288" customWidth="1"/>
    <col min="14588" max="14588" width="31.42578125" style="288" customWidth="1"/>
    <col min="14589" max="14590" width="28.7109375" style="288" customWidth="1"/>
    <col min="14591" max="14591" width="35.140625" style="288" customWidth="1"/>
    <col min="14592" max="14592" width="28.7109375" style="288" customWidth="1"/>
    <col min="14593" max="14841" width="9.140625" style="288"/>
    <col min="14842" max="14842" width="50.42578125" style="288" customWidth="1"/>
    <col min="14843" max="14843" width="33.28515625" style="288" customWidth="1"/>
    <col min="14844" max="14844" width="31.42578125" style="288" customWidth="1"/>
    <col min="14845" max="14846" width="28.7109375" style="288" customWidth="1"/>
    <col min="14847" max="14847" width="35.140625" style="288" customWidth="1"/>
    <col min="14848" max="14848" width="28.7109375" style="288" customWidth="1"/>
    <col min="14849" max="15097" width="9.140625" style="288"/>
    <col min="15098" max="15098" width="50.42578125" style="288" customWidth="1"/>
    <col min="15099" max="15099" width="33.28515625" style="288" customWidth="1"/>
    <col min="15100" max="15100" width="31.42578125" style="288" customWidth="1"/>
    <col min="15101" max="15102" width="28.7109375" style="288" customWidth="1"/>
    <col min="15103" max="15103" width="35.140625" style="288" customWidth="1"/>
    <col min="15104" max="15104" width="28.7109375" style="288" customWidth="1"/>
    <col min="15105" max="15353" width="9.140625" style="288"/>
    <col min="15354" max="15354" width="50.42578125" style="288" customWidth="1"/>
    <col min="15355" max="15355" width="33.28515625" style="288" customWidth="1"/>
    <col min="15356" max="15356" width="31.42578125" style="288" customWidth="1"/>
    <col min="15357" max="15358" width="28.7109375" style="288" customWidth="1"/>
    <col min="15359" max="15359" width="35.140625" style="288" customWidth="1"/>
    <col min="15360" max="15360" width="28.7109375" style="288" customWidth="1"/>
    <col min="15361" max="15609" width="9.140625" style="288"/>
    <col min="15610" max="15610" width="50.42578125" style="288" customWidth="1"/>
    <col min="15611" max="15611" width="33.28515625" style="288" customWidth="1"/>
    <col min="15612" max="15612" width="31.42578125" style="288" customWidth="1"/>
    <col min="15613" max="15614" width="28.7109375" style="288" customWidth="1"/>
    <col min="15615" max="15615" width="35.140625" style="288" customWidth="1"/>
    <col min="15616" max="15616" width="28.7109375" style="288" customWidth="1"/>
    <col min="15617" max="15865" width="9.140625" style="288"/>
    <col min="15866" max="15866" width="50.42578125" style="288" customWidth="1"/>
    <col min="15867" max="15867" width="33.28515625" style="288" customWidth="1"/>
    <col min="15868" max="15868" width="31.42578125" style="288" customWidth="1"/>
    <col min="15869" max="15870" width="28.7109375" style="288" customWidth="1"/>
    <col min="15871" max="15871" width="35.140625" style="288" customWidth="1"/>
    <col min="15872" max="15872" width="28.7109375" style="288" customWidth="1"/>
    <col min="15873" max="16121" width="9.140625" style="288"/>
    <col min="16122" max="16122" width="50.42578125" style="288" customWidth="1"/>
    <col min="16123" max="16123" width="33.28515625" style="288" customWidth="1"/>
    <col min="16124" max="16124" width="31.42578125" style="288" customWidth="1"/>
    <col min="16125" max="16126" width="28.7109375" style="288" customWidth="1"/>
    <col min="16127" max="16127" width="35.140625" style="288" customWidth="1"/>
    <col min="16128" max="16128" width="28.7109375" style="288" customWidth="1"/>
    <col min="16129" max="16384" width="9.140625" style="288"/>
  </cols>
  <sheetData>
    <row r="2" spans="2:7" x14ac:dyDescent="0.25">
      <c r="B2" s="284"/>
      <c r="C2" s="284"/>
      <c r="D2" s="284"/>
      <c r="E2" s="284"/>
      <c r="F2" s="284"/>
      <c r="G2" s="284"/>
    </row>
    <row r="3" spans="2:7" ht="37.9" customHeight="1" x14ac:dyDescent="0.25">
      <c r="B3" s="285"/>
      <c r="C3" s="285"/>
      <c r="D3" s="285" t="s">
        <v>2625</v>
      </c>
      <c r="E3" s="285"/>
      <c r="F3" s="285"/>
      <c r="G3" s="286" t="s">
        <v>9814</v>
      </c>
    </row>
    <row r="4" spans="2:7" ht="37.9" customHeight="1" x14ac:dyDescent="0.25">
      <c r="B4" s="285"/>
      <c r="C4" s="285"/>
      <c r="D4" s="286" t="s">
        <v>2626</v>
      </c>
      <c r="E4" s="287" t="s">
        <v>2627</v>
      </c>
      <c r="F4" s="287"/>
      <c r="G4" s="286" t="s">
        <v>9815</v>
      </c>
    </row>
    <row r="5" spans="2:7" ht="37.9" customHeight="1" x14ac:dyDescent="0.25">
      <c r="B5" s="285"/>
      <c r="C5" s="285"/>
      <c r="D5" s="286" t="s">
        <v>2628</v>
      </c>
      <c r="E5" s="287" t="s">
        <v>2629</v>
      </c>
      <c r="F5" s="287"/>
      <c r="G5" s="286" t="s">
        <v>9816</v>
      </c>
    </row>
    <row r="6" spans="2:7" x14ac:dyDescent="0.25">
      <c r="B6" s="284"/>
      <c r="C6" s="284"/>
      <c r="D6" s="284"/>
      <c r="E6" s="284"/>
      <c r="F6" s="284"/>
      <c r="G6" s="284"/>
    </row>
    <row r="7" spans="2:7" ht="15" customHeight="1" x14ac:dyDescent="0.25">
      <c r="B7" s="291"/>
      <c r="C7" s="291"/>
      <c r="D7" s="291"/>
      <c r="E7" s="292"/>
      <c r="F7" s="292"/>
    </row>
    <row r="8" spans="2:7" x14ac:dyDescent="0.25">
      <c r="B8" s="293" t="s">
        <v>2630</v>
      </c>
      <c r="C8" s="293"/>
      <c r="D8" s="293"/>
      <c r="E8" s="293"/>
      <c r="F8" s="293"/>
      <c r="G8" s="293"/>
    </row>
    <row r="9" spans="2:7" x14ac:dyDescent="0.25">
      <c r="B9" s="279"/>
      <c r="C9" s="279"/>
      <c r="D9" s="290"/>
      <c r="E9" s="290"/>
      <c r="F9" s="290"/>
      <c r="G9" s="290"/>
    </row>
    <row r="10" spans="2:7" ht="30" customHeight="1" x14ac:dyDescent="0.25">
      <c r="B10" s="279"/>
      <c r="C10" s="294" t="s">
        <v>10278</v>
      </c>
      <c r="D10" s="294"/>
      <c r="E10" s="294"/>
      <c r="F10" s="294"/>
      <c r="G10" s="294"/>
    </row>
    <row r="11" spans="2:7" ht="59.45" customHeight="1" x14ac:dyDescent="0.25">
      <c r="B11" s="295" t="s">
        <v>10277</v>
      </c>
      <c r="C11" s="295"/>
      <c r="D11" s="295"/>
      <c r="E11" s="295"/>
      <c r="F11" s="295"/>
      <c r="G11" s="295"/>
    </row>
    <row r="12" spans="2:7" ht="59.45" customHeight="1" x14ac:dyDescent="0.25">
      <c r="B12" s="295" t="s">
        <v>10276</v>
      </c>
      <c r="C12" s="295"/>
      <c r="D12" s="295"/>
      <c r="E12" s="295"/>
      <c r="F12" s="295"/>
      <c r="G12" s="295"/>
    </row>
    <row r="13" spans="2:7" ht="16.5" thickBot="1" x14ac:dyDescent="0.3"/>
    <row r="14" spans="2:7" ht="58.9" customHeight="1" thickTop="1" x14ac:dyDescent="0.25">
      <c r="B14" s="296" t="s">
        <v>2631</v>
      </c>
      <c r="C14" s="297" t="s">
        <v>2632</v>
      </c>
      <c r="D14" s="297" t="s">
        <v>1</v>
      </c>
      <c r="E14" s="297" t="s">
        <v>4</v>
      </c>
      <c r="F14" s="297" t="s">
        <v>2</v>
      </c>
      <c r="G14" s="297" t="s">
        <v>2633</v>
      </c>
    </row>
    <row r="15" spans="2:7" ht="30" customHeight="1" x14ac:dyDescent="0.25">
      <c r="B15" s="321">
        <v>3076</v>
      </c>
      <c r="C15" s="362" t="s">
        <v>6925</v>
      </c>
      <c r="D15" s="387" t="s">
        <v>6926</v>
      </c>
      <c r="E15" s="261" t="s">
        <v>9401</v>
      </c>
      <c r="F15" s="362" t="s">
        <v>6927</v>
      </c>
      <c r="G15" s="271" t="s">
        <v>120</v>
      </c>
    </row>
    <row r="16" spans="2:7" ht="30" customHeight="1" x14ac:dyDescent="0.25">
      <c r="B16" s="321">
        <v>3077</v>
      </c>
      <c r="C16" s="362" t="s">
        <v>6925</v>
      </c>
      <c r="D16" s="387" t="s">
        <v>6928</v>
      </c>
      <c r="E16" s="261" t="s">
        <v>9402</v>
      </c>
      <c r="F16" s="362" t="s">
        <v>6927</v>
      </c>
      <c r="G16" s="271" t="s">
        <v>120</v>
      </c>
    </row>
    <row r="17" spans="2:7" ht="30" customHeight="1" x14ac:dyDescent="0.25">
      <c r="B17" s="321">
        <v>3078</v>
      </c>
      <c r="C17" s="362" t="s">
        <v>6925</v>
      </c>
      <c r="D17" s="387" t="s">
        <v>6929</v>
      </c>
      <c r="E17" s="383" t="s">
        <v>9403</v>
      </c>
      <c r="F17" s="362" t="s">
        <v>6930</v>
      </c>
      <c r="G17" s="271" t="s">
        <v>120</v>
      </c>
    </row>
    <row r="18" spans="2:7" ht="30" customHeight="1" x14ac:dyDescent="0.25">
      <c r="B18" s="321">
        <v>3079</v>
      </c>
      <c r="C18" s="362" t="s">
        <v>6925</v>
      </c>
      <c r="D18" s="387" t="s">
        <v>6931</v>
      </c>
      <c r="E18" s="383" t="s">
        <v>9404</v>
      </c>
      <c r="F18" s="362" t="s">
        <v>6927</v>
      </c>
      <c r="G18" s="271" t="s">
        <v>120</v>
      </c>
    </row>
    <row r="19" spans="2:7" ht="30" customHeight="1" x14ac:dyDescent="0.25">
      <c r="B19" s="321">
        <v>3080</v>
      </c>
      <c r="C19" s="362" t="s">
        <v>6925</v>
      </c>
      <c r="D19" s="387" t="s">
        <v>6932</v>
      </c>
      <c r="E19" s="383" t="s">
        <v>9405</v>
      </c>
      <c r="F19" s="362" t="s">
        <v>6927</v>
      </c>
      <c r="G19" s="271" t="s">
        <v>120</v>
      </c>
    </row>
    <row r="20" spans="2:7" ht="30" customHeight="1" x14ac:dyDescent="0.25">
      <c r="B20" s="321">
        <v>3081</v>
      </c>
      <c r="C20" s="362" t="s">
        <v>6925</v>
      </c>
      <c r="D20" s="387" t="s">
        <v>6933</v>
      </c>
      <c r="E20" s="383" t="s">
        <v>9406</v>
      </c>
      <c r="F20" s="362" t="s">
        <v>6934</v>
      </c>
      <c r="G20" s="271" t="s">
        <v>120</v>
      </c>
    </row>
    <row r="21" spans="2:7" ht="30" customHeight="1" x14ac:dyDescent="0.25">
      <c r="B21" s="321">
        <v>3082</v>
      </c>
      <c r="C21" s="362" t="s">
        <v>6925</v>
      </c>
      <c r="D21" s="387" t="s">
        <v>6935</v>
      </c>
      <c r="E21" s="383" t="s">
        <v>9407</v>
      </c>
      <c r="F21" s="362" t="s">
        <v>6930</v>
      </c>
      <c r="G21" s="271" t="s">
        <v>120</v>
      </c>
    </row>
    <row r="22" spans="2:7" ht="30" customHeight="1" x14ac:dyDescent="0.25">
      <c r="B22" s="321">
        <v>3083</v>
      </c>
      <c r="C22" s="362" t="s">
        <v>6925</v>
      </c>
      <c r="D22" s="387" t="s">
        <v>6936</v>
      </c>
      <c r="E22" s="383" t="s">
        <v>9408</v>
      </c>
      <c r="F22" s="362" t="s">
        <v>6927</v>
      </c>
      <c r="G22" s="271" t="s">
        <v>120</v>
      </c>
    </row>
    <row r="23" spans="2:7" ht="30" customHeight="1" x14ac:dyDescent="0.25">
      <c r="B23" s="321">
        <v>3084</v>
      </c>
      <c r="C23" s="362" t="s">
        <v>6925</v>
      </c>
      <c r="D23" s="387" t="s">
        <v>6937</v>
      </c>
      <c r="E23" s="383" t="s">
        <v>9409</v>
      </c>
      <c r="F23" s="362" t="s">
        <v>6927</v>
      </c>
      <c r="G23" s="271" t="s">
        <v>120</v>
      </c>
    </row>
    <row r="24" spans="2:7" ht="30" customHeight="1" x14ac:dyDescent="0.25">
      <c r="B24" s="321">
        <v>3085</v>
      </c>
      <c r="C24" s="362" t="s">
        <v>6925</v>
      </c>
      <c r="D24" s="387" t="s">
        <v>6938</v>
      </c>
      <c r="E24" s="383" t="s">
        <v>9410</v>
      </c>
      <c r="F24" s="362" t="s">
        <v>6927</v>
      </c>
      <c r="G24" s="271" t="s">
        <v>120</v>
      </c>
    </row>
    <row r="25" spans="2:7" ht="30" customHeight="1" x14ac:dyDescent="0.25">
      <c r="B25" s="321">
        <v>3086</v>
      </c>
      <c r="C25" s="362" t="s">
        <v>6925</v>
      </c>
      <c r="D25" s="387" t="s">
        <v>6939</v>
      </c>
      <c r="E25" s="383" t="s">
        <v>9411</v>
      </c>
      <c r="F25" s="362" t="s">
        <v>6927</v>
      </c>
      <c r="G25" s="271" t="s">
        <v>120</v>
      </c>
    </row>
    <row r="26" spans="2:7" ht="30" customHeight="1" x14ac:dyDescent="0.25">
      <c r="B26" s="321">
        <v>3087</v>
      </c>
      <c r="C26" s="362" t="s">
        <v>6925</v>
      </c>
      <c r="D26" s="387" t="s">
        <v>6940</v>
      </c>
      <c r="E26" s="383" t="s">
        <v>9412</v>
      </c>
      <c r="F26" s="362" t="s">
        <v>6934</v>
      </c>
      <c r="G26" s="271" t="s">
        <v>120</v>
      </c>
    </row>
    <row r="27" spans="2:7" ht="30" customHeight="1" x14ac:dyDescent="0.25">
      <c r="B27" s="321">
        <v>3088</v>
      </c>
      <c r="C27" s="362" t="s">
        <v>6925</v>
      </c>
      <c r="D27" s="387" t="s">
        <v>6941</v>
      </c>
      <c r="E27" s="383" t="s">
        <v>9413</v>
      </c>
      <c r="F27" s="362" t="s">
        <v>6942</v>
      </c>
      <c r="G27" s="271" t="s">
        <v>120</v>
      </c>
    </row>
    <row r="28" spans="2:7" ht="30" customHeight="1" x14ac:dyDescent="0.25">
      <c r="B28" s="321">
        <v>3089</v>
      </c>
      <c r="C28" s="298" t="s">
        <v>6943</v>
      </c>
      <c r="D28" s="298" t="s">
        <v>6944</v>
      </c>
      <c r="E28" s="383" t="s">
        <v>9414</v>
      </c>
      <c r="F28" s="298"/>
      <c r="G28" s="271" t="s">
        <v>120</v>
      </c>
    </row>
    <row r="29" spans="2:7" ht="30" customHeight="1" x14ac:dyDescent="0.25">
      <c r="B29" s="321">
        <v>3090</v>
      </c>
      <c r="C29" s="271" t="s">
        <v>6945</v>
      </c>
      <c r="D29" s="269" t="s">
        <v>10264</v>
      </c>
      <c r="E29" s="351" t="s">
        <v>9127</v>
      </c>
      <c r="F29" s="271" t="s">
        <v>6946</v>
      </c>
      <c r="G29" s="271" t="s">
        <v>2432</v>
      </c>
    </row>
    <row r="30" spans="2:7" ht="30" customHeight="1" x14ac:dyDescent="0.25">
      <c r="B30" s="321">
        <v>3091</v>
      </c>
      <c r="C30" s="271" t="s">
        <v>6945</v>
      </c>
      <c r="D30" s="271" t="s">
        <v>2137</v>
      </c>
      <c r="E30" s="351" t="s">
        <v>9126</v>
      </c>
      <c r="F30" s="271" t="s">
        <v>6947</v>
      </c>
      <c r="G30" s="271" t="s">
        <v>2432</v>
      </c>
    </row>
    <row r="31" spans="2:7" ht="30" customHeight="1" x14ac:dyDescent="0.25">
      <c r="B31" s="321">
        <v>3092</v>
      </c>
      <c r="C31" s="271" t="s">
        <v>6945</v>
      </c>
      <c r="D31" s="271" t="s">
        <v>6948</v>
      </c>
      <c r="E31" s="351" t="s">
        <v>9128</v>
      </c>
      <c r="F31" s="271" t="s">
        <v>1173</v>
      </c>
      <c r="G31" s="271" t="s">
        <v>2432</v>
      </c>
    </row>
    <row r="32" spans="2:7" ht="30" customHeight="1" x14ac:dyDescent="0.25">
      <c r="B32" s="321">
        <v>3093</v>
      </c>
      <c r="C32" s="271" t="s">
        <v>6945</v>
      </c>
      <c r="D32" s="271" t="s">
        <v>6949</v>
      </c>
      <c r="E32" s="388" t="s">
        <v>9128</v>
      </c>
      <c r="F32" s="271" t="s">
        <v>6950</v>
      </c>
      <c r="G32" s="271" t="s">
        <v>2432</v>
      </c>
    </row>
    <row r="33" spans="2:7" ht="30" customHeight="1" x14ac:dyDescent="0.25">
      <c r="B33" s="301">
        <v>3094</v>
      </c>
      <c r="C33" s="389" t="s">
        <v>7714</v>
      </c>
      <c r="D33" s="390" t="s">
        <v>7725</v>
      </c>
      <c r="E33" s="383" t="s">
        <v>9415</v>
      </c>
      <c r="F33" s="389" t="s">
        <v>346</v>
      </c>
      <c r="G33" s="391" t="s">
        <v>565</v>
      </c>
    </row>
    <row r="34" spans="2:7" ht="30" customHeight="1" x14ac:dyDescent="0.25">
      <c r="B34" s="301">
        <v>3095</v>
      </c>
      <c r="C34" s="389" t="s">
        <v>7714</v>
      </c>
      <c r="D34" s="390" t="s">
        <v>7726</v>
      </c>
      <c r="E34" s="383" t="s">
        <v>9416</v>
      </c>
      <c r="F34" s="389" t="s">
        <v>346</v>
      </c>
      <c r="G34" s="391" t="s">
        <v>565</v>
      </c>
    </row>
    <row r="35" spans="2:7" ht="30" customHeight="1" x14ac:dyDescent="0.25">
      <c r="B35" s="301">
        <v>3096</v>
      </c>
      <c r="C35" s="389" t="s">
        <v>7714</v>
      </c>
      <c r="D35" s="390" t="s">
        <v>7727</v>
      </c>
      <c r="E35" s="383" t="s">
        <v>9417</v>
      </c>
      <c r="F35" s="392" t="s">
        <v>7819</v>
      </c>
      <c r="G35" s="391" t="s">
        <v>565</v>
      </c>
    </row>
    <row r="36" spans="2:7" ht="30" customHeight="1" x14ac:dyDescent="0.25">
      <c r="B36" s="301">
        <v>3097</v>
      </c>
      <c r="C36" s="389" t="s">
        <v>7714</v>
      </c>
      <c r="D36" s="390" t="s">
        <v>7728</v>
      </c>
      <c r="E36" s="383" t="s">
        <v>9418</v>
      </c>
      <c r="F36" s="389" t="s">
        <v>346</v>
      </c>
      <c r="G36" s="391" t="s">
        <v>565</v>
      </c>
    </row>
    <row r="37" spans="2:7" ht="30" customHeight="1" x14ac:dyDescent="0.25">
      <c r="B37" s="301">
        <v>3098</v>
      </c>
      <c r="C37" s="389" t="s">
        <v>7714</v>
      </c>
      <c r="D37" s="390" t="s">
        <v>7729</v>
      </c>
      <c r="E37" s="383" t="s">
        <v>9419</v>
      </c>
      <c r="F37" s="389" t="s">
        <v>7820</v>
      </c>
      <c r="G37" s="391" t="s">
        <v>565</v>
      </c>
    </row>
    <row r="38" spans="2:7" ht="30" customHeight="1" x14ac:dyDescent="0.25">
      <c r="B38" s="301">
        <v>3099</v>
      </c>
      <c r="C38" s="389" t="s">
        <v>7714</v>
      </c>
      <c r="D38" s="390" t="s">
        <v>7730</v>
      </c>
      <c r="E38" s="383" t="s">
        <v>9420</v>
      </c>
      <c r="F38" s="389" t="s">
        <v>7821</v>
      </c>
      <c r="G38" s="391" t="s">
        <v>565</v>
      </c>
    </row>
    <row r="39" spans="2:7" ht="30" customHeight="1" x14ac:dyDescent="0.25">
      <c r="B39" s="301">
        <v>3100</v>
      </c>
      <c r="C39" s="389" t="s">
        <v>7714</v>
      </c>
      <c r="D39" s="390" t="s">
        <v>7731</v>
      </c>
      <c r="E39" s="383" t="s">
        <v>9421</v>
      </c>
      <c r="F39" s="389" t="s">
        <v>346</v>
      </c>
      <c r="G39" s="391" t="s">
        <v>565</v>
      </c>
    </row>
    <row r="40" spans="2:7" ht="30" customHeight="1" x14ac:dyDescent="0.25">
      <c r="B40" s="301">
        <v>3101</v>
      </c>
      <c r="C40" s="389" t="s">
        <v>7714</v>
      </c>
      <c r="D40" s="390" t="s">
        <v>7732</v>
      </c>
      <c r="E40" s="383" t="s">
        <v>9422</v>
      </c>
      <c r="F40" s="389" t="s">
        <v>346</v>
      </c>
      <c r="G40" s="391" t="s">
        <v>565</v>
      </c>
    </row>
    <row r="41" spans="2:7" ht="30" customHeight="1" x14ac:dyDescent="0.25">
      <c r="B41" s="301">
        <v>3102</v>
      </c>
      <c r="C41" s="389" t="s">
        <v>7714</v>
      </c>
      <c r="D41" s="390" t="s">
        <v>7733</v>
      </c>
      <c r="E41" s="383" t="s">
        <v>9423</v>
      </c>
      <c r="F41" s="389" t="s">
        <v>7822</v>
      </c>
      <c r="G41" s="391" t="s">
        <v>565</v>
      </c>
    </row>
    <row r="42" spans="2:7" ht="30" customHeight="1" x14ac:dyDescent="0.25">
      <c r="B42" s="301">
        <v>3103</v>
      </c>
      <c r="C42" s="389" t="s">
        <v>7714</v>
      </c>
      <c r="D42" s="390" t="s">
        <v>7734</v>
      </c>
      <c r="E42" s="383" t="s">
        <v>9424</v>
      </c>
      <c r="F42" s="393" t="s">
        <v>7823</v>
      </c>
      <c r="G42" s="391" t="s">
        <v>565</v>
      </c>
    </row>
    <row r="43" spans="2:7" ht="30" customHeight="1" x14ac:dyDescent="0.25">
      <c r="B43" s="301">
        <v>3104</v>
      </c>
      <c r="C43" s="389" t="s">
        <v>7714</v>
      </c>
      <c r="D43" s="390" t="s">
        <v>7735</v>
      </c>
      <c r="E43" s="383" t="s">
        <v>9425</v>
      </c>
      <c r="F43" s="389" t="s">
        <v>7824</v>
      </c>
      <c r="G43" s="391" t="s">
        <v>565</v>
      </c>
    </row>
    <row r="44" spans="2:7" ht="30" customHeight="1" x14ac:dyDescent="0.25">
      <c r="B44" s="301">
        <v>3105</v>
      </c>
      <c r="C44" s="389" t="s">
        <v>7714</v>
      </c>
      <c r="D44" s="394" t="s">
        <v>7736</v>
      </c>
      <c r="E44" s="383" t="s">
        <v>9426</v>
      </c>
      <c r="F44" s="394" t="s">
        <v>7825</v>
      </c>
      <c r="G44" s="391" t="s">
        <v>565</v>
      </c>
    </row>
    <row r="45" spans="2:7" ht="30" customHeight="1" x14ac:dyDescent="0.25">
      <c r="B45" s="301">
        <v>3106</v>
      </c>
      <c r="C45" s="389" t="s">
        <v>7714</v>
      </c>
      <c r="D45" s="394" t="s">
        <v>7737</v>
      </c>
      <c r="E45" s="383" t="s">
        <v>9427</v>
      </c>
      <c r="F45" s="394" t="s">
        <v>7826</v>
      </c>
      <c r="G45" s="391" t="s">
        <v>565</v>
      </c>
    </row>
    <row r="46" spans="2:7" ht="30" customHeight="1" x14ac:dyDescent="0.25">
      <c r="B46" s="301">
        <v>3107</v>
      </c>
      <c r="C46" s="389" t="s">
        <v>7714</v>
      </c>
      <c r="D46" s="394" t="s">
        <v>7738</v>
      </c>
      <c r="E46" s="383" t="s">
        <v>9428</v>
      </c>
      <c r="F46" s="394" t="s">
        <v>7827</v>
      </c>
      <c r="G46" s="391" t="s">
        <v>565</v>
      </c>
    </row>
    <row r="47" spans="2:7" ht="30" customHeight="1" x14ac:dyDescent="0.25">
      <c r="B47" s="301">
        <v>3108</v>
      </c>
      <c r="C47" s="389" t="s">
        <v>7714</v>
      </c>
      <c r="D47" s="394" t="s">
        <v>7739</v>
      </c>
      <c r="E47" s="383" t="s">
        <v>9429</v>
      </c>
      <c r="F47" s="394" t="s">
        <v>346</v>
      </c>
      <c r="G47" s="391" t="s">
        <v>565</v>
      </c>
    </row>
    <row r="48" spans="2:7" ht="30" customHeight="1" x14ac:dyDescent="0.25">
      <c r="B48" s="301">
        <v>3109</v>
      </c>
      <c r="C48" s="389" t="s">
        <v>7714</v>
      </c>
      <c r="D48" s="394" t="s">
        <v>7740</v>
      </c>
      <c r="E48" s="383" t="s">
        <v>9430</v>
      </c>
      <c r="F48" s="394" t="s">
        <v>346</v>
      </c>
      <c r="G48" s="391" t="s">
        <v>565</v>
      </c>
    </row>
    <row r="49" spans="2:7" ht="30" customHeight="1" x14ac:dyDescent="0.25">
      <c r="B49" s="301">
        <v>3110</v>
      </c>
      <c r="C49" s="389" t="s">
        <v>7714</v>
      </c>
      <c r="D49" s="394" t="s">
        <v>7741</v>
      </c>
      <c r="E49" s="383" t="s">
        <v>9431</v>
      </c>
      <c r="F49" s="394" t="s">
        <v>7828</v>
      </c>
      <c r="G49" s="391" t="s">
        <v>565</v>
      </c>
    </row>
    <row r="50" spans="2:7" ht="30" customHeight="1" x14ac:dyDescent="0.25">
      <c r="B50" s="301">
        <v>3111</v>
      </c>
      <c r="C50" s="389" t="s">
        <v>7714</v>
      </c>
      <c r="D50" s="394" t="s">
        <v>7742</v>
      </c>
      <c r="E50" s="383" t="s">
        <v>9432</v>
      </c>
      <c r="F50" s="394" t="s">
        <v>7829</v>
      </c>
      <c r="G50" s="391" t="s">
        <v>565</v>
      </c>
    </row>
    <row r="51" spans="2:7" ht="30" customHeight="1" x14ac:dyDescent="0.25">
      <c r="B51" s="301">
        <v>3112</v>
      </c>
      <c r="C51" s="389" t="s">
        <v>7714</v>
      </c>
      <c r="D51" s="394" t="s">
        <v>7743</v>
      </c>
      <c r="E51" s="383" t="s">
        <v>9433</v>
      </c>
      <c r="F51" s="394" t="s">
        <v>7830</v>
      </c>
      <c r="G51" s="391" t="s">
        <v>565</v>
      </c>
    </row>
    <row r="52" spans="2:7" ht="30" customHeight="1" x14ac:dyDescent="0.25">
      <c r="B52" s="301">
        <v>3113</v>
      </c>
      <c r="C52" s="389" t="s">
        <v>7714</v>
      </c>
      <c r="D52" s="394" t="s">
        <v>7744</v>
      </c>
      <c r="E52" s="383" t="s">
        <v>9434</v>
      </c>
      <c r="F52" s="394" t="s">
        <v>7831</v>
      </c>
      <c r="G52" s="391" t="s">
        <v>565</v>
      </c>
    </row>
    <row r="53" spans="2:7" ht="30" customHeight="1" x14ac:dyDescent="0.25">
      <c r="B53" s="301">
        <v>3114</v>
      </c>
      <c r="C53" s="389" t="s">
        <v>7714</v>
      </c>
      <c r="D53" s="394" t="s">
        <v>7745</v>
      </c>
      <c r="E53" s="383" t="s">
        <v>9435</v>
      </c>
      <c r="F53" s="394" t="s">
        <v>7832</v>
      </c>
      <c r="G53" s="391" t="s">
        <v>565</v>
      </c>
    </row>
    <row r="54" spans="2:7" ht="30" customHeight="1" x14ac:dyDescent="0.25">
      <c r="B54" s="301">
        <v>3115</v>
      </c>
      <c r="C54" s="389" t="s">
        <v>7714</v>
      </c>
      <c r="D54" s="394" t="s">
        <v>7746</v>
      </c>
      <c r="E54" s="383" t="s">
        <v>9436</v>
      </c>
      <c r="F54" s="394" t="s">
        <v>7833</v>
      </c>
      <c r="G54" s="391" t="s">
        <v>565</v>
      </c>
    </row>
    <row r="55" spans="2:7" ht="30" customHeight="1" x14ac:dyDescent="0.25">
      <c r="B55" s="301">
        <v>3116</v>
      </c>
      <c r="C55" s="389" t="s">
        <v>7714</v>
      </c>
      <c r="D55" s="394" t="s">
        <v>7747</v>
      </c>
      <c r="E55" s="383" t="s">
        <v>9437</v>
      </c>
      <c r="F55" s="394" t="s">
        <v>7834</v>
      </c>
      <c r="G55" s="391" t="s">
        <v>565</v>
      </c>
    </row>
    <row r="56" spans="2:7" ht="30" customHeight="1" x14ac:dyDescent="0.25">
      <c r="B56" s="301">
        <v>3117</v>
      </c>
      <c r="C56" s="389" t="s">
        <v>7714</v>
      </c>
      <c r="D56" s="394" t="s">
        <v>7748</v>
      </c>
      <c r="E56" s="383" t="s">
        <v>9438</v>
      </c>
      <c r="F56" s="394" t="s">
        <v>7835</v>
      </c>
      <c r="G56" s="391" t="s">
        <v>565</v>
      </c>
    </row>
    <row r="57" spans="2:7" ht="30" customHeight="1" x14ac:dyDescent="0.25">
      <c r="B57" s="301">
        <v>3118</v>
      </c>
      <c r="C57" s="389" t="s">
        <v>7714</v>
      </c>
      <c r="D57" s="394" t="s">
        <v>7749</v>
      </c>
      <c r="E57" s="383" t="s">
        <v>9439</v>
      </c>
      <c r="F57" s="394" t="s">
        <v>7836</v>
      </c>
      <c r="G57" s="391" t="s">
        <v>565</v>
      </c>
    </row>
    <row r="58" spans="2:7" ht="30" customHeight="1" x14ac:dyDescent="0.25">
      <c r="B58" s="301">
        <v>3119</v>
      </c>
      <c r="C58" s="389" t="s">
        <v>7714</v>
      </c>
      <c r="D58" s="394" t="s">
        <v>7750</v>
      </c>
      <c r="E58" s="383" t="s">
        <v>9440</v>
      </c>
      <c r="F58" s="394" t="s">
        <v>742</v>
      </c>
      <c r="G58" s="391" t="s">
        <v>565</v>
      </c>
    </row>
    <row r="59" spans="2:7" ht="30" customHeight="1" x14ac:dyDescent="0.25">
      <c r="B59" s="301">
        <v>3120</v>
      </c>
      <c r="C59" s="389" t="s">
        <v>7714</v>
      </c>
      <c r="D59" s="394" t="s">
        <v>7751</v>
      </c>
      <c r="E59" s="383" t="s">
        <v>9430</v>
      </c>
      <c r="F59" s="394" t="s">
        <v>7837</v>
      </c>
      <c r="G59" s="391" t="s">
        <v>565</v>
      </c>
    </row>
    <row r="60" spans="2:7" ht="30" customHeight="1" x14ac:dyDescent="0.25">
      <c r="B60" s="301">
        <v>3121</v>
      </c>
      <c r="C60" s="389" t="s">
        <v>7714</v>
      </c>
      <c r="D60" s="394" t="s">
        <v>7752</v>
      </c>
      <c r="E60" s="383" t="s">
        <v>9441</v>
      </c>
      <c r="F60" s="394" t="s">
        <v>7837</v>
      </c>
      <c r="G60" s="391" t="s">
        <v>565</v>
      </c>
    </row>
    <row r="61" spans="2:7" ht="30" customHeight="1" x14ac:dyDescent="0.25">
      <c r="B61" s="301">
        <v>3122</v>
      </c>
      <c r="C61" s="389" t="s">
        <v>7714</v>
      </c>
      <c r="D61" s="394" t="s">
        <v>7753</v>
      </c>
      <c r="E61" s="383" t="s">
        <v>9442</v>
      </c>
      <c r="F61" s="394" t="s">
        <v>7838</v>
      </c>
      <c r="G61" s="391" t="s">
        <v>565</v>
      </c>
    </row>
    <row r="62" spans="2:7" ht="30" customHeight="1" x14ac:dyDescent="0.25">
      <c r="B62" s="301">
        <v>3123</v>
      </c>
      <c r="C62" s="389" t="s">
        <v>7714</v>
      </c>
      <c r="D62" s="394" t="s">
        <v>7754</v>
      </c>
      <c r="E62" s="383" t="s">
        <v>9443</v>
      </c>
      <c r="F62" s="394" t="s">
        <v>7838</v>
      </c>
      <c r="G62" s="391" t="s">
        <v>565</v>
      </c>
    </row>
    <row r="63" spans="2:7" ht="30" customHeight="1" x14ac:dyDescent="0.25">
      <c r="B63" s="301">
        <v>3124</v>
      </c>
      <c r="C63" s="389" t="s">
        <v>7714</v>
      </c>
      <c r="D63" s="394" t="s">
        <v>7755</v>
      </c>
      <c r="E63" s="383" t="s">
        <v>9444</v>
      </c>
      <c r="F63" s="394" t="s">
        <v>7838</v>
      </c>
      <c r="G63" s="391" t="s">
        <v>565</v>
      </c>
    </row>
    <row r="64" spans="2:7" ht="30" customHeight="1" x14ac:dyDescent="0.25">
      <c r="B64" s="301">
        <v>3125</v>
      </c>
      <c r="C64" s="389" t="s">
        <v>7714</v>
      </c>
      <c r="D64" s="394" t="s">
        <v>7756</v>
      </c>
      <c r="E64" s="383" t="s">
        <v>9445</v>
      </c>
      <c r="F64" s="394" t="s">
        <v>7839</v>
      </c>
      <c r="G64" s="391" t="s">
        <v>565</v>
      </c>
    </row>
    <row r="65" spans="2:7" ht="30" customHeight="1" x14ac:dyDescent="0.25">
      <c r="B65" s="301">
        <v>3126</v>
      </c>
      <c r="C65" s="389" t="s">
        <v>7714</v>
      </c>
      <c r="D65" s="394" t="s">
        <v>7757</v>
      </c>
      <c r="E65" s="383" t="s">
        <v>9446</v>
      </c>
      <c r="F65" s="394" t="s">
        <v>7840</v>
      </c>
      <c r="G65" s="391" t="s">
        <v>565</v>
      </c>
    </row>
    <row r="66" spans="2:7" ht="30" customHeight="1" x14ac:dyDescent="0.25">
      <c r="B66" s="301">
        <v>3127</v>
      </c>
      <c r="C66" s="389" t="s">
        <v>7714</v>
      </c>
      <c r="D66" s="394" t="s">
        <v>7758</v>
      </c>
      <c r="E66" s="383" t="s">
        <v>9447</v>
      </c>
      <c r="F66" s="394" t="s">
        <v>7840</v>
      </c>
      <c r="G66" s="391" t="s">
        <v>565</v>
      </c>
    </row>
    <row r="67" spans="2:7" ht="30" customHeight="1" x14ac:dyDescent="0.25">
      <c r="B67" s="301">
        <v>3128</v>
      </c>
      <c r="C67" s="389" t="s">
        <v>7714</v>
      </c>
      <c r="D67" s="394" t="s">
        <v>7759</v>
      </c>
      <c r="E67" s="383" t="s">
        <v>9447</v>
      </c>
      <c r="F67" s="394" t="s">
        <v>7841</v>
      </c>
      <c r="G67" s="391" t="s">
        <v>565</v>
      </c>
    </row>
    <row r="68" spans="2:7" ht="30" customHeight="1" x14ac:dyDescent="0.25">
      <c r="B68" s="301">
        <v>3129</v>
      </c>
      <c r="C68" s="389" t="s">
        <v>7714</v>
      </c>
      <c r="D68" s="394" t="s">
        <v>7760</v>
      </c>
      <c r="E68" s="383" t="s">
        <v>9447</v>
      </c>
      <c r="F68" s="394" t="s">
        <v>7840</v>
      </c>
      <c r="G68" s="391" t="s">
        <v>565</v>
      </c>
    </row>
    <row r="69" spans="2:7" ht="30" customHeight="1" x14ac:dyDescent="0.25">
      <c r="B69" s="301">
        <v>3130</v>
      </c>
      <c r="C69" s="389" t="s">
        <v>7714</v>
      </c>
      <c r="D69" s="394" t="s">
        <v>7761</v>
      </c>
      <c r="E69" s="383" t="s">
        <v>9448</v>
      </c>
      <c r="F69" s="394" t="s">
        <v>7841</v>
      </c>
      <c r="G69" s="391" t="s">
        <v>565</v>
      </c>
    </row>
    <row r="70" spans="2:7" ht="30" customHeight="1" x14ac:dyDescent="0.25">
      <c r="B70" s="301">
        <v>3131</v>
      </c>
      <c r="C70" s="389" t="s">
        <v>7714</v>
      </c>
      <c r="D70" s="394" t="s">
        <v>7762</v>
      </c>
      <c r="E70" s="383" t="s">
        <v>9443</v>
      </c>
      <c r="F70" s="394" t="s">
        <v>7842</v>
      </c>
      <c r="G70" s="391" t="s">
        <v>565</v>
      </c>
    </row>
    <row r="71" spans="2:7" ht="30" customHeight="1" x14ac:dyDescent="0.25">
      <c r="B71" s="301">
        <v>3132</v>
      </c>
      <c r="C71" s="389" t="s">
        <v>7714</v>
      </c>
      <c r="D71" s="394" t="s">
        <v>7763</v>
      </c>
      <c r="E71" s="383" t="s">
        <v>9449</v>
      </c>
      <c r="F71" s="394" t="s">
        <v>7842</v>
      </c>
      <c r="G71" s="391" t="s">
        <v>565</v>
      </c>
    </row>
    <row r="72" spans="2:7" ht="30" customHeight="1" x14ac:dyDescent="0.25">
      <c r="B72" s="301">
        <v>3133</v>
      </c>
      <c r="C72" s="389" t="s">
        <v>7714</v>
      </c>
      <c r="D72" s="394" t="s">
        <v>7764</v>
      </c>
      <c r="E72" s="383" t="s">
        <v>9450</v>
      </c>
      <c r="F72" s="394" t="s">
        <v>7843</v>
      </c>
      <c r="G72" s="391" t="s">
        <v>565</v>
      </c>
    </row>
    <row r="73" spans="2:7" ht="30" customHeight="1" x14ac:dyDescent="0.25">
      <c r="B73" s="301">
        <v>3134</v>
      </c>
      <c r="C73" s="389" t="s">
        <v>7714</v>
      </c>
      <c r="D73" s="394" t="s">
        <v>7765</v>
      </c>
      <c r="E73" s="383" t="s">
        <v>9451</v>
      </c>
      <c r="F73" s="394" t="s">
        <v>7844</v>
      </c>
      <c r="G73" s="391" t="s">
        <v>565</v>
      </c>
    </row>
    <row r="74" spans="2:7" ht="30" customHeight="1" x14ac:dyDescent="0.25">
      <c r="B74" s="301">
        <v>3135</v>
      </c>
      <c r="C74" s="389" t="s">
        <v>7714</v>
      </c>
      <c r="D74" s="394" t="s">
        <v>7766</v>
      </c>
      <c r="E74" s="383" t="s">
        <v>9452</v>
      </c>
      <c r="F74" s="394" t="s">
        <v>7845</v>
      </c>
      <c r="G74" s="391" t="s">
        <v>565</v>
      </c>
    </row>
    <row r="75" spans="2:7" ht="30" customHeight="1" x14ac:dyDescent="0.25">
      <c r="B75" s="301">
        <v>3136</v>
      </c>
      <c r="C75" s="389" t="s">
        <v>7714</v>
      </c>
      <c r="D75" s="394" t="s">
        <v>7767</v>
      </c>
      <c r="E75" s="383" t="s">
        <v>9453</v>
      </c>
      <c r="F75" s="394" t="s">
        <v>7845</v>
      </c>
      <c r="G75" s="391" t="s">
        <v>565</v>
      </c>
    </row>
    <row r="76" spans="2:7" ht="30" customHeight="1" x14ac:dyDescent="0.25">
      <c r="B76" s="301">
        <v>3137</v>
      </c>
      <c r="C76" s="389" t="s">
        <v>7714</v>
      </c>
      <c r="D76" s="394" t="s">
        <v>7768</v>
      </c>
      <c r="E76" s="383" t="s">
        <v>9454</v>
      </c>
      <c r="F76" s="394" t="s">
        <v>7846</v>
      </c>
      <c r="G76" s="391" t="s">
        <v>565</v>
      </c>
    </row>
    <row r="77" spans="2:7" ht="30" customHeight="1" x14ac:dyDescent="0.25">
      <c r="B77" s="301">
        <v>3138</v>
      </c>
      <c r="C77" s="389" t="s">
        <v>7714</v>
      </c>
      <c r="D77" s="394" t="s">
        <v>7769</v>
      </c>
      <c r="E77" s="383" t="s">
        <v>9430</v>
      </c>
      <c r="F77" s="394" t="s">
        <v>7847</v>
      </c>
      <c r="G77" s="391" t="s">
        <v>565</v>
      </c>
    </row>
    <row r="78" spans="2:7" ht="30" customHeight="1" x14ac:dyDescent="0.25">
      <c r="B78" s="301">
        <v>3139</v>
      </c>
      <c r="C78" s="389" t="s">
        <v>7714</v>
      </c>
      <c r="D78" s="394" t="s">
        <v>7770</v>
      </c>
      <c r="E78" s="383" t="s">
        <v>9455</v>
      </c>
      <c r="F78" s="394" t="s">
        <v>7847</v>
      </c>
      <c r="G78" s="391" t="s">
        <v>565</v>
      </c>
    </row>
    <row r="79" spans="2:7" ht="30" customHeight="1" x14ac:dyDescent="0.25">
      <c r="B79" s="301">
        <v>3140</v>
      </c>
      <c r="C79" s="389" t="s">
        <v>7714</v>
      </c>
      <c r="D79" s="394" t="s">
        <v>7771</v>
      </c>
      <c r="E79" s="383" t="s">
        <v>9456</v>
      </c>
      <c r="F79" s="394" t="s">
        <v>7847</v>
      </c>
      <c r="G79" s="391" t="s">
        <v>565</v>
      </c>
    </row>
    <row r="80" spans="2:7" ht="30" customHeight="1" x14ac:dyDescent="0.25">
      <c r="B80" s="301">
        <v>3141</v>
      </c>
      <c r="C80" s="389" t="s">
        <v>7714</v>
      </c>
      <c r="D80" s="394" t="s">
        <v>7772</v>
      </c>
      <c r="E80" s="383" t="s">
        <v>9457</v>
      </c>
      <c r="F80" s="394" t="s">
        <v>7840</v>
      </c>
      <c r="G80" s="391" t="s">
        <v>565</v>
      </c>
    </row>
    <row r="81" spans="2:7" ht="30" customHeight="1" x14ac:dyDescent="0.25">
      <c r="B81" s="301">
        <v>3142</v>
      </c>
      <c r="C81" s="389" t="s">
        <v>7714</v>
      </c>
      <c r="D81" s="394" t="s">
        <v>7773</v>
      </c>
      <c r="E81" s="383" t="s">
        <v>9458</v>
      </c>
      <c r="F81" s="394" t="s">
        <v>7840</v>
      </c>
      <c r="G81" s="391" t="s">
        <v>565</v>
      </c>
    </row>
    <row r="82" spans="2:7" ht="30" customHeight="1" x14ac:dyDescent="0.25">
      <c r="B82" s="301">
        <v>3143</v>
      </c>
      <c r="C82" s="389" t="s">
        <v>7714</v>
      </c>
      <c r="D82" s="394" t="s">
        <v>7774</v>
      </c>
      <c r="E82" s="383" t="s">
        <v>9459</v>
      </c>
      <c r="F82" s="394" t="s">
        <v>7847</v>
      </c>
      <c r="G82" s="391" t="s">
        <v>565</v>
      </c>
    </row>
    <row r="83" spans="2:7" ht="30" customHeight="1" x14ac:dyDescent="0.25">
      <c r="B83" s="301">
        <v>3144</v>
      </c>
      <c r="C83" s="389" t="s">
        <v>7714</v>
      </c>
      <c r="D83" s="394" t="s">
        <v>7775</v>
      </c>
      <c r="E83" s="383" t="s">
        <v>9460</v>
      </c>
      <c r="F83" s="394" t="s">
        <v>7838</v>
      </c>
      <c r="G83" s="391" t="s">
        <v>565</v>
      </c>
    </row>
    <row r="84" spans="2:7" ht="30" customHeight="1" x14ac:dyDescent="0.25">
      <c r="B84" s="301">
        <v>3145</v>
      </c>
      <c r="C84" s="389" t="s">
        <v>7714</v>
      </c>
      <c r="D84" s="394" t="s">
        <v>7776</v>
      </c>
      <c r="E84" s="383" t="s">
        <v>9461</v>
      </c>
      <c r="F84" s="394" t="s">
        <v>7848</v>
      </c>
      <c r="G84" s="391" t="s">
        <v>565</v>
      </c>
    </row>
    <row r="85" spans="2:7" ht="30" customHeight="1" x14ac:dyDescent="0.25">
      <c r="B85" s="301">
        <v>3146</v>
      </c>
      <c r="C85" s="389" t="s">
        <v>7714</v>
      </c>
      <c r="D85" s="394" t="s">
        <v>7777</v>
      </c>
      <c r="E85" s="383" t="s">
        <v>9462</v>
      </c>
      <c r="F85" s="394" t="s">
        <v>7849</v>
      </c>
      <c r="G85" s="391" t="s">
        <v>565</v>
      </c>
    </row>
    <row r="86" spans="2:7" ht="30" customHeight="1" x14ac:dyDescent="0.25">
      <c r="B86" s="301">
        <v>3147</v>
      </c>
      <c r="C86" s="389" t="s">
        <v>7714</v>
      </c>
      <c r="D86" s="394" t="s">
        <v>7778</v>
      </c>
      <c r="E86" s="383" t="s">
        <v>9463</v>
      </c>
      <c r="F86" s="394" t="s">
        <v>7850</v>
      </c>
      <c r="G86" s="391" t="s">
        <v>565</v>
      </c>
    </row>
    <row r="87" spans="2:7" ht="30" customHeight="1" x14ac:dyDescent="0.25">
      <c r="B87" s="301">
        <v>3148</v>
      </c>
      <c r="C87" s="389" t="s">
        <v>7714</v>
      </c>
      <c r="D87" s="394" t="s">
        <v>7779</v>
      </c>
      <c r="E87" s="383" t="s">
        <v>9464</v>
      </c>
      <c r="F87" s="394" t="s">
        <v>7851</v>
      </c>
      <c r="G87" s="391" t="s">
        <v>565</v>
      </c>
    </row>
    <row r="88" spans="2:7" ht="30" customHeight="1" x14ac:dyDescent="0.25">
      <c r="B88" s="301">
        <v>3149</v>
      </c>
      <c r="C88" s="389" t="s">
        <v>7714</v>
      </c>
      <c r="D88" s="394" t="s">
        <v>7780</v>
      </c>
      <c r="E88" s="383" t="s">
        <v>9465</v>
      </c>
      <c r="F88" s="394" t="s">
        <v>7852</v>
      </c>
      <c r="G88" s="391" t="s">
        <v>565</v>
      </c>
    </row>
    <row r="89" spans="2:7" ht="30" customHeight="1" x14ac:dyDescent="0.25">
      <c r="B89" s="301">
        <v>3150</v>
      </c>
      <c r="C89" s="389" t="s">
        <v>7714</v>
      </c>
      <c r="D89" s="394" t="s">
        <v>7781</v>
      </c>
      <c r="E89" s="383" t="s">
        <v>9466</v>
      </c>
      <c r="F89" s="394" t="s">
        <v>7853</v>
      </c>
      <c r="G89" s="391" t="s">
        <v>565</v>
      </c>
    </row>
    <row r="90" spans="2:7" ht="30" customHeight="1" x14ac:dyDescent="0.25">
      <c r="B90" s="301">
        <v>3151</v>
      </c>
      <c r="C90" s="389" t="s">
        <v>7714</v>
      </c>
      <c r="D90" s="394" t="s">
        <v>7782</v>
      </c>
      <c r="E90" s="383" t="s">
        <v>9467</v>
      </c>
      <c r="F90" s="394" t="s">
        <v>7854</v>
      </c>
      <c r="G90" s="391" t="s">
        <v>565</v>
      </c>
    </row>
    <row r="91" spans="2:7" ht="30" customHeight="1" x14ac:dyDescent="0.25">
      <c r="B91" s="301">
        <v>3152</v>
      </c>
      <c r="C91" s="389" t="s">
        <v>7714</v>
      </c>
      <c r="D91" s="394" t="s">
        <v>7783</v>
      </c>
      <c r="E91" s="383" t="s">
        <v>9468</v>
      </c>
      <c r="F91" s="394" t="s">
        <v>7855</v>
      </c>
      <c r="G91" s="391" t="s">
        <v>565</v>
      </c>
    </row>
    <row r="92" spans="2:7" ht="30" customHeight="1" x14ac:dyDescent="0.25">
      <c r="B92" s="301">
        <v>3153</v>
      </c>
      <c r="C92" s="389" t="s">
        <v>7714</v>
      </c>
      <c r="D92" s="394" t="s">
        <v>7784</v>
      </c>
      <c r="E92" s="383" t="s">
        <v>9469</v>
      </c>
      <c r="F92" s="394" t="s">
        <v>7854</v>
      </c>
      <c r="G92" s="391" t="s">
        <v>565</v>
      </c>
    </row>
    <row r="93" spans="2:7" ht="30" customHeight="1" x14ac:dyDescent="0.25">
      <c r="B93" s="301">
        <v>3154</v>
      </c>
      <c r="C93" s="389" t="s">
        <v>7714</v>
      </c>
      <c r="D93" s="394" t="s">
        <v>7785</v>
      </c>
      <c r="E93" s="383" t="s">
        <v>9470</v>
      </c>
      <c r="F93" s="394" t="s">
        <v>7856</v>
      </c>
      <c r="G93" s="391" t="s">
        <v>565</v>
      </c>
    </row>
    <row r="94" spans="2:7" ht="30" customHeight="1" x14ac:dyDescent="0.25">
      <c r="B94" s="301">
        <v>3155</v>
      </c>
      <c r="C94" s="389" t="s">
        <v>7714</v>
      </c>
      <c r="D94" s="394" t="s">
        <v>7786</v>
      </c>
      <c r="E94" s="383" t="s">
        <v>9471</v>
      </c>
      <c r="F94" s="394" t="s">
        <v>7857</v>
      </c>
      <c r="G94" s="391" t="s">
        <v>565</v>
      </c>
    </row>
    <row r="95" spans="2:7" ht="30" customHeight="1" x14ac:dyDescent="0.25">
      <c r="B95" s="301">
        <v>3156</v>
      </c>
      <c r="C95" s="389" t="s">
        <v>7714</v>
      </c>
      <c r="D95" s="394" t="s">
        <v>7787</v>
      </c>
      <c r="E95" s="383" t="s">
        <v>9472</v>
      </c>
      <c r="F95" s="394" t="s">
        <v>7858</v>
      </c>
      <c r="G95" s="391" t="s">
        <v>565</v>
      </c>
    </row>
    <row r="96" spans="2:7" ht="30" customHeight="1" x14ac:dyDescent="0.25">
      <c r="B96" s="301">
        <v>3157</v>
      </c>
      <c r="C96" s="389" t="s">
        <v>7714</v>
      </c>
      <c r="D96" s="394" t="s">
        <v>7788</v>
      </c>
      <c r="E96" s="383" t="s">
        <v>9473</v>
      </c>
      <c r="F96" s="394" t="s">
        <v>7859</v>
      </c>
      <c r="G96" s="391" t="s">
        <v>565</v>
      </c>
    </row>
    <row r="97" spans="2:7" ht="30" customHeight="1" x14ac:dyDescent="0.25">
      <c r="B97" s="301">
        <v>3158</v>
      </c>
      <c r="C97" s="389" t="s">
        <v>7714</v>
      </c>
      <c r="D97" s="394" t="s">
        <v>7789</v>
      </c>
      <c r="E97" s="383" t="s">
        <v>9474</v>
      </c>
      <c r="F97" s="394" t="s">
        <v>7860</v>
      </c>
      <c r="G97" s="391" t="s">
        <v>565</v>
      </c>
    </row>
    <row r="98" spans="2:7" ht="30" customHeight="1" x14ac:dyDescent="0.25">
      <c r="B98" s="301">
        <v>3159</v>
      </c>
      <c r="C98" s="389" t="s">
        <v>7714</v>
      </c>
      <c r="D98" s="394" t="s">
        <v>7790</v>
      </c>
      <c r="E98" s="383" t="s">
        <v>9475</v>
      </c>
      <c r="F98" s="394" t="s">
        <v>7861</v>
      </c>
      <c r="G98" s="391" t="s">
        <v>565</v>
      </c>
    </row>
    <row r="99" spans="2:7" ht="30" customHeight="1" x14ac:dyDescent="0.25">
      <c r="B99" s="301">
        <v>3160</v>
      </c>
      <c r="C99" s="389" t="s">
        <v>7714</v>
      </c>
      <c r="D99" s="394" t="s">
        <v>7791</v>
      </c>
      <c r="E99" s="383" t="s">
        <v>9476</v>
      </c>
      <c r="F99" s="394" t="s">
        <v>7862</v>
      </c>
      <c r="G99" s="391" t="s">
        <v>565</v>
      </c>
    </row>
    <row r="100" spans="2:7" ht="30" customHeight="1" x14ac:dyDescent="0.25">
      <c r="B100" s="301">
        <v>3161</v>
      </c>
      <c r="C100" s="389" t="s">
        <v>7714</v>
      </c>
      <c r="D100" s="394" t="s">
        <v>7792</v>
      </c>
      <c r="E100" s="383" t="s">
        <v>9477</v>
      </c>
      <c r="F100" s="394" t="s">
        <v>7863</v>
      </c>
      <c r="G100" s="391" t="s">
        <v>565</v>
      </c>
    </row>
    <row r="101" spans="2:7" ht="30" customHeight="1" x14ac:dyDescent="0.25">
      <c r="B101" s="301">
        <v>3162</v>
      </c>
      <c r="C101" s="389" t="s">
        <v>7714</v>
      </c>
      <c r="D101" s="394" t="s">
        <v>7793</v>
      </c>
      <c r="E101" s="383" t="s">
        <v>9478</v>
      </c>
      <c r="F101" s="394" t="s">
        <v>346</v>
      </c>
      <c r="G101" s="391" t="s">
        <v>565</v>
      </c>
    </row>
    <row r="102" spans="2:7" ht="30" customHeight="1" x14ac:dyDescent="0.25">
      <c r="B102" s="301">
        <v>3163</v>
      </c>
      <c r="C102" s="389" t="s">
        <v>7714</v>
      </c>
      <c r="D102" s="394" t="s">
        <v>7794</v>
      </c>
      <c r="E102" s="383" t="s">
        <v>9479</v>
      </c>
      <c r="F102" s="394" t="s">
        <v>7863</v>
      </c>
      <c r="G102" s="391" t="s">
        <v>565</v>
      </c>
    </row>
    <row r="103" spans="2:7" ht="30" customHeight="1" x14ac:dyDescent="0.25">
      <c r="B103" s="301">
        <v>3164</v>
      </c>
      <c r="C103" s="389" t="s">
        <v>7714</v>
      </c>
      <c r="D103" s="394" t="s">
        <v>7795</v>
      </c>
      <c r="E103" s="383" t="s">
        <v>9480</v>
      </c>
      <c r="F103" s="394" t="s">
        <v>346</v>
      </c>
      <c r="G103" s="391" t="s">
        <v>565</v>
      </c>
    </row>
    <row r="104" spans="2:7" ht="30" customHeight="1" x14ac:dyDescent="0.25">
      <c r="B104" s="301">
        <v>3165</v>
      </c>
      <c r="C104" s="389" t="s">
        <v>7714</v>
      </c>
      <c r="D104" s="394" t="s">
        <v>7796</v>
      </c>
      <c r="E104" s="383" t="s">
        <v>9481</v>
      </c>
      <c r="F104" s="394" t="s">
        <v>7864</v>
      </c>
      <c r="G104" s="391" t="s">
        <v>565</v>
      </c>
    </row>
    <row r="105" spans="2:7" ht="30" customHeight="1" x14ac:dyDescent="0.25">
      <c r="B105" s="301">
        <v>3166</v>
      </c>
      <c r="C105" s="389" t="s">
        <v>7714</v>
      </c>
      <c r="D105" s="394" t="s">
        <v>7797</v>
      </c>
      <c r="E105" s="383" t="s">
        <v>9482</v>
      </c>
      <c r="F105" s="394" t="s">
        <v>346</v>
      </c>
      <c r="G105" s="391" t="s">
        <v>565</v>
      </c>
    </row>
    <row r="106" spans="2:7" ht="30" customHeight="1" x14ac:dyDescent="0.25">
      <c r="B106" s="301">
        <v>3167</v>
      </c>
      <c r="C106" s="389" t="s">
        <v>7714</v>
      </c>
      <c r="D106" s="394" t="s">
        <v>7798</v>
      </c>
      <c r="E106" s="383" t="s">
        <v>9483</v>
      </c>
      <c r="F106" s="394" t="s">
        <v>7865</v>
      </c>
      <c r="G106" s="391" t="s">
        <v>565</v>
      </c>
    </row>
    <row r="107" spans="2:7" ht="30" customHeight="1" x14ac:dyDescent="0.25">
      <c r="B107" s="301">
        <v>3168</v>
      </c>
      <c r="C107" s="389" t="s">
        <v>7714</v>
      </c>
      <c r="D107" s="394" t="s">
        <v>7799</v>
      </c>
      <c r="E107" s="383" t="s">
        <v>9483</v>
      </c>
      <c r="F107" s="394" t="s">
        <v>346</v>
      </c>
      <c r="G107" s="391" t="s">
        <v>565</v>
      </c>
    </row>
    <row r="108" spans="2:7" ht="30" customHeight="1" x14ac:dyDescent="0.25">
      <c r="B108" s="301">
        <v>3169</v>
      </c>
      <c r="C108" s="389" t="s">
        <v>7714</v>
      </c>
      <c r="D108" s="394" t="s">
        <v>7800</v>
      </c>
      <c r="E108" s="383" t="s">
        <v>9484</v>
      </c>
      <c r="F108" s="394" t="s">
        <v>7866</v>
      </c>
      <c r="G108" s="391" t="s">
        <v>565</v>
      </c>
    </row>
    <row r="109" spans="2:7" ht="30" customHeight="1" x14ac:dyDescent="0.25">
      <c r="B109" s="301">
        <v>3170</v>
      </c>
      <c r="C109" s="389" t="s">
        <v>7714</v>
      </c>
      <c r="D109" s="394" t="s">
        <v>7801</v>
      </c>
      <c r="E109" s="383" t="s">
        <v>9485</v>
      </c>
      <c r="F109" s="394" t="s">
        <v>7863</v>
      </c>
      <c r="G109" s="391" t="s">
        <v>565</v>
      </c>
    </row>
    <row r="110" spans="2:7" ht="30" customHeight="1" x14ac:dyDescent="0.25">
      <c r="B110" s="301">
        <v>3171</v>
      </c>
      <c r="C110" s="389" t="s">
        <v>7714</v>
      </c>
      <c r="D110" s="394" t="s">
        <v>7802</v>
      </c>
      <c r="E110" s="383" t="s">
        <v>9485</v>
      </c>
      <c r="F110" s="394" t="s">
        <v>346</v>
      </c>
      <c r="G110" s="391" t="s">
        <v>565</v>
      </c>
    </row>
    <row r="111" spans="2:7" ht="30" customHeight="1" x14ac:dyDescent="0.25">
      <c r="B111" s="301">
        <v>3172</v>
      </c>
      <c r="C111" s="389" t="s">
        <v>7714</v>
      </c>
      <c r="D111" s="394" t="s">
        <v>7803</v>
      </c>
      <c r="E111" s="383" t="s">
        <v>9486</v>
      </c>
      <c r="F111" s="394" t="s">
        <v>7867</v>
      </c>
      <c r="G111" s="391" t="s">
        <v>565</v>
      </c>
    </row>
    <row r="112" spans="2:7" ht="87.75" customHeight="1" x14ac:dyDescent="0.25">
      <c r="B112" s="301">
        <v>3173</v>
      </c>
      <c r="C112" s="389" t="s">
        <v>7714</v>
      </c>
      <c r="D112" s="394" t="s">
        <v>7804</v>
      </c>
      <c r="E112" s="383" t="s">
        <v>9487</v>
      </c>
      <c r="F112" s="394" t="s">
        <v>7868</v>
      </c>
      <c r="G112" s="391" t="s">
        <v>565</v>
      </c>
    </row>
    <row r="113" spans="2:7" ht="30" customHeight="1" x14ac:dyDescent="0.25">
      <c r="B113" s="301">
        <v>3174</v>
      </c>
      <c r="C113" s="389" t="s">
        <v>7714</v>
      </c>
      <c r="D113" s="394" t="s">
        <v>7805</v>
      </c>
      <c r="E113" s="383" t="s">
        <v>9488</v>
      </c>
      <c r="F113" s="394" t="s">
        <v>7869</v>
      </c>
      <c r="G113" s="391" t="s">
        <v>565</v>
      </c>
    </row>
    <row r="114" spans="2:7" ht="30" customHeight="1" x14ac:dyDescent="0.25">
      <c r="B114" s="301">
        <v>3175</v>
      </c>
      <c r="C114" s="389" t="s">
        <v>7714</v>
      </c>
      <c r="D114" s="394" t="s">
        <v>7806</v>
      </c>
      <c r="E114" s="383" t="s">
        <v>9489</v>
      </c>
      <c r="F114" s="394" t="s">
        <v>7870</v>
      </c>
      <c r="G114" s="391" t="s">
        <v>565</v>
      </c>
    </row>
    <row r="115" spans="2:7" ht="30" customHeight="1" x14ac:dyDescent="0.25">
      <c r="B115" s="301">
        <v>3176</v>
      </c>
      <c r="C115" s="389" t="s">
        <v>7714</v>
      </c>
      <c r="D115" s="394" t="s">
        <v>7807</v>
      </c>
      <c r="E115" s="383" t="s">
        <v>9490</v>
      </c>
      <c r="F115" s="394" t="s">
        <v>7871</v>
      </c>
      <c r="G115" s="391" t="s">
        <v>565</v>
      </c>
    </row>
    <row r="116" spans="2:7" ht="30" customHeight="1" x14ac:dyDescent="0.25">
      <c r="B116" s="301">
        <v>3177</v>
      </c>
      <c r="C116" s="389" t="s">
        <v>7714</v>
      </c>
      <c r="D116" s="394" t="s">
        <v>7808</v>
      </c>
      <c r="E116" s="383" t="s">
        <v>9491</v>
      </c>
      <c r="F116" s="394" t="s">
        <v>7872</v>
      </c>
      <c r="G116" s="391" t="s">
        <v>565</v>
      </c>
    </row>
    <row r="117" spans="2:7" ht="30" customHeight="1" x14ac:dyDescent="0.25">
      <c r="B117" s="301">
        <v>3178</v>
      </c>
      <c r="C117" s="389" t="s">
        <v>7714</v>
      </c>
      <c r="D117" s="394" t="s">
        <v>7809</v>
      </c>
      <c r="E117" s="383" t="s">
        <v>9492</v>
      </c>
      <c r="F117" s="394" t="s">
        <v>7873</v>
      </c>
      <c r="G117" s="391" t="s">
        <v>565</v>
      </c>
    </row>
    <row r="118" spans="2:7" ht="30" customHeight="1" x14ac:dyDescent="0.25">
      <c r="B118" s="301">
        <v>3179</v>
      </c>
      <c r="C118" s="389" t="s">
        <v>7714</v>
      </c>
      <c r="D118" s="394" t="s">
        <v>7810</v>
      </c>
      <c r="E118" s="383" t="s">
        <v>9490</v>
      </c>
      <c r="F118" s="394" t="s">
        <v>7874</v>
      </c>
      <c r="G118" s="391" t="s">
        <v>565</v>
      </c>
    </row>
    <row r="119" spans="2:7" ht="30" customHeight="1" x14ac:dyDescent="0.25">
      <c r="B119" s="301">
        <v>3180</v>
      </c>
      <c r="C119" s="389" t="s">
        <v>7714</v>
      </c>
      <c r="D119" s="394" t="s">
        <v>7811</v>
      </c>
      <c r="E119" s="383" t="s">
        <v>9493</v>
      </c>
      <c r="F119" s="394" t="s">
        <v>7875</v>
      </c>
      <c r="G119" s="391" t="s">
        <v>565</v>
      </c>
    </row>
    <row r="120" spans="2:7" ht="30" customHeight="1" x14ac:dyDescent="0.25">
      <c r="B120" s="301">
        <v>3181</v>
      </c>
      <c r="C120" s="389" t="s">
        <v>7714</v>
      </c>
      <c r="D120" s="394" t="s">
        <v>7812</v>
      </c>
      <c r="E120" s="383" t="s">
        <v>9494</v>
      </c>
      <c r="F120" s="394" t="s">
        <v>7876</v>
      </c>
      <c r="G120" s="391" t="s">
        <v>565</v>
      </c>
    </row>
    <row r="121" spans="2:7" ht="30" customHeight="1" x14ac:dyDescent="0.25">
      <c r="B121" s="301">
        <v>3182</v>
      </c>
      <c r="C121" s="389" t="s">
        <v>7714</v>
      </c>
      <c r="D121" s="394" t="s">
        <v>7813</v>
      </c>
      <c r="E121" s="383" t="s">
        <v>9495</v>
      </c>
      <c r="F121" s="394" t="s">
        <v>7876</v>
      </c>
      <c r="G121" s="391" t="s">
        <v>565</v>
      </c>
    </row>
    <row r="122" spans="2:7" ht="30" customHeight="1" x14ac:dyDescent="0.25">
      <c r="B122" s="301">
        <v>3183</v>
      </c>
      <c r="C122" s="389" t="s">
        <v>7714</v>
      </c>
      <c r="D122" s="394" t="s">
        <v>7814</v>
      </c>
      <c r="E122" s="383" t="s">
        <v>9496</v>
      </c>
      <c r="F122" s="394" t="s">
        <v>7876</v>
      </c>
      <c r="G122" s="391" t="s">
        <v>565</v>
      </c>
    </row>
    <row r="123" spans="2:7" ht="30" customHeight="1" x14ac:dyDescent="0.25">
      <c r="B123" s="301">
        <v>3184</v>
      </c>
      <c r="C123" s="389" t="s">
        <v>7714</v>
      </c>
      <c r="D123" s="394" t="s">
        <v>7815</v>
      </c>
      <c r="E123" s="383" t="s">
        <v>9497</v>
      </c>
      <c r="F123" s="394" t="s">
        <v>7876</v>
      </c>
      <c r="G123" s="391" t="s">
        <v>565</v>
      </c>
    </row>
    <row r="124" spans="2:7" ht="30" customHeight="1" x14ac:dyDescent="0.25">
      <c r="B124" s="301">
        <v>3185</v>
      </c>
      <c r="C124" s="389" t="s">
        <v>7714</v>
      </c>
      <c r="D124" s="394" t="s">
        <v>7816</v>
      </c>
      <c r="E124" s="383" t="s">
        <v>9498</v>
      </c>
      <c r="F124" s="394" t="s">
        <v>7876</v>
      </c>
      <c r="G124" s="391" t="s">
        <v>565</v>
      </c>
    </row>
    <row r="125" spans="2:7" ht="30" customHeight="1" x14ac:dyDescent="0.25">
      <c r="B125" s="301">
        <v>3186</v>
      </c>
      <c r="C125" s="389" t="s">
        <v>7714</v>
      </c>
      <c r="D125" s="394" t="s">
        <v>7817</v>
      </c>
      <c r="E125" s="383" t="s">
        <v>9499</v>
      </c>
      <c r="F125" s="394" t="s">
        <v>7876</v>
      </c>
      <c r="G125" s="391" t="s">
        <v>565</v>
      </c>
    </row>
    <row r="126" spans="2:7" ht="30" customHeight="1" x14ac:dyDescent="0.25">
      <c r="B126" s="301">
        <v>3187</v>
      </c>
      <c r="C126" s="389" t="s">
        <v>7714</v>
      </c>
      <c r="D126" s="394" t="s">
        <v>7818</v>
      </c>
      <c r="E126" s="383" t="s">
        <v>9500</v>
      </c>
      <c r="F126" s="394" t="s">
        <v>7877</v>
      </c>
      <c r="G126" s="391" t="s">
        <v>565</v>
      </c>
    </row>
    <row r="127" spans="2:7" ht="30" customHeight="1" x14ac:dyDescent="0.25">
      <c r="B127" s="301">
        <v>3188</v>
      </c>
      <c r="C127" s="389" t="s">
        <v>7714</v>
      </c>
      <c r="D127" s="390" t="s">
        <v>7878</v>
      </c>
      <c r="E127" s="383" t="s">
        <v>9501</v>
      </c>
      <c r="F127" s="389" t="s">
        <v>346</v>
      </c>
      <c r="G127" s="391" t="s">
        <v>565</v>
      </c>
    </row>
    <row r="128" spans="2:7" ht="30" customHeight="1" x14ac:dyDescent="0.25">
      <c r="B128" s="299">
        <v>3189</v>
      </c>
      <c r="C128" s="302" t="s">
        <v>9040</v>
      </c>
      <c r="D128" s="303" t="s">
        <v>9041</v>
      </c>
      <c r="E128" s="303" t="s">
        <v>9502</v>
      </c>
      <c r="F128" s="269" t="s">
        <v>9042</v>
      </c>
      <c r="G128" s="302" t="s">
        <v>565</v>
      </c>
    </row>
    <row r="129" spans="2:7" ht="30" customHeight="1" x14ac:dyDescent="0.25">
      <c r="B129" s="299">
        <v>3190</v>
      </c>
      <c r="C129" s="302" t="s">
        <v>9040</v>
      </c>
      <c r="D129" s="303" t="s">
        <v>9043</v>
      </c>
      <c r="E129" s="303" t="s">
        <v>9503</v>
      </c>
      <c r="F129" s="269" t="s">
        <v>9042</v>
      </c>
      <c r="G129" s="302" t="s">
        <v>565</v>
      </c>
    </row>
    <row r="130" spans="2:7" ht="30" customHeight="1" x14ac:dyDescent="0.25">
      <c r="B130" s="299">
        <v>3191</v>
      </c>
      <c r="C130" s="302" t="s">
        <v>9040</v>
      </c>
      <c r="D130" s="303" t="s">
        <v>9044</v>
      </c>
      <c r="E130" s="303" t="s">
        <v>9504</v>
      </c>
      <c r="F130" s="269" t="s">
        <v>9042</v>
      </c>
      <c r="G130" s="302" t="s">
        <v>565</v>
      </c>
    </row>
    <row r="131" spans="2:7" ht="30" customHeight="1" x14ac:dyDescent="0.25">
      <c r="B131" s="299">
        <v>3192</v>
      </c>
      <c r="C131" s="302" t="s">
        <v>9040</v>
      </c>
      <c r="D131" s="303" t="s">
        <v>9045</v>
      </c>
      <c r="E131" s="303" t="s">
        <v>9505</v>
      </c>
      <c r="F131" s="269" t="s">
        <v>9042</v>
      </c>
      <c r="G131" s="302" t="s">
        <v>565</v>
      </c>
    </row>
    <row r="132" spans="2:7" ht="30" customHeight="1" x14ac:dyDescent="0.25">
      <c r="B132" s="299">
        <v>3193</v>
      </c>
      <c r="C132" s="302" t="s">
        <v>9040</v>
      </c>
      <c r="D132" s="303" t="s">
        <v>9046</v>
      </c>
      <c r="E132" s="303" t="s">
        <v>9506</v>
      </c>
      <c r="F132" s="269" t="s">
        <v>9042</v>
      </c>
      <c r="G132" s="302" t="s">
        <v>565</v>
      </c>
    </row>
    <row r="133" spans="2:7" ht="30" customHeight="1" x14ac:dyDescent="0.25">
      <c r="B133" s="299">
        <v>3194</v>
      </c>
      <c r="C133" s="302" t="s">
        <v>9040</v>
      </c>
      <c r="D133" s="303" t="s">
        <v>10265</v>
      </c>
      <c r="E133" s="303" t="s">
        <v>9507</v>
      </c>
      <c r="F133" s="260" t="s">
        <v>9047</v>
      </c>
      <c r="G133" s="302" t="s">
        <v>7689</v>
      </c>
    </row>
    <row r="134" spans="2:7" ht="30" customHeight="1" x14ac:dyDescent="0.25">
      <c r="B134" s="299">
        <v>3195</v>
      </c>
      <c r="C134" s="302" t="s">
        <v>9040</v>
      </c>
      <c r="D134" s="303" t="s">
        <v>9048</v>
      </c>
      <c r="E134" s="303" t="s">
        <v>9508</v>
      </c>
      <c r="F134" s="260" t="s">
        <v>9047</v>
      </c>
      <c r="G134" s="302" t="s">
        <v>7689</v>
      </c>
    </row>
    <row r="135" spans="2:7" ht="30" customHeight="1" x14ac:dyDescent="0.25">
      <c r="B135" s="299">
        <v>3196</v>
      </c>
      <c r="C135" s="302" t="s">
        <v>9040</v>
      </c>
      <c r="D135" s="303" t="s">
        <v>9049</v>
      </c>
      <c r="E135" s="303" t="s">
        <v>9509</v>
      </c>
      <c r="F135" s="260" t="s">
        <v>9047</v>
      </c>
      <c r="G135" s="302" t="s">
        <v>7689</v>
      </c>
    </row>
    <row r="136" spans="2:7" ht="30" customHeight="1" x14ac:dyDescent="0.25">
      <c r="B136" s="299">
        <v>3197</v>
      </c>
      <c r="C136" s="302" t="s">
        <v>9040</v>
      </c>
      <c r="D136" s="303" t="s">
        <v>9050</v>
      </c>
      <c r="E136" s="303" t="s">
        <v>9509</v>
      </c>
      <c r="F136" s="260" t="s">
        <v>9047</v>
      </c>
      <c r="G136" s="302" t="s">
        <v>7689</v>
      </c>
    </row>
    <row r="137" spans="2:7" ht="30" customHeight="1" x14ac:dyDescent="0.25">
      <c r="B137" s="299">
        <v>3198</v>
      </c>
      <c r="C137" s="302" t="s">
        <v>9040</v>
      </c>
      <c r="D137" s="303" t="s">
        <v>9051</v>
      </c>
      <c r="E137" s="303" t="s">
        <v>9510</v>
      </c>
      <c r="F137" s="260" t="s">
        <v>9047</v>
      </c>
      <c r="G137" s="302" t="s">
        <v>7689</v>
      </c>
    </row>
    <row r="138" spans="2:7" ht="30" customHeight="1" x14ac:dyDescent="0.25">
      <c r="B138" s="299">
        <v>3199</v>
      </c>
      <c r="C138" s="302" t="s">
        <v>9040</v>
      </c>
      <c r="D138" s="303" t="s">
        <v>9052</v>
      </c>
      <c r="E138" s="303" t="s">
        <v>9511</v>
      </c>
      <c r="F138" s="260" t="s">
        <v>9047</v>
      </c>
      <c r="G138" s="302" t="s">
        <v>7689</v>
      </c>
    </row>
    <row r="139" spans="2:7" ht="30" customHeight="1" x14ac:dyDescent="0.25">
      <c r="B139" s="299">
        <v>3200</v>
      </c>
      <c r="C139" s="302" t="s">
        <v>9040</v>
      </c>
      <c r="D139" s="303" t="s">
        <v>9053</v>
      </c>
      <c r="E139" s="303" t="s">
        <v>9510</v>
      </c>
      <c r="F139" s="260" t="s">
        <v>9047</v>
      </c>
      <c r="G139" s="302" t="s">
        <v>7689</v>
      </c>
    </row>
    <row r="140" spans="2:7" ht="30" customHeight="1" x14ac:dyDescent="0.25">
      <c r="B140" s="299">
        <v>3201</v>
      </c>
      <c r="C140" s="302" t="s">
        <v>9040</v>
      </c>
      <c r="D140" s="303" t="s">
        <v>9052</v>
      </c>
      <c r="E140" s="303" t="s">
        <v>9511</v>
      </c>
      <c r="F140" s="260" t="s">
        <v>9047</v>
      </c>
      <c r="G140" s="302" t="s">
        <v>7689</v>
      </c>
    </row>
    <row r="141" spans="2:7" ht="30" customHeight="1" x14ac:dyDescent="0.25">
      <c r="B141" s="299">
        <v>3202</v>
      </c>
      <c r="C141" s="302" t="s">
        <v>9040</v>
      </c>
      <c r="D141" s="303" t="s">
        <v>9054</v>
      </c>
      <c r="E141" s="303" t="s">
        <v>9512</v>
      </c>
      <c r="F141" s="269" t="s">
        <v>9042</v>
      </c>
      <c r="G141" s="302" t="s">
        <v>565</v>
      </c>
    </row>
    <row r="142" spans="2:7" ht="30" customHeight="1" x14ac:dyDescent="0.25">
      <c r="B142" s="299">
        <v>3203</v>
      </c>
      <c r="C142" s="302" t="s">
        <v>9040</v>
      </c>
      <c r="D142" s="303" t="s">
        <v>9055</v>
      </c>
      <c r="E142" s="303" t="s">
        <v>9513</v>
      </c>
      <c r="F142" s="260" t="s">
        <v>9047</v>
      </c>
      <c r="G142" s="302" t="s">
        <v>7689</v>
      </c>
    </row>
    <row r="143" spans="2:7" ht="30" customHeight="1" x14ac:dyDescent="0.25">
      <c r="B143" s="299">
        <v>3204</v>
      </c>
      <c r="C143" s="302" t="s">
        <v>9040</v>
      </c>
      <c r="D143" s="304" t="s">
        <v>9056</v>
      </c>
      <c r="E143" s="395" t="s">
        <v>9514</v>
      </c>
      <c r="F143" s="269" t="s">
        <v>9042</v>
      </c>
      <c r="G143" s="269" t="s">
        <v>565</v>
      </c>
    </row>
    <row r="144" spans="2:7" ht="30" customHeight="1" x14ac:dyDescent="0.25">
      <c r="B144" s="299">
        <v>3205</v>
      </c>
      <c r="C144" s="302" t="s">
        <v>9040</v>
      </c>
      <c r="D144" s="304" t="s">
        <v>9057</v>
      </c>
      <c r="E144" s="396" t="s">
        <v>9515</v>
      </c>
      <c r="F144" s="269" t="s">
        <v>9042</v>
      </c>
      <c r="G144" s="269" t="s">
        <v>565</v>
      </c>
    </row>
    <row r="145" spans="2:7" ht="30" customHeight="1" x14ac:dyDescent="0.25">
      <c r="B145" s="299">
        <v>3206</v>
      </c>
      <c r="C145" s="302" t="s">
        <v>9040</v>
      </c>
      <c r="D145" s="304" t="s">
        <v>9058</v>
      </c>
      <c r="E145" s="304" t="s">
        <v>9516</v>
      </c>
      <c r="F145" s="269" t="s">
        <v>9059</v>
      </c>
      <c r="G145" s="269" t="s">
        <v>565</v>
      </c>
    </row>
    <row r="146" spans="2:7" ht="30" customHeight="1" x14ac:dyDescent="0.25">
      <c r="B146" s="299">
        <v>3207</v>
      </c>
      <c r="C146" s="302" t="s">
        <v>9040</v>
      </c>
      <c r="D146" s="304" t="s">
        <v>9060</v>
      </c>
      <c r="E146" s="304" t="s">
        <v>9516</v>
      </c>
      <c r="F146" s="269" t="s">
        <v>9042</v>
      </c>
      <c r="G146" s="269" t="s">
        <v>565</v>
      </c>
    </row>
    <row r="147" spans="2:7" ht="30" customHeight="1" x14ac:dyDescent="0.25">
      <c r="B147" s="299">
        <v>3208</v>
      </c>
      <c r="C147" s="302" t="s">
        <v>9040</v>
      </c>
      <c r="D147" s="304" t="s">
        <v>9061</v>
      </c>
      <c r="E147" s="304" t="s">
        <v>9517</v>
      </c>
      <c r="F147" s="269" t="s">
        <v>9042</v>
      </c>
      <c r="G147" s="269" t="s">
        <v>565</v>
      </c>
    </row>
    <row r="148" spans="2:7" ht="30" customHeight="1" x14ac:dyDescent="0.25">
      <c r="B148" s="299">
        <v>3209</v>
      </c>
      <c r="C148" s="302" t="s">
        <v>9040</v>
      </c>
      <c r="D148" s="304" t="s">
        <v>9062</v>
      </c>
      <c r="E148" s="304" t="s">
        <v>9518</v>
      </c>
      <c r="F148" s="269" t="s">
        <v>9042</v>
      </c>
      <c r="G148" s="269" t="s">
        <v>565</v>
      </c>
    </row>
    <row r="149" spans="2:7" ht="30" customHeight="1" x14ac:dyDescent="0.25">
      <c r="B149" s="299">
        <v>3210</v>
      </c>
      <c r="C149" s="302" t="s">
        <v>9040</v>
      </c>
      <c r="D149" s="304" t="s">
        <v>9063</v>
      </c>
      <c r="E149" s="304" t="s">
        <v>9519</v>
      </c>
      <c r="F149" s="269" t="s">
        <v>9042</v>
      </c>
      <c r="G149" s="269" t="s">
        <v>565</v>
      </c>
    </row>
    <row r="150" spans="2:7" ht="30" customHeight="1" x14ac:dyDescent="0.25">
      <c r="B150" s="299">
        <v>3211</v>
      </c>
      <c r="C150" s="302" t="s">
        <v>9040</v>
      </c>
      <c r="D150" s="304" t="s">
        <v>9064</v>
      </c>
      <c r="E150" s="304" t="s">
        <v>9520</v>
      </c>
      <c r="F150" s="269" t="s">
        <v>9042</v>
      </c>
      <c r="G150" s="269" t="s">
        <v>565</v>
      </c>
    </row>
    <row r="151" spans="2:7" ht="30" customHeight="1" x14ac:dyDescent="0.25">
      <c r="B151" s="299">
        <v>3212</v>
      </c>
      <c r="C151" s="302" t="s">
        <v>9040</v>
      </c>
      <c r="D151" s="304" t="s">
        <v>9065</v>
      </c>
      <c r="E151" s="304" t="s">
        <v>9521</v>
      </c>
      <c r="F151" s="269" t="s">
        <v>9066</v>
      </c>
      <c r="G151" s="269" t="s">
        <v>565</v>
      </c>
    </row>
    <row r="152" spans="2:7" ht="30" customHeight="1" x14ac:dyDescent="0.25">
      <c r="B152" s="299">
        <v>3213</v>
      </c>
      <c r="C152" s="302" t="s">
        <v>9040</v>
      </c>
      <c r="D152" s="304" t="s">
        <v>9067</v>
      </c>
      <c r="E152" s="304" t="s">
        <v>9522</v>
      </c>
      <c r="F152" s="269" t="s">
        <v>9066</v>
      </c>
      <c r="G152" s="269" t="s">
        <v>565</v>
      </c>
    </row>
    <row r="153" spans="2:7" ht="30" customHeight="1" x14ac:dyDescent="0.25">
      <c r="B153" s="299">
        <v>3214</v>
      </c>
      <c r="C153" s="302" t="s">
        <v>9040</v>
      </c>
      <c r="D153" s="304" t="s">
        <v>9068</v>
      </c>
      <c r="E153" s="304" t="s">
        <v>9523</v>
      </c>
      <c r="F153" s="269" t="s">
        <v>9066</v>
      </c>
      <c r="G153" s="269" t="s">
        <v>565</v>
      </c>
    </row>
    <row r="154" spans="2:7" ht="30" customHeight="1" x14ac:dyDescent="0.25">
      <c r="B154" s="299">
        <v>3215</v>
      </c>
      <c r="C154" s="302" t="s">
        <v>9040</v>
      </c>
      <c r="D154" s="304" t="s">
        <v>9069</v>
      </c>
      <c r="E154" s="304" t="s">
        <v>9524</v>
      </c>
      <c r="F154" s="269" t="s">
        <v>9066</v>
      </c>
      <c r="G154" s="269" t="s">
        <v>565</v>
      </c>
    </row>
    <row r="155" spans="2:7" ht="30" customHeight="1" x14ac:dyDescent="0.25">
      <c r="B155" s="300">
        <v>3216</v>
      </c>
      <c r="C155" s="302" t="s">
        <v>9040</v>
      </c>
      <c r="D155" s="304" t="s">
        <v>9070</v>
      </c>
      <c r="E155" s="304" t="s">
        <v>9525</v>
      </c>
      <c r="F155" s="269" t="s">
        <v>9066</v>
      </c>
      <c r="G155" s="269" t="s">
        <v>565</v>
      </c>
    </row>
    <row r="156" spans="2:7" ht="271.5" customHeight="1" x14ac:dyDescent="0.25">
      <c r="B156" s="299">
        <v>3217</v>
      </c>
      <c r="C156" s="397" t="s">
        <v>9090</v>
      </c>
      <c r="D156" s="398" t="s">
        <v>9208</v>
      </c>
      <c r="E156" s="368" t="s">
        <v>9209</v>
      </c>
      <c r="F156" s="397" t="s">
        <v>1557</v>
      </c>
      <c r="G156" s="397" t="s">
        <v>7684</v>
      </c>
    </row>
    <row r="157" spans="2:7" ht="213.75" customHeight="1" x14ac:dyDescent="0.25">
      <c r="B157" s="299">
        <v>3218</v>
      </c>
      <c r="C157" s="397" t="s">
        <v>9090</v>
      </c>
      <c r="D157" s="398" t="s">
        <v>9091</v>
      </c>
      <c r="E157" s="368" t="s">
        <v>9134</v>
      </c>
      <c r="F157" s="397" t="s">
        <v>1557</v>
      </c>
      <c r="G157" s="397" t="s">
        <v>7684</v>
      </c>
    </row>
    <row r="158" spans="2:7" ht="157.5" customHeight="1" x14ac:dyDescent="0.25">
      <c r="B158" s="300">
        <v>3219</v>
      </c>
      <c r="C158" s="397" t="s">
        <v>9090</v>
      </c>
      <c r="D158" s="399" t="s">
        <v>9092</v>
      </c>
      <c r="E158" s="400" t="s">
        <v>9135</v>
      </c>
      <c r="F158" s="401" t="s">
        <v>1557</v>
      </c>
      <c r="G158" s="401" t="s">
        <v>7684</v>
      </c>
    </row>
    <row r="159" spans="2:7" ht="30" customHeight="1" x14ac:dyDescent="0.25">
      <c r="B159" s="301">
        <v>3220</v>
      </c>
      <c r="C159" s="305" t="s">
        <v>8023</v>
      </c>
      <c r="D159" s="305" t="s">
        <v>8024</v>
      </c>
      <c r="E159" s="383" t="s">
        <v>9526</v>
      </c>
      <c r="F159" s="305" t="s">
        <v>8037</v>
      </c>
      <c r="G159" s="306" t="s">
        <v>565</v>
      </c>
    </row>
    <row r="160" spans="2:7" ht="30" customHeight="1" x14ac:dyDescent="0.25">
      <c r="B160" s="301">
        <v>3221</v>
      </c>
      <c r="C160" s="305" t="s">
        <v>8023</v>
      </c>
      <c r="D160" s="305" t="s">
        <v>8024</v>
      </c>
      <c r="E160" s="383" t="s">
        <v>9526</v>
      </c>
      <c r="F160" s="305" t="s">
        <v>8038</v>
      </c>
      <c r="G160" s="307" t="s">
        <v>565</v>
      </c>
    </row>
    <row r="161" spans="2:7" ht="30" customHeight="1" x14ac:dyDescent="0.25">
      <c r="B161" s="301">
        <v>3222</v>
      </c>
      <c r="C161" s="305" t="s">
        <v>8023</v>
      </c>
      <c r="D161" s="305" t="s">
        <v>8025</v>
      </c>
      <c r="E161" s="383" t="s">
        <v>9527</v>
      </c>
      <c r="F161" s="305" t="s">
        <v>8039</v>
      </c>
      <c r="G161" s="307" t="s">
        <v>8537</v>
      </c>
    </row>
    <row r="162" spans="2:7" ht="30" customHeight="1" x14ac:dyDescent="0.25">
      <c r="B162" s="301">
        <v>3223</v>
      </c>
      <c r="C162" s="305" t="s">
        <v>8023</v>
      </c>
      <c r="D162" s="305" t="s">
        <v>8026</v>
      </c>
      <c r="E162" s="383" t="s">
        <v>9528</v>
      </c>
      <c r="F162" s="305" t="s">
        <v>8040</v>
      </c>
      <c r="G162" s="307" t="s">
        <v>565</v>
      </c>
    </row>
    <row r="163" spans="2:7" ht="30" customHeight="1" x14ac:dyDescent="0.25">
      <c r="B163" s="301">
        <v>3224</v>
      </c>
      <c r="C163" s="305" t="s">
        <v>8023</v>
      </c>
      <c r="D163" s="305" t="s">
        <v>8027</v>
      </c>
      <c r="E163" s="383" t="s">
        <v>9529</v>
      </c>
      <c r="F163" s="305" t="s">
        <v>9568</v>
      </c>
      <c r="G163" s="307" t="s">
        <v>565</v>
      </c>
    </row>
    <row r="164" spans="2:7" ht="30" customHeight="1" x14ac:dyDescent="0.25">
      <c r="B164" s="301">
        <v>3225</v>
      </c>
      <c r="C164" s="305" t="s">
        <v>8023</v>
      </c>
      <c r="D164" s="305" t="s">
        <v>8026</v>
      </c>
      <c r="E164" s="383" t="s">
        <v>9530</v>
      </c>
      <c r="F164" s="305" t="s">
        <v>8041</v>
      </c>
      <c r="G164" s="307" t="s">
        <v>565</v>
      </c>
    </row>
    <row r="165" spans="2:7" ht="30" customHeight="1" x14ac:dyDescent="0.25">
      <c r="B165" s="301">
        <v>3226</v>
      </c>
      <c r="C165" s="305" t="s">
        <v>8023</v>
      </c>
      <c r="D165" s="305" t="s">
        <v>8028</v>
      </c>
      <c r="E165" s="383" t="s">
        <v>9531</v>
      </c>
      <c r="F165" s="305" t="s">
        <v>8042</v>
      </c>
      <c r="G165" s="307" t="s">
        <v>565</v>
      </c>
    </row>
    <row r="166" spans="2:7" ht="30" customHeight="1" x14ac:dyDescent="0.25">
      <c r="B166" s="301">
        <v>3227</v>
      </c>
      <c r="C166" s="305" t="s">
        <v>8023</v>
      </c>
      <c r="D166" s="305" t="s">
        <v>8026</v>
      </c>
      <c r="E166" s="383" t="s">
        <v>9530</v>
      </c>
      <c r="F166" s="305" t="s">
        <v>8043</v>
      </c>
      <c r="G166" s="307" t="s">
        <v>565</v>
      </c>
    </row>
    <row r="167" spans="2:7" ht="30" customHeight="1" x14ac:dyDescent="0.25">
      <c r="B167" s="301">
        <v>3228</v>
      </c>
      <c r="C167" s="305" t="s">
        <v>8023</v>
      </c>
      <c r="D167" s="305" t="s">
        <v>8029</v>
      </c>
      <c r="E167" s="383" t="s">
        <v>9532</v>
      </c>
      <c r="F167" s="305" t="s">
        <v>8044</v>
      </c>
      <c r="G167" s="307" t="s">
        <v>565</v>
      </c>
    </row>
    <row r="168" spans="2:7" ht="30" customHeight="1" x14ac:dyDescent="0.25">
      <c r="B168" s="301">
        <v>3229</v>
      </c>
      <c r="C168" s="305" t="s">
        <v>8023</v>
      </c>
      <c r="D168" s="305" t="s">
        <v>8030</v>
      </c>
      <c r="E168" s="383" t="s">
        <v>9533</v>
      </c>
      <c r="F168" s="305" t="s">
        <v>8045</v>
      </c>
      <c r="G168" s="307" t="s">
        <v>565</v>
      </c>
    </row>
    <row r="169" spans="2:7" ht="30" customHeight="1" x14ac:dyDescent="0.25">
      <c r="B169" s="301">
        <v>3230</v>
      </c>
      <c r="C169" s="305" t="s">
        <v>8023</v>
      </c>
      <c r="D169" s="305" t="s">
        <v>9157</v>
      </c>
      <c r="E169" s="383" t="s">
        <v>9533</v>
      </c>
      <c r="F169" s="305" t="s">
        <v>8046</v>
      </c>
      <c r="G169" s="307" t="s">
        <v>565</v>
      </c>
    </row>
    <row r="170" spans="2:7" ht="30" customHeight="1" x14ac:dyDescent="0.25">
      <c r="B170" s="301">
        <v>3231</v>
      </c>
      <c r="C170" s="305" t="s">
        <v>8023</v>
      </c>
      <c r="D170" s="305" t="s">
        <v>8031</v>
      </c>
      <c r="E170" s="383" t="s">
        <v>9534</v>
      </c>
      <c r="F170" s="305" t="s">
        <v>8047</v>
      </c>
      <c r="G170" s="307" t="s">
        <v>565</v>
      </c>
    </row>
    <row r="171" spans="2:7" ht="30" customHeight="1" x14ac:dyDescent="0.25">
      <c r="B171" s="301">
        <v>3232</v>
      </c>
      <c r="C171" s="305" t="s">
        <v>8032</v>
      </c>
      <c r="D171" s="305" t="s">
        <v>8033</v>
      </c>
      <c r="E171" s="256" t="s">
        <v>9024</v>
      </c>
      <c r="F171" s="305" t="s">
        <v>8048</v>
      </c>
      <c r="G171" s="260" t="s">
        <v>84</v>
      </c>
    </row>
    <row r="172" spans="2:7" ht="122.25" customHeight="1" x14ac:dyDescent="0.25">
      <c r="B172" s="301">
        <v>3233</v>
      </c>
      <c r="C172" s="305" t="s">
        <v>8032</v>
      </c>
      <c r="D172" s="305" t="s">
        <v>8034</v>
      </c>
      <c r="E172" s="298" t="s">
        <v>9535</v>
      </c>
      <c r="F172" s="305" t="s">
        <v>8049</v>
      </c>
      <c r="G172" s="260" t="s">
        <v>565</v>
      </c>
    </row>
    <row r="173" spans="2:7" ht="30" customHeight="1" x14ac:dyDescent="0.25">
      <c r="B173" s="301">
        <v>3234</v>
      </c>
      <c r="C173" s="305" t="s">
        <v>8032</v>
      </c>
      <c r="D173" s="305" t="s">
        <v>8035</v>
      </c>
      <c r="E173" s="256" t="s">
        <v>9025</v>
      </c>
      <c r="F173" s="305" t="s">
        <v>6789</v>
      </c>
      <c r="G173" s="260" t="s">
        <v>84</v>
      </c>
    </row>
    <row r="174" spans="2:7" ht="30" customHeight="1" x14ac:dyDescent="0.25">
      <c r="B174" s="301">
        <v>3235</v>
      </c>
      <c r="C174" s="394"/>
      <c r="D174" s="394" t="s">
        <v>8036</v>
      </c>
      <c r="E174" s="298" t="s">
        <v>9536</v>
      </c>
      <c r="F174" s="394"/>
      <c r="G174" s="394" t="s">
        <v>565</v>
      </c>
    </row>
    <row r="175" spans="2:7" ht="30" customHeight="1" x14ac:dyDescent="0.25">
      <c r="B175" s="322">
        <v>3238</v>
      </c>
      <c r="C175" s="308" t="s">
        <v>8862</v>
      </c>
      <c r="D175" s="255" t="s">
        <v>8863</v>
      </c>
      <c r="E175" s="402" t="s">
        <v>9537</v>
      </c>
      <c r="F175" s="308" t="s">
        <v>8864</v>
      </c>
      <c r="G175" s="281" t="s">
        <v>572</v>
      </c>
    </row>
    <row r="176" spans="2:7" ht="30" customHeight="1" x14ac:dyDescent="0.25">
      <c r="B176" s="322"/>
      <c r="C176" s="308"/>
      <c r="D176" s="310"/>
      <c r="E176" s="403"/>
      <c r="F176" s="308"/>
      <c r="G176" s="281"/>
    </row>
    <row r="177" spans="1:7" ht="30" customHeight="1" x14ac:dyDescent="0.25">
      <c r="B177" s="322"/>
      <c r="C177" s="308"/>
      <c r="D177" s="310"/>
      <c r="E177" s="403"/>
      <c r="F177" s="308"/>
      <c r="G177" s="281"/>
    </row>
    <row r="178" spans="1:7" ht="30" customHeight="1" x14ac:dyDescent="0.25">
      <c r="A178" s="309"/>
      <c r="B178" s="322"/>
      <c r="C178" s="308"/>
      <c r="D178" s="310"/>
      <c r="E178" s="403"/>
      <c r="F178" s="308"/>
      <c r="G178" s="281"/>
    </row>
    <row r="179" spans="1:7" ht="30" customHeight="1" x14ac:dyDescent="0.25">
      <c r="A179" s="309"/>
      <c r="B179" s="322"/>
      <c r="C179" s="308"/>
      <c r="D179" s="310"/>
      <c r="E179" s="404"/>
      <c r="F179" s="308"/>
      <c r="G179" s="281"/>
    </row>
    <row r="180" spans="1:7" ht="30" customHeight="1" x14ac:dyDescent="0.25">
      <c r="B180" s="405">
        <v>3239</v>
      </c>
      <c r="C180" s="271" t="s">
        <v>8862</v>
      </c>
      <c r="D180" s="387" t="s">
        <v>8865</v>
      </c>
      <c r="E180" s="348" t="s">
        <v>9538</v>
      </c>
      <c r="F180" s="271" t="s">
        <v>8866</v>
      </c>
      <c r="G180" s="256" t="s">
        <v>572</v>
      </c>
    </row>
    <row r="181" spans="1:7" ht="30" customHeight="1" x14ac:dyDescent="0.25">
      <c r="B181" s="405">
        <v>3240</v>
      </c>
      <c r="C181" s="271" t="s">
        <v>8862</v>
      </c>
      <c r="D181" s="387" t="s">
        <v>10266</v>
      </c>
      <c r="E181" s="383" t="s">
        <v>9539</v>
      </c>
      <c r="F181" s="271" t="s">
        <v>8867</v>
      </c>
      <c r="G181" s="256" t="s">
        <v>572</v>
      </c>
    </row>
    <row r="182" spans="1:7" ht="30" customHeight="1" x14ac:dyDescent="0.25">
      <c r="B182" s="405">
        <v>3241</v>
      </c>
      <c r="C182" s="271" t="s">
        <v>8862</v>
      </c>
      <c r="D182" s="387" t="s">
        <v>10267</v>
      </c>
      <c r="E182" s="383" t="s">
        <v>9540</v>
      </c>
      <c r="F182" s="271" t="s">
        <v>8868</v>
      </c>
      <c r="G182" s="271" t="s">
        <v>572</v>
      </c>
    </row>
    <row r="183" spans="1:7" ht="30" customHeight="1" x14ac:dyDescent="0.25">
      <c r="B183" s="405">
        <v>3242</v>
      </c>
      <c r="C183" s="271" t="s">
        <v>8862</v>
      </c>
      <c r="D183" s="387" t="s">
        <v>10268</v>
      </c>
      <c r="E183" s="383" t="s">
        <v>9541</v>
      </c>
      <c r="F183" s="271" t="s">
        <v>8869</v>
      </c>
      <c r="G183" s="271" t="s">
        <v>572</v>
      </c>
    </row>
    <row r="184" spans="1:7" ht="30" customHeight="1" x14ac:dyDescent="0.25">
      <c r="B184" s="405">
        <v>3243</v>
      </c>
      <c r="C184" s="271" t="s">
        <v>8862</v>
      </c>
      <c r="D184" s="387" t="s">
        <v>8870</v>
      </c>
      <c r="E184" s="383" t="s">
        <v>9542</v>
      </c>
      <c r="F184" s="271"/>
      <c r="G184" s="271" t="s">
        <v>2514</v>
      </c>
    </row>
    <row r="185" spans="1:7" ht="30" customHeight="1" x14ac:dyDescent="0.25">
      <c r="B185" s="323">
        <v>3244</v>
      </c>
      <c r="C185" s="308" t="s">
        <v>8862</v>
      </c>
      <c r="D185" s="271" t="s">
        <v>8871</v>
      </c>
      <c r="E185" s="406" t="s">
        <v>9543</v>
      </c>
      <c r="F185" s="308" t="s">
        <v>8873</v>
      </c>
      <c r="G185" s="308" t="s">
        <v>572</v>
      </c>
    </row>
    <row r="186" spans="1:7" ht="30" customHeight="1" x14ac:dyDescent="0.25">
      <c r="B186" s="323"/>
      <c r="C186" s="308"/>
      <c r="D186" s="298" t="s">
        <v>8872</v>
      </c>
      <c r="E186" s="407"/>
      <c r="F186" s="308"/>
      <c r="G186" s="308"/>
    </row>
    <row r="187" spans="1:7" ht="30" customHeight="1" x14ac:dyDescent="0.25">
      <c r="B187" s="405">
        <v>3245</v>
      </c>
      <c r="C187" s="271" t="s">
        <v>8862</v>
      </c>
      <c r="D187" s="387" t="s">
        <v>8874</v>
      </c>
      <c r="E187" s="383" t="s">
        <v>9544</v>
      </c>
      <c r="F187" s="271" t="s">
        <v>8875</v>
      </c>
      <c r="G187" s="271" t="s">
        <v>572</v>
      </c>
    </row>
    <row r="188" spans="1:7" ht="30" customHeight="1" x14ac:dyDescent="0.25">
      <c r="B188" s="405">
        <v>3246</v>
      </c>
      <c r="C188" s="271" t="s">
        <v>8862</v>
      </c>
      <c r="D188" s="408" t="s">
        <v>10269</v>
      </c>
      <c r="E188" s="383" t="s">
        <v>9545</v>
      </c>
      <c r="F188" s="271" t="s">
        <v>8876</v>
      </c>
      <c r="G188" s="271" t="s">
        <v>572</v>
      </c>
    </row>
    <row r="189" spans="1:7" ht="30" customHeight="1" x14ac:dyDescent="0.25">
      <c r="B189" s="405">
        <v>3247</v>
      </c>
      <c r="C189" s="271" t="s">
        <v>8862</v>
      </c>
      <c r="D189" s="304" t="s">
        <v>8877</v>
      </c>
      <c r="E189" s="261" t="s">
        <v>9546</v>
      </c>
      <c r="F189" s="269" t="s">
        <v>8878</v>
      </c>
      <c r="G189" s="269" t="s">
        <v>572</v>
      </c>
    </row>
    <row r="190" spans="1:7" ht="30" customHeight="1" x14ac:dyDescent="0.25">
      <c r="B190" s="405">
        <v>3248</v>
      </c>
      <c r="C190" s="271" t="s">
        <v>8862</v>
      </c>
      <c r="D190" s="304" t="s">
        <v>8879</v>
      </c>
      <c r="E190" s="261" t="s">
        <v>9547</v>
      </c>
      <c r="F190" s="269" t="s">
        <v>346</v>
      </c>
      <c r="G190" s="269" t="s">
        <v>572</v>
      </c>
    </row>
    <row r="191" spans="1:7" ht="30" customHeight="1" x14ac:dyDescent="0.25">
      <c r="B191" s="405">
        <v>3249</v>
      </c>
      <c r="C191" s="271" t="s">
        <v>8862</v>
      </c>
      <c r="D191" s="304" t="s">
        <v>8880</v>
      </c>
      <c r="E191" s="261" t="s">
        <v>9548</v>
      </c>
      <c r="F191" s="409" t="s">
        <v>8881</v>
      </c>
      <c r="G191" s="269" t="s">
        <v>572</v>
      </c>
    </row>
    <row r="192" spans="1:7" ht="30" customHeight="1" x14ac:dyDescent="0.25">
      <c r="B192" s="405">
        <v>3250</v>
      </c>
      <c r="C192" s="271" t="s">
        <v>8862</v>
      </c>
      <c r="D192" s="304" t="s">
        <v>8882</v>
      </c>
      <c r="E192" s="261" t="s">
        <v>9549</v>
      </c>
      <c r="F192" s="269" t="s">
        <v>346</v>
      </c>
      <c r="G192" s="269" t="s">
        <v>572</v>
      </c>
    </row>
    <row r="193" spans="2:7" ht="30" customHeight="1" x14ac:dyDescent="0.25">
      <c r="B193" s="405">
        <v>3251</v>
      </c>
      <c r="C193" s="271" t="s">
        <v>8862</v>
      </c>
      <c r="D193" s="304" t="s">
        <v>8883</v>
      </c>
      <c r="E193" s="261" t="s">
        <v>9550</v>
      </c>
      <c r="F193" s="269" t="s">
        <v>346</v>
      </c>
      <c r="G193" s="269" t="s">
        <v>572</v>
      </c>
    </row>
    <row r="194" spans="2:7" ht="30" customHeight="1" x14ac:dyDescent="0.25">
      <c r="B194" s="405">
        <v>3252</v>
      </c>
      <c r="C194" s="271" t="s">
        <v>8862</v>
      </c>
      <c r="D194" s="304" t="s">
        <v>8884</v>
      </c>
      <c r="E194" s="261" t="s">
        <v>9071</v>
      </c>
      <c r="F194" s="269" t="s">
        <v>346</v>
      </c>
      <c r="G194" s="384" t="s">
        <v>572</v>
      </c>
    </row>
    <row r="195" spans="2:7" ht="30" customHeight="1" x14ac:dyDescent="0.25">
      <c r="B195" s="405">
        <v>3253</v>
      </c>
      <c r="C195" s="271" t="s">
        <v>8862</v>
      </c>
      <c r="D195" s="304" t="s">
        <v>8885</v>
      </c>
      <c r="E195" s="261" t="s">
        <v>9551</v>
      </c>
      <c r="F195" s="269" t="s">
        <v>346</v>
      </c>
      <c r="G195" s="384" t="s">
        <v>572</v>
      </c>
    </row>
    <row r="196" spans="2:7" ht="30" customHeight="1" x14ac:dyDescent="0.25">
      <c r="B196" s="405">
        <v>3254</v>
      </c>
      <c r="C196" s="271" t="s">
        <v>8862</v>
      </c>
      <c r="D196" s="304" t="s">
        <v>8886</v>
      </c>
      <c r="E196" s="261" t="s">
        <v>9552</v>
      </c>
      <c r="F196" s="269" t="s">
        <v>346</v>
      </c>
      <c r="G196" s="269" t="s">
        <v>572</v>
      </c>
    </row>
    <row r="197" spans="2:7" ht="63.75" customHeight="1" x14ac:dyDescent="0.25">
      <c r="B197" s="405">
        <v>3255</v>
      </c>
      <c r="C197" s="271" t="s">
        <v>8862</v>
      </c>
      <c r="D197" s="304" t="s">
        <v>8887</v>
      </c>
      <c r="E197" s="261" t="s">
        <v>9553</v>
      </c>
      <c r="F197" s="269" t="s">
        <v>346</v>
      </c>
      <c r="G197" s="269" t="s">
        <v>572</v>
      </c>
    </row>
    <row r="198" spans="2:7" ht="144.75" customHeight="1" thickBot="1" x14ac:dyDescent="0.3">
      <c r="B198" s="410">
        <v>3256</v>
      </c>
      <c r="C198" s="411" t="s">
        <v>8862</v>
      </c>
      <c r="D198" s="412" t="s">
        <v>8888</v>
      </c>
      <c r="E198" s="261" t="s">
        <v>9522</v>
      </c>
      <c r="F198" s="413" t="s">
        <v>346</v>
      </c>
      <c r="G198" s="413" t="s">
        <v>2514</v>
      </c>
    </row>
    <row r="199" spans="2:7" ht="16.5" thickTop="1" x14ac:dyDescent="0.25"/>
  </sheetData>
  <autoFilter ref="B14:G198" xr:uid="{00000000-0009-0000-0000-000004000000}"/>
  <mergeCells count="21">
    <mergeCell ref="B12:G12"/>
    <mergeCell ref="B8:G8"/>
    <mergeCell ref="C10:G10"/>
    <mergeCell ref="B11:G11"/>
    <mergeCell ref="B2:G2"/>
    <mergeCell ref="B3:C5"/>
    <mergeCell ref="D3:F3"/>
    <mergeCell ref="E4:F4"/>
    <mergeCell ref="E5:F5"/>
    <mergeCell ref="B6:G6"/>
    <mergeCell ref="A178:A179"/>
    <mergeCell ref="B185:B186"/>
    <mergeCell ref="C185:C186"/>
    <mergeCell ref="E185:E186"/>
    <mergeCell ref="F185:F186"/>
    <mergeCell ref="G185:G186"/>
    <mergeCell ref="C175:C179"/>
    <mergeCell ref="B175:B179"/>
    <mergeCell ref="F175:F179"/>
    <mergeCell ref="G175:G179"/>
    <mergeCell ref="E175:E179"/>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0000000}">
          <x14:formula1>
            <xm:f>'https://anionline-my.sharepoint.com/Users/Home/Downloads/[3189 - 3216 03092020 527.xlsx]Desplegables'!#REF!</xm:f>
          </x14:formula1>
          <xm:sqref>G128:G155</xm:sqref>
        </x14:dataValidation>
        <x14:dataValidation type="list" allowBlank="1" showInputMessage="1" showErrorMessage="1" xr:uid="{00000000-0002-0000-0400-000001000000}">
          <x14:formula1>
            <xm:f>'https://anionline-my.sharepoint.com/Users/Home/Downloads/[3189 - 3216 03092020 527.xlsx]Desplegables'!#REF!</xm:f>
          </x14:formula1>
          <xm:sqref>G156:G158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E1:H9"/>
  <sheetViews>
    <sheetView workbookViewId="0">
      <selection activeCell="E2" sqref="E2:H8"/>
    </sheetView>
  </sheetViews>
  <sheetFormatPr baseColWidth="10" defaultRowHeight="12.75" x14ac:dyDescent="0.2"/>
  <sheetData>
    <row r="1" spans="5:8" ht="13.5" thickBot="1" x14ac:dyDescent="0.25"/>
    <row r="2" spans="5:8" ht="13.5" thickTop="1" x14ac:dyDescent="0.2">
      <c r="E2" s="33" t="s">
        <v>8637</v>
      </c>
      <c r="F2" s="34" t="s">
        <v>120</v>
      </c>
      <c r="G2" s="34" t="s">
        <v>987</v>
      </c>
      <c r="H2" s="35" t="s">
        <v>108</v>
      </c>
    </row>
    <row r="3" spans="5:8" x14ac:dyDescent="0.2">
      <c r="E3" s="36" t="s">
        <v>8638</v>
      </c>
      <c r="F3" s="31">
        <v>0</v>
      </c>
      <c r="G3" s="31">
        <v>0</v>
      </c>
      <c r="H3" s="32">
        <v>1</v>
      </c>
    </row>
    <row r="4" spans="5:8" x14ac:dyDescent="0.2">
      <c r="E4" s="36" t="s">
        <v>8639</v>
      </c>
      <c r="F4" s="31">
        <v>0</v>
      </c>
      <c r="G4" s="31">
        <v>0</v>
      </c>
      <c r="H4" s="32">
        <v>0</v>
      </c>
    </row>
    <row r="5" spans="5:8" x14ac:dyDescent="0.2">
      <c r="E5" s="36" t="s">
        <v>8640</v>
      </c>
      <c r="F5" s="31">
        <v>0</v>
      </c>
      <c r="G5" s="31">
        <v>1</v>
      </c>
      <c r="H5" s="32">
        <v>1</v>
      </c>
    </row>
    <row r="6" spans="5:8" x14ac:dyDescent="0.2">
      <c r="E6" s="36" t="s">
        <v>8641</v>
      </c>
      <c r="F6" s="31">
        <v>18</v>
      </c>
      <c r="G6" s="31">
        <v>0</v>
      </c>
      <c r="H6" s="32">
        <v>10</v>
      </c>
    </row>
    <row r="7" spans="5:8" x14ac:dyDescent="0.2">
      <c r="E7" s="36" t="s">
        <v>8642</v>
      </c>
      <c r="F7" s="31">
        <v>0</v>
      </c>
      <c r="G7" s="31">
        <v>3</v>
      </c>
      <c r="H7" s="32">
        <v>0</v>
      </c>
    </row>
    <row r="8" spans="5:8" ht="13.5" thickBot="1" x14ac:dyDescent="0.25">
      <c r="E8" s="37" t="s">
        <v>8643</v>
      </c>
      <c r="F8" s="38">
        <f>+SUM(F3:F7)</f>
        <v>18</v>
      </c>
      <c r="G8" s="38">
        <f t="shared" ref="G8:H8" si="0">+SUM(G3:G7)</f>
        <v>4</v>
      </c>
      <c r="H8" s="39">
        <f t="shared" si="0"/>
        <v>12</v>
      </c>
    </row>
    <row r="9" spans="5:8" ht="13.5" thickTop="1" x14ac:dyDescent="0.2"/>
  </sheetData>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E733"/>
  <sheetViews>
    <sheetView topLeftCell="B367" workbookViewId="0">
      <selection activeCell="E383" sqref="E383"/>
    </sheetView>
  </sheetViews>
  <sheetFormatPr baseColWidth="10" defaultRowHeight="12.75" x14ac:dyDescent="0.2"/>
  <cols>
    <col min="5" max="5" width="68.42578125" customWidth="1"/>
  </cols>
  <sheetData>
    <row r="1" spans="4:5" ht="15" customHeight="1" thickBot="1" x14ac:dyDescent="0.25">
      <c r="E1" s="1" t="s">
        <v>3</v>
      </c>
    </row>
    <row r="2" spans="4:5" ht="15" customHeight="1" thickBot="1" x14ac:dyDescent="0.25">
      <c r="D2">
        <v>1</v>
      </c>
      <c r="E2" s="2" t="s">
        <v>2361</v>
      </c>
    </row>
    <row r="3" spans="4:5" ht="15" customHeight="1" thickBot="1" x14ac:dyDescent="0.25">
      <c r="D3">
        <v>2</v>
      </c>
      <c r="E3" s="2" t="s">
        <v>120</v>
      </c>
    </row>
    <row r="4" spans="4:5" ht="15" customHeight="1" thickBot="1" x14ac:dyDescent="0.25">
      <c r="D4">
        <v>3</v>
      </c>
      <c r="E4" s="3" t="s">
        <v>2362</v>
      </c>
    </row>
    <row r="5" spans="4:5" ht="15" customHeight="1" thickBot="1" x14ac:dyDescent="0.25">
      <c r="D5">
        <v>4</v>
      </c>
      <c r="E5" s="3" t="s">
        <v>2363</v>
      </c>
    </row>
    <row r="6" spans="4:5" ht="15" customHeight="1" thickBot="1" x14ac:dyDescent="0.25">
      <c r="D6">
        <v>5</v>
      </c>
      <c r="E6" s="4" t="s">
        <v>2363</v>
      </c>
    </row>
    <row r="7" spans="4:5" ht="15" customHeight="1" thickBot="1" x14ac:dyDescent="0.25">
      <c r="D7">
        <v>6</v>
      </c>
      <c r="E7" s="2" t="s">
        <v>2361</v>
      </c>
    </row>
    <row r="8" spans="4:5" ht="15" customHeight="1" thickBot="1" x14ac:dyDescent="0.25">
      <c r="D8">
        <v>7</v>
      </c>
      <c r="E8" s="3" t="s">
        <v>2362</v>
      </c>
    </row>
    <row r="9" spans="4:5" ht="15" customHeight="1" thickBot="1" x14ac:dyDescent="0.25">
      <c r="D9">
        <v>8</v>
      </c>
      <c r="E9" s="2" t="s">
        <v>2364</v>
      </c>
    </row>
    <row r="10" spans="4:5" ht="15" customHeight="1" thickBot="1" x14ac:dyDescent="0.25">
      <c r="D10">
        <v>9</v>
      </c>
      <c r="E10" s="3" t="s">
        <v>2365</v>
      </c>
    </row>
    <row r="11" spans="4:5" ht="15" customHeight="1" thickBot="1" x14ac:dyDescent="0.25">
      <c r="D11">
        <v>10</v>
      </c>
      <c r="E11" s="3" t="s">
        <v>2365</v>
      </c>
    </row>
    <row r="12" spans="4:5" ht="15" customHeight="1" thickBot="1" x14ac:dyDescent="0.25">
      <c r="D12">
        <v>11</v>
      </c>
      <c r="E12" s="2" t="s">
        <v>2364</v>
      </c>
    </row>
    <row r="13" spans="4:5" ht="15" customHeight="1" thickBot="1" x14ac:dyDescent="0.25">
      <c r="D13">
        <v>12</v>
      </c>
      <c r="E13" s="5" t="s">
        <v>2366</v>
      </c>
    </row>
    <row r="14" spans="4:5" ht="15" customHeight="1" thickBot="1" x14ac:dyDescent="0.25">
      <c r="D14">
        <v>13</v>
      </c>
      <c r="E14" s="5" t="s">
        <v>2366</v>
      </c>
    </row>
    <row r="15" spans="4:5" ht="15" customHeight="1" thickBot="1" x14ac:dyDescent="0.25">
      <c r="D15">
        <v>14</v>
      </c>
      <c r="E15" s="2" t="s">
        <v>2364</v>
      </c>
    </row>
    <row r="16" spans="4:5" ht="15" customHeight="1" thickBot="1" x14ac:dyDescent="0.25">
      <c r="D16">
        <v>15</v>
      </c>
      <c r="E16" s="3" t="s">
        <v>2367</v>
      </c>
    </row>
    <row r="17" spans="4:5" ht="15" customHeight="1" thickBot="1" x14ac:dyDescent="0.25">
      <c r="D17">
        <v>16</v>
      </c>
      <c r="E17" s="3" t="s">
        <v>2368</v>
      </c>
    </row>
    <row r="18" spans="4:5" ht="15" customHeight="1" thickBot="1" x14ac:dyDescent="0.25">
      <c r="D18">
        <v>17</v>
      </c>
      <c r="E18" s="6" t="s">
        <v>2368</v>
      </c>
    </row>
    <row r="19" spans="4:5" ht="15" customHeight="1" thickBot="1" x14ac:dyDescent="0.25">
      <c r="D19">
        <v>18</v>
      </c>
      <c r="E19" s="7" t="s">
        <v>108</v>
      </c>
    </row>
    <row r="20" spans="4:5" ht="15" customHeight="1" thickBot="1" x14ac:dyDescent="0.25">
      <c r="D20">
        <v>19</v>
      </c>
      <c r="E20" s="3" t="s">
        <v>2369</v>
      </c>
    </row>
    <row r="21" spans="4:5" ht="15" customHeight="1" thickBot="1" x14ac:dyDescent="0.25">
      <c r="D21">
        <v>20</v>
      </c>
      <c r="E21" s="6" t="s">
        <v>2370</v>
      </c>
    </row>
    <row r="22" spans="4:5" ht="15" customHeight="1" thickBot="1" x14ac:dyDescent="0.25">
      <c r="D22">
        <v>21</v>
      </c>
      <c r="E22" s="3" t="s">
        <v>2371</v>
      </c>
    </row>
    <row r="23" spans="4:5" ht="15" customHeight="1" thickBot="1" x14ac:dyDescent="0.25">
      <c r="D23">
        <v>22</v>
      </c>
      <c r="E23" s="2" t="s">
        <v>2372</v>
      </c>
    </row>
    <row r="24" spans="4:5" ht="15" customHeight="1" thickBot="1" x14ac:dyDescent="0.25">
      <c r="D24">
        <v>23</v>
      </c>
      <c r="E24" s="3" t="s">
        <v>2373</v>
      </c>
    </row>
    <row r="25" spans="4:5" ht="15" customHeight="1" thickBot="1" x14ac:dyDescent="0.25">
      <c r="D25">
        <v>24</v>
      </c>
      <c r="E25" s="7" t="s">
        <v>2374</v>
      </c>
    </row>
    <row r="26" spans="4:5" ht="15" customHeight="1" thickBot="1" x14ac:dyDescent="0.25">
      <c r="D26">
        <v>25</v>
      </c>
      <c r="E26" s="7" t="s">
        <v>2374</v>
      </c>
    </row>
    <row r="27" spans="4:5" ht="15" customHeight="1" thickBot="1" x14ac:dyDescent="0.25">
      <c r="D27">
        <v>26</v>
      </c>
      <c r="E27" s="7" t="s">
        <v>2375</v>
      </c>
    </row>
    <row r="28" spans="4:5" ht="15" customHeight="1" thickBot="1" x14ac:dyDescent="0.25">
      <c r="D28">
        <v>27</v>
      </c>
      <c r="E28" s="2" t="s">
        <v>2376</v>
      </c>
    </row>
    <row r="29" spans="4:5" ht="15" customHeight="1" thickBot="1" x14ac:dyDescent="0.25">
      <c r="D29">
        <v>28</v>
      </c>
      <c r="E29" s="2" t="s">
        <v>2377</v>
      </c>
    </row>
    <row r="30" spans="4:5" ht="15" customHeight="1" thickBot="1" x14ac:dyDescent="0.25">
      <c r="D30">
        <v>29</v>
      </c>
      <c r="E30" s="7" t="s">
        <v>2378</v>
      </c>
    </row>
    <row r="31" spans="4:5" ht="15" customHeight="1" thickBot="1" x14ac:dyDescent="0.25">
      <c r="D31">
        <v>30</v>
      </c>
      <c r="E31" s="3" t="s">
        <v>2371</v>
      </c>
    </row>
    <row r="32" spans="4:5" ht="15" customHeight="1" thickBot="1" x14ac:dyDescent="0.25">
      <c r="D32">
        <v>31</v>
      </c>
      <c r="E32" s="3" t="s">
        <v>1672</v>
      </c>
    </row>
    <row r="33" spans="4:5" ht="15" customHeight="1" thickBot="1" x14ac:dyDescent="0.25">
      <c r="D33">
        <v>32</v>
      </c>
      <c r="E33" s="3" t="s">
        <v>2379</v>
      </c>
    </row>
    <row r="34" spans="4:5" ht="15" customHeight="1" thickBot="1" x14ac:dyDescent="0.25">
      <c r="D34">
        <v>33</v>
      </c>
      <c r="E34" s="3" t="s">
        <v>2380</v>
      </c>
    </row>
    <row r="35" spans="4:5" ht="15" customHeight="1" thickBot="1" x14ac:dyDescent="0.25">
      <c r="D35">
        <v>34</v>
      </c>
      <c r="E35" s="3" t="s">
        <v>2381</v>
      </c>
    </row>
    <row r="36" spans="4:5" ht="15" customHeight="1" thickBot="1" x14ac:dyDescent="0.25">
      <c r="D36">
        <v>35</v>
      </c>
      <c r="E36" s="3" t="s">
        <v>2382</v>
      </c>
    </row>
    <row r="37" spans="4:5" ht="15" customHeight="1" thickBot="1" x14ac:dyDescent="0.25">
      <c r="D37">
        <v>36</v>
      </c>
      <c r="E37" s="3" t="s">
        <v>2380</v>
      </c>
    </row>
    <row r="38" spans="4:5" ht="15" customHeight="1" thickBot="1" x14ac:dyDescent="0.25">
      <c r="D38">
        <v>37</v>
      </c>
      <c r="E38" s="2" t="s">
        <v>108</v>
      </c>
    </row>
    <row r="39" spans="4:5" ht="15" customHeight="1" thickBot="1" x14ac:dyDescent="0.25">
      <c r="D39">
        <v>38</v>
      </c>
      <c r="E39" s="7" t="s">
        <v>2383</v>
      </c>
    </row>
    <row r="40" spans="4:5" ht="15" customHeight="1" thickBot="1" x14ac:dyDescent="0.25">
      <c r="D40">
        <v>39</v>
      </c>
      <c r="E40" s="2" t="s">
        <v>108</v>
      </c>
    </row>
    <row r="41" spans="4:5" ht="15" customHeight="1" thickBot="1" x14ac:dyDescent="0.25">
      <c r="D41">
        <v>40</v>
      </c>
      <c r="E41" s="2" t="s">
        <v>108</v>
      </c>
    </row>
    <row r="42" spans="4:5" ht="15" customHeight="1" thickBot="1" x14ac:dyDescent="0.25">
      <c r="D42">
        <v>41</v>
      </c>
      <c r="E42" s="3" t="s">
        <v>2384</v>
      </c>
    </row>
    <row r="43" spans="4:5" ht="15" customHeight="1" thickBot="1" x14ac:dyDescent="0.25">
      <c r="D43">
        <v>42</v>
      </c>
      <c r="E43" s="3" t="s">
        <v>2380</v>
      </c>
    </row>
    <row r="44" spans="4:5" ht="15" customHeight="1" thickBot="1" x14ac:dyDescent="0.25">
      <c r="D44">
        <v>43</v>
      </c>
      <c r="E44" s="3" t="s">
        <v>2385</v>
      </c>
    </row>
    <row r="45" spans="4:5" ht="15" customHeight="1" thickBot="1" x14ac:dyDescent="0.25">
      <c r="D45">
        <v>44</v>
      </c>
      <c r="E45" s="3" t="s">
        <v>2380</v>
      </c>
    </row>
    <row r="46" spans="4:5" ht="15" customHeight="1" thickBot="1" x14ac:dyDescent="0.25">
      <c r="D46">
        <v>45</v>
      </c>
      <c r="E46" s="2" t="s">
        <v>2386</v>
      </c>
    </row>
    <row r="47" spans="4:5" ht="15" customHeight="1" thickBot="1" x14ac:dyDescent="0.25">
      <c r="D47">
        <v>46</v>
      </c>
      <c r="E47" s="8" t="s">
        <v>2387</v>
      </c>
    </row>
    <row r="48" spans="4:5" ht="15" customHeight="1" thickBot="1" x14ac:dyDescent="0.25">
      <c r="D48">
        <v>47</v>
      </c>
      <c r="E48" s="9" t="s">
        <v>2388</v>
      </c>
    </row>
    <row r="49" spans="4:5" ht="15" customHeight="1" thickBot="1" x14ac:dyDescent="0.25">
      <c r="D49">
        <v>48</v>
      </c>
      <c r="E49" s="3" t="s">
        <v>2389</v>
      </c>
    </row>
    <row r="50" spans="4:5" ht="15" customHeight="1" thickBot="1" x14ac:dyDescent="0.25">
      <c r="D50">
        <v>49</v>
      </c>
      <c r="E50" s="3" t="s">
        <v>2389</v>
      </c>
    </row>
    <row r="51" spans="4:5" ht="15" customHeight="1" thickBot="1" x14ac:dyDescent="0.25">
      <c r="D51">
        <v>50</v>
      </c>
      <c r="E51" s="3" t="s">
        <v>2380</v>
      </c>
    </row>
    <row r="52" spans="4:5" ht="15" customHeight="1" thickBot="1" x14ac:dyDescent="0.25">
      <c r="D52">
        <v>51</v>
      </c>
      <c r="E52" s="3" t="s">
        <v>2380</v>
      </c>
    </row>
    <row r="53" spans="4:5" ht="15" customHeight="1" thickBot="1" x14ac:dyDescent="0.25">
      <c r="D53">
        <v>52</v>
      </c>
      <c r="E53" s="2" t="s">
        <v>2390</v>
      </c>
    </row>
    <row r="54" spans="4:5" ht="15" customHeight="1" thickBot="1" x14ac:dyDescent="0.25">
      <c r="D54">
        <v>53</v>
      </c>
      <c r="E54" s="2" t="s">
        <v>2390</v>
      </c>
    </row>
    <row r="55" spans="4:5" ht="15" customHeight="1" thickBot="1" x14ac:dyDescent="0.25">
      <c r="D55">
        <v>54</v>
      </c>
      <c r="E55" s="2" t="s">
        <v>2390</v>
      </c>
    </row>
    <row r="56" spans="4:5" ht="15" customHeight="1" thickBot="1" x14ac:dyDescent="0.25">
      <c r="D56">
        <v>55</v>
      </c>
      <c r="E56" s="7" t="s">
        <v>2391</v>
      </c>
    </row>
    <row r="57" spans="4:5" ht="15" customHeight="1" x14ac:dyDescent="0.2">
      <c r="D57">
        <v>56</v>
      </c>
      <c r="E57" s="10" t="s">
        <v>2392</v>
      </c>
    </row>
    <row r="58" spans="4:5" ht="17.25" thickBot="1" x14ac:dyDescent="0.25">
      <c r="D58">
        <v>57</v>
      </c>
      <c r="E58" s="11" t="s">
        <v>2393</v>
      </c>
    </row>
    <row r="59" spans="4:5" ht="17.25" thickBot="1" x14ac:dyDescent="0.25">
      <c r="D59">
        <v>58</v>
      </c>
      <c r="E59" s="2" t="s">
        <v>2394</v>
      </c>
    </row>
    <row r="60" spans="4:5" ht="17.25" thickBot="1" x14ac:dyDescent="0.25">
      <c r="D60">
        <v>59</v>
      </c>
      <c r="E60" s="11" t="s">
        <v>2395</v>
      </c>
    </row>
    <row r="61" spans="4:5" ht="17.25" thickBot="1" x14ac:dyDescent="0.25">
      <c r="D61">
        <v>60</v>
      </c>
      <c r="E61" s="7" t="s">
        <v>2396</v>
      </c>
    </row>
    <row r="62" spans="4:5" ht="17.25" thickBot="1" x14ac:dyDescent="0.25">
      <c r="D62">
        <v>61</v>
      </c>
      <c r="E62" s="5" t="s">
        <v>2397</v>
      </c>
    </row>
    <row r="63" spans="4:5" ht="17.25" thickBot="1" x14ac:dyDescent="0.25">
      <c r="D63">
        <v>62</v>
      </c>
      <c r="E63" s="3" t="s">
        <v>2398</v>
      </c>
    </row>
    <row r="64" spans="4:5" ht="17.25" thickBot="1" x14ac:dyDescent="0.25">
      <c r="D64">
        <v>63</v>
      </c>
      <c r="E64" s="8" t="s">
        <v>2398</v>
      </c>
    </row>
    <row r="65" spans="3:5" ht="17.25" thickBot="1" x14ac:dyDescent="0.25">
      <c r="D65">
        <v>64</v>
      </c>
      <c r="E65" s="2" t="s">
        <v>108</v>
      </c>
    </row>
    <row r="66" spans="3:5" ht="17.25" thickBot="1" x14ac:dyDescent="0.25">
      <c r="D66">
        <v>65</v>
      </c>
      <c r="E66" s="2" t="s">
        <v>2399</v>
      </c>
    </row>
    <row r="67" spans="3:5" ht="17.25" thickBot="1" x14ac:dyDescent="0.25">
      <c r="D67">
        <v>66</v>
      </c>
      <c r="E67" s="3" t="s">
        <v>2385</v>
      </c>
    </row>
    <row r="68" spans="3:5" ht="17.25" thickBot="1" x14ac:dyDescent="0.25">
      <c r="D68">
        <v>67</v>
      </c>
      <c r="E68" s="2" t="s">
        <v>2400</v>
      </c>
    </row>
    <row r="69" spans="3:5" ht="17.25" thickBot="1" x14ac:dyDescent="0.25">
      <c r="D69">
        <v>68</v>
      </c>
      <c r="E69" s="3" t="s">
        <v>2401</v>
      </c>
    </row>
    <row r="70" spans="3:5" ht="17.25" thickBot="1" x14ac:dyDescent="0.25">
      <c r="D70">
        <v>69</v>
      </c>
      <c r="E70" s="2" t="s">
        <v>2385</v>
      </c>
    </row>
    <row r="71" spans="3:5" ht="17.25" thickBot="1" x14ac:dyDescent="0.25">
      <c r="D71">
        <v>70</v>
      </c>
      <c r="E71" s="2" t="s">
        <v>2402</v>
      </c>
    </row>
    <row r="72" spans="3:5" ht="17.25" thickBot="1" x14ac:dyDescent="0.25">
      <c r="D72">
        <v>71</v>
      </c>
      <c r="E72" s="11" t="s">
        <v>2361</v>
      </c>
    </row>
    <row r="73" spans="3:5" ht="17.25" thickBot="1" x14ac:dyDescent="0.25">
      <c r="D73">
        <v>72</v>
      </c>
      <c r="E73" s="2" t="s">
        <v>2361</v>
      </c>
    </row>
    <row r="74" spans="3:5" ht="17.25" thickBot="1" x14ac:dyDescent="0.25">
      <c r="D74">
        <v>73</v>
      </c>
      <c r="E74" s="2" t="s">
        <v>2403</v>
      </c>
    </row>
    <row r="75" spans="3:5" ht="17.25" thickBot="1" x14ac:dyDescent="0.25">
      <c r="D75">
        <v>74</v>
      </c>
      <c r="E75" s="2" t="s">
        <v>120</v>
      </c>
    </row>
    <row r="76" spans="3:5" ht="17.25" thickBot="1" x14ac:dyDescent="0.25">
      <c r="D76">
        <v>75</v>
      </c>
      <c r="E76" s="2" t="s">
        <v>120</v>
      </c>
    </row>
    <row r="77" spans="3:5" ht="17.25" thickBot="1" x14ac:dyDescent="0.25">
      <c r="D77">
        <v>76</v>
      </c>
      <c r="E77" s="2" t="s">
        <v>120</v>
      </c>
    </row>
    <row r="78" spans="3:5" ht="17.25" thickBot="1" x14ac:dyDescent="0.25">
      <c r="D78">
        <v>77</v>
      </c>
      <c r="E78" s="11" t="s">
        <v>2404</v>
      </c>
    </row>
    <row r="79" spans="3:5" ht="17.25" thickBot="1" x14ac:dyDescent="0.25">
      <c r="D79">
        <v>78</v>
      </c>
      <c r="E79" s="2" t="s">
        <v>120</v>
      </c>
    </row>
    <row r="80" spans="3:5" ht="17.25" thickBot="1" x14ac:dyDescent="0.25">
      <c r="C80">
        <v>79</v>
      </c>
      <c r="D80">
        <v>79</v>
      </c>
      <c r="E80" s="12" t="s">
        <v>2361</v>
      </c>
    </row>
    <row r="81" spans="3:5" ht="17.25" thickBot="1" x14ac:dyDescent="0.25">
      <c r="D81">
        <v>80</v>
      </c>
      <c r="E81" s="2" t="s">
        <v>120</v>
      </c>
    </row>
    <row r="82" spans="3:5" ht="17.25" thickBot="1" x14ac:dyDescent="0.25">
      <c r="D82">
        <v>81</v>
      </c>
      <c r="E82" s="2" t="s">
        <v>120</v>
      </c>
    </row>
    <row r="83" spans="3:5" ht="17.25" thickBot="1" x14ac:dyDescent="0.25">
      <c r="D83">
        <v>82</v>
      </c>
      <c r="E83" s="2" t="s">
        <v>120</v>
      </c>
    </row>
    <row r="84" spans="3:5" ht="17.25" thickBot="1" x14ac:dyDescent="0.25">
      <c r="D84">
        <v>83</v>
      </c>
      <c r="E84" s="2" t="s">
        <v>120</v>
      </c>
    </row>
    <row r="85" spans="3:5" ht="17.25" thickBot="1" x14ac:dyDescent="0.25">
      <c r="D85">
        <v>84</v>
      </c>
      <c r="E85" s="2" t="s">
        <v>120</v>
      </c>
    </row>
    <row r="86" spans="3:5" ht="17.25" thickBot="1" x14ac:dyDescent="0.25">
      <c r="C86">
        <v>85</v>
      </c>
      <c r="D86">
        <v>85</v>
      </c>
      <c r="E86" s="7" t="s">
        <v>1068</v>
      </c>
    </row>
    <row r="87" spans="3:5" ht="17.25" thickBot="1" x14ac:dyDescent="0.25">
      <c r="C87">
        <v>86</v>
      </c>
      <c r="D87">
        <v>86</v>
      </c>
      <c r="E87" s="2" t="s">
        <v>108</v>
      </c>
    </row>
    <row r="88" spans="3:5" ht="17.25" thickBot="1" x14ac:dyDescent="0.25">
      <c r="D88">
        <v>87</v>
      </c>
      <c r="E88" s="13" t="s">
        <v>2405</v>
      </c>
    </row>
    <row r="89" spans="3:5" ht="17.25" thickBot="1" x14ac:dyDescent="0.25">
      <c r="D89">
        <v>88</v>
      </c>
      <c r="E89" s="2" t="s">
        <v>2406</v>
      </c>
    </row>
    <row r="90" spans="3:5" ht="17.25" thickBot="1" x14ac:dyDescent="0.25">
      <c r="D90">
        <v>89</v>
      </c>
      <c r="E90" s="4" t="s">
        <v>2407</v>
      </c>
    </row>
    <row r="91" spans="3:5" ht="17.25" thickBot="1" x14ac:dyDescent="0.25">
      <c r="D91">
        <v>90</v>
      </c>
      <c r="E91" s="14" t="s">
        <v>2408</v>
      </c>
    </row>
    <row r="92" spans="3:5" ht="17.25" thickBot="1" x14ac:dyDescent="0.25">
      <c r="D92">
        <v>91</v>
      </c>
      <c r="E92" s="2" t="s">
        <v>120</v>
      </c>
    </row>
    <row r="93" spans="3:5" ht="17.25" thickBot="1" x14ac:dyDescent="0.25">
      <c r="D93">
        <v>92</v>
      </c>
      <c r="E93" s="2" t="s">
        <v>120</v>
      </c>
    </row>
    <row r="94" spans="3:5" ht="17.25" thickBot="1" x14ac:dyDescent="0.25">
      <c r="D94">
        <v>93</v>
      </c>
      <c r="E94" s="2" t="s">
        <v>120</v>
      </c>
    </row>
    <row r="95" spans="3:5" ht="17.25" thickBot="1" x14ac:dyDescent="0.25">
      <c r="D95">
        <v>94</v>
      </c>
      <c r="E95" s="2" t="s">
        <v>120</v>
      </c>
    </row>
    <row r="96" spans="3:5" ht="17.25" thickBot="1" x14ac:dyDescent="0.25">
      <c r="D96">
        <v>95</v>
      </c>
      <c r="E96" s="2" t="s">
        <v>120</v>
      </c>
    </row>
    <row r="97" spans="4:5" ht="17.25" thickBot="1" x14ac:dyDescent="0.25">
      <c r="D97">
        <v>96</v>
      </c>
      <c r="E97" s="2" t="s">
        <v>120</v>
      </c>
    </row>
    <row r="98" spans="4:5" ht="17.25" thickBot="1" x14ac:dyDescent="0.25">
      <c r="D98">
        <v>97</v>
      </c>
      <c r="E98" s="2" t="s">
        <v>120</v>
      </c>
    </row>
    <row r="99" spans="4:5" ht="17.25" thickBot="1" x14ac:dyDescent="0.25">
      <c r="D99">
        <v>98</v>
      </c>
      <c r="E99" s="2" t="s">
        <v>120</v>
      </c>
    </row>
    <row r="100" spans="4:5" ht="17.25" thickBot="1" x14ac:dyDescent="0.25">
      <c r="D100">
        <v>99</v>
      </c>
      <c r="E100" s="3" t="s">
        <v>2362</v>
      </c>
    </row>
    <row r="101" spans="4:5" ht="17.25" thickBot="1" x14ac:dyDescent="0.25">
      <c r="D101">
        <v>100</v>
      </c>
      <c r="E101" s="3" t="s">
        <v>2365</v>
      </c>
    </row>
    <row r="102" spans="4:5" ht="17.25" thickBot="1" x14ac:dyDescent="0.25">
      <c r="D102">
        <v>101</v>
      </c>
      <c r="E102" s="3" t="s">
        <v>2365</v>
      </c>
    </row>
    <row r="103" spans="4:5" ht="17.25" thickBot="1" x14ac:dyDescent="0.25">
      <c r="D103">
        <v>102</v>
      </c>
      <c r="E103" s="15" t="s">
        <v>2409</v>
      </c>
    </row>
    <row r="104" spans="4:5" ht="17.25" thickBot="1" x14ac:dyDescent="0.25">
      <c r="D104">
        <v>103</v>
      </c>
      <c r="E104" s="15" t="s">
        <v>2410</v>
      </c>
    </row>
    <row r="105" spans="4:5" ht="17.25" thickBot="1" x14ac:dyDescent="0.25">
      <c r="D105">
        <v>104</v>
      </c>
      <c r="E105" s="15" t="s">
        <v>2411</v>
      </c>
    </row>
    <row r="106" spans="4:5" ht="17.25" thickBot="1" x14ac:dyDescent="0.25">
      <c r="D106">
        <v>105</v>
      </c>
      <c r="E106" s="16" t="s">
        <v>2361</v>
      </c>
    </row>
    <row r="107" spans="4:5" ht="17.25" thickBot="1" x14ac:dyDescent="0.25">
      <c r="D107">
        <v>106</v>
      </c>
      <c r="E107" s="2" t="s">
        <v>120</v>
      </c>
    </row>
    <row r="108" spans="4:5" ht="17.25" thickBot="1" x14ac:dyDescent="0.25">
      <c r="D108">
        <v>107</v>
      </c>
      <c r="E108" s="3" t="s">
        <v>2362</v>
      </c>
    </row>
    <row r="109" spans="4:5" ht="17.25" thickBot="1" x14ac:dyDescent="0.25">
      <c r="D109">
        <v>108</v>
      </c>
      <c r="E109" s="3" t="s">
        <v>2365</v>
      </c>
    </row>
    <row r="110" spans="4:5" ht="17.25" thickBot="1" x14ac:dyDescent="0.25">
      <c r="D110">
        <v>109</v>
      </c>
      <c r="E110" s="2" t="s">
        <v>108</v>
      </c>
    </row>
    <row r="111" spans="4:5" ht="17.25" thickBot="1" x14ac:dyDescent="0.25">
      <c r="D111">
        <v>110</v>
      </c>
      <c r="E111" s="7" t="s">
        <v>2412</v>
      </c>
    </row>
    <row r="112" spans="4:5" ht="17.25" thickBot="1" x14ac:dyDescent="0.25">
      <c r="D112">
        <v>111</v>
      </c>
      <c r="E112" s="11" t="s">
        <v>2413</v>
      </c>
    </row>
    <row r="113" spans="3:5" ht="17.25" thickBot="1" x14ac:dyDescent="0.25">
      <c r="D113">
        <v>112</v>
      </c>
      <c r="E113" s="2" t="s">
        <v>120</v>
      </c>
    </row>
    <row r="114" spans="3:5" ht="17.25" thickBot="1" x14ac:dyDescent="0.25">
      <c r="D114">
        <v>113</v>
      </c>
      <c r="E114" s="2" t="s">
        <v>2361</v>
      </c>
    </row>
    <row r="115" spans="3:5" ht="17.25" thickBot="1" x14ac:dyDescent="0.25">
      <c r="D115">
        <v>114</v>
      </c>
      <c r="E115" s="2" t="s">
        <v>120</v>
      </c>
    </row>
    <row r="116" spans="3:5" ht="17.25" thickBot="1" x14ac:dyDescent="0.25">
      <c r="D116">
        <v>115</v>
      </c>
      <c r="E116" s="7" t="s">
        <v>2414</v>
      </c>
    </row>
    <row r="117" spans="3:5" ht="17.25" thickBot="1" x14ac:dyDescent="0.25">
      <c r="D117">
        <v>116</v>
      </c>
      <c r="E117" s="2" t="s">
        <v>2415</v>
      </c>
    </row>
    <row r="118" spans="3:5" ht="17.25" thickBot="1" x14ac:dyDescent="0.25">
      <c r="D118">
        <v>117</v>
      </c>
      <c r="E118" s="2" t="s">
        <v>108</v>
      </c>
    </row>
    <row r="119" spans="3:5" ht="17.25" thickBot="1" x14ac:dyDescent="0.25">
      <c r="D119">
        <v>118</v>
      </c>
      <c r="E119" s="7" t="s">
        <v>2416</v>
      </c>
    </row>
    <row r="120" spans="3:5" ht="17.25" thickBot="1" x14ac:dyDescent="0.25">
      <c r="C120">
        <v>119</v>
      </c>
      <c r="D120">
        <v>119</v>
      </c>
      <c r="E120" s="4" t="s">
        <v>2417</v>
      </c>
    </row>
    <row r="121" spans="3:5" ht="17.25" thickBot="1" x14ac:dyDescent="0.25">
      <c r="D121">
        <v>120</v>
      </c>
      <c r="E121" s="13" t="s">
        <v>2418</v>
      </c>
    </row>
    <row r="122" spans="3:5" ht="17.25" thickBot="1" x14ac:dyDescent="0.25">
      <c r="D122">
        <v>121</v>
      </c>
      <c r="E122" s="3" t="s">
        <v>2380</v>
      </c>
    </row>
    <row r="123" spans="3:5" ht="17.25" thickBot="1" x14ac:dyDescent="0.25">
      <c r="D123">
        <v>122</v>
      </c>
      <c r="E123" s="11" t="s">
        <v>2419</v>
      </c>
    </row>
    <row r="124" spans="3:5" ht="17.25" thickBot="1" x14ac:dyDescent="0.25">
      <c r="D124">
        <v>123</v>
      </c>
      <c r="E124" s="3" t="s">
        <v>2385</v>
      </c>
    </row>
    <row r="125" spans="3:5" ht="17.25" thickBot="1" x14ac:dyDescent="0.25">
      <c r="D125">
        <v>124</v>
      </c>
      <c r="E125" s="2" t="s">
        <v>108</v>
      </c>
    </row>
    <row r="126" spans="3:5" ht="17.25" thickBot="1" x14ac:dyDescent="0.25">
      <c r="D126">
        <v>125</v>
      </c>
      <c r="E126" s="15" t="s">
        <v>2420</v>
      </c>
    </row>
    <row r="127" spans="3:5" ht="17.25" thickBot="1" x14ac:dyDescent="0.25">
      <c r="D127">
        <v>126</v>
      </c>
      <c r="E127" s="8" t="s">
        <v>2398</v>
      </c>
    </row>
    <row r="128" spans="3:5" ht="17.25" thickBot="1" x14ac:dyDescent="0.25">
      <c r="D128">
        <v>127</v>
      </c>
      <c r="E128" s="2" t="s">
        <v>108</v>
      </c>
    </row>
    <row r="129" spans="4:5" ht="17.25" thickBot="1" x14ac:dyDescent="0.25">
      <c r="D129">
        <v>128</v>
      </c>
      <c r="E129" s="2" t="s">
        <v>108</v>
      </c>
    </row>
    <row r="130" spans="4:5" ht="17.25" thickBot="1" x14ac:dyDescent="0.25">
      <c r="D130">
        <v>129</v>
      </c>
      <c r="E130" s="2" t="s">
        <v>108</v>
      </c>
    </row>
    <row r="131" spans="4:5" ht="17.25" thickBot="1" x14ac:dyDescent="0.25">
      <c r="D131">
        <v>130</v>
      </c>
      <c r="E131" s="5" t="s">
        <v>2421</v>
      </c>
    </row>
    <row r="132" spans="4:5" ht="17.25" thickBot="1" x14ac:dyDescent="0.25">
      <c r="D132">
        <v>131</v>
      </c>
      <c r="E132" s="7" t="s">
        <v>2422</v>
      </c>
    </row>
    <row r="133" spans="4:5" ht="17.25" thickBot="1" x14ac:dyDescent="0.25">
      <c r="D133">
        <v>132</v>
      </c>
      <c r="E133" s="7" t="s">
        <v>2422</v>
      </c>
    </row>
    <row r="134" spans="4:5" ht="17.25" thickBot="1" x14ac:dyDescent="0.25">
      <c r="D134">
        <v>133</v>
      </c>
      <c r="E134" s="2" t="s">
        <v>2423</v>
      </c>
    </row>
    <row r="135" spans="4:5" ht="17.25" thickBot="1" x14ac:dyDescent="0.25">
      <c r="D135">
        <v>134</v>
      </c>
      <c r="E135" s="7" t="s">
        <v>2422</v>
      </c>
    </row>
    <row r="136" spans="4:5" ht="17.25" thickBot="1" x14ac:dyDescent="0.25">
      <c r="D136">
        <v>135</v>
      </c>
      <c r="E136" s="3" t="s">
        <v>2385</v>
      </c>
    </row>
    <row r="137" spans="4:5" ht="17.25" thickBot="1" x14ac:dyDescent="0.25">
      <c r="D137">
        <v>136</v>
      </c>
      <c r="E137" s="2" t="s">
        <v>2424</v>
      </c>
    </row>
    <row r="138" spans="4:5" ht="17.25" thickBot="1" x14ac:dyDescent="0.25">
      <c r="D138">
        <v>137</v>
      </c>
      <c r="E138" s="2" t="s">
        <v>2425</v>
      </c>
    </row>
    <row r="139" spans="4:5" ht="17.25" thickBot="1" x14ac:dyDescent="0.25">
      <c r="D139">
        <v>138</v>
      </c>
      <c r="E139" s="7" t="s">
        <v>108</v>
      </c>
    </row>
    <row r="140" spans="4:5" ht="17.25" thickBot="1" x14ac:dyDescent="0.25">
      <c r="D140">
        <v>139</v>
      </c>
      <c r="E140" s="2" t="s">
        <v>108</v>
      </c>
    </row>
    <row r="141" spans="4:5" ht="17.25" thickBot="1" x14ac:dyDescent="0.25">
      <c r="D141">
        <v>140</v>
      </c>
      <c r="E141" s="2" t="s">
        <v>108</v>
      </c>
    </row>
    <row r="142" spans="4:5" ht="17.25" thickBot="1" x14ac:dyDescent="0.25">
      <c r="D142">
        <v>141</v>
      </c>
      <c r="E142" s="2" t="s">
        <v>2426</v>
      </c>
    </row>
    <row r="143" spans="4:5" ht="17.25" thickBot="1" x14ac:dyDescent="0.25">
      <c r="D143">
        <v>142</v>
      </c>
      <c r="E143" s="8" t="s">
        <v>2427</v>
      </c>
    </row>
    <row r="144" spans="4:5" ht="17.25" thickBot="1" x14ac:dyDescent="0.25">
      <c r="D144">
        <v>143</v>
      </c>
      <c r="E144" s="2" t="s">
        <v>2428</v>
      </c>
    </row>
    <row r="145" spans="4:5" ht="17.25" thickBot="1" x14ac:dyDescent="0.25">
      <c r="D145">
        <v>144</v>
      </c>
      <c r="E145" s="2" t="s">
        <v>120</v>
      </c>
    </row>
    <row r="146" spans="4:5" ht="17.25" thickBot="1" x14ac:dyDescent="0.25">
      <c r="D146">
        <v>145</v>
      </c>
      <c r="E146" s="2" t="s">
        <v>120</v>
      </c>
    </row>
    <row r="147" spans="4:5" ht="17.25" thickBot="1" x14ac:dyDescent="0.25">
      <c r="D147">
        <v>146</v>
      </c>
      <c r="E147" s="2" t="s">
        <v>108</v>
      </c>
    </row>
    <row r="148" spans="4:5" ht="17.25" thickBot="1" x14ac:dyDescent="0.25">
      <c r="D148">
        <v>147</v>
      </c>
      <c r="E148" s="2" t="s">
        <v>108</v>
      </c>
    </row>
    <row r="149" spans="4:5" ht="17.25" thickBot="1" x14ac:dyDescent="0.25">
      <c r="D149">
        <v>148</v>
      </c>
      <c r="E149" s="2" t="s">
        <v>108</v>
      </c>
    </row>
    <row r="150" spans="4:5" ht="17.25" thickBot="1" x14ac:dyDescent="0.25">
      <c r="D150">
        <v>149</v>
      </c>
      <c r="E150" s="3" t="s">
        <v>2429</v>
      </c>
    </row>
    <row r="151" spans="4:5" ht="17.25" thickBot="1" x14ac:dyDescent="0.25">
      <c r="D151">
        <v>150</v>
      </c>
      <c r="E151" s="2" t="s">
        <v>2410</v>
      </c>
    </row>
    <row r="152" spans="4:5" ht="17.25" thickBot="1" x14ac:dyDescent="0.25">
      <c r="D152">
        <v>151</v>
      </c>
      <c r="E152" s="2" t="s">
        <v>2420</v>
      </c>
    </row>
    <row r="153" spans="4:5" ht="17.25" thickBot="1" x14ac:dyDescent="0.25">
      <c r="D153">
        <v>152</v>
      </c>
      <c r="E153" s="2" t="s">
        <v>2420</v>
      </c>
    </row>
    <row r="154" spans="4:5" ht="17.25" thickBot="1" x14ac:dyDescent="0.25">
      <c r="D154">
        <v>153</v>
      </c>
      <c r="E154" s="2" t="s">
        <v>2430</v>
      </c>
    </row>
    <row r="155" spans="4:5" ht="17.25" thickBot="1" x14ac:dyDescent="0.25">
      <c r="D155">
        <v>154</v>
      </c>
      <c r="E155" s="2" t="s">
        <v>108</v>
      </c>
    </row>
    <row r="156" spans="4:5" ht="17.25" thickBot="1" x14ac:dyDescent="0.25">
      <c r="D156">
        <v>155</v>
      </c>
      <c r="E156" s="2" t="s">
        <v>578</v>
      </c>
    </row>
    <row r="157" spans="4:5" ht="17.25" thickBot="1" x14ac:dyDescent="0.25">
      <c r="D157">
        <v>156</v>
      </c>
      <c r="E157" s="3" t="s">
        <v>2431</v>
      </c>
    </row>
    <row r="158" spans="4:5" ht="17.25" thickBot="1" x14ac:dyDescent="0.25">
      <c r="D158">
        <v>157</v>
      </c>
      <c r="E158" s="2" t="s">
        <v>2432</v>
      </c>
    </row>
    <row r="159" spans="4:5" ht="17.25" thickBot="1" x14ac:dyDescent="0.25">
      <c r="D159">
        <v>158</v>
      </c>
      <c r="E159" s="15" t="s">
        <v>2432</v>
      </c>
    </row>
    <row r="160" spans="4:5" ht="17.25" thickBot="1" x14ac:dyDescent="0.25">
      <c r="D160">
        <v>159</v>
      </c>
      <c r="E160" s="15" t="s">
        <v>2432</v>
      </c>
    </row>
    <row r="161" spans="3:5" ht="17.25" thickBot="1" x14ac:dyDescent="0.25">
      <c r="D161">
        <v>160</v>
      </c>
      <c r="E161" s="2" t="s">
        <v>2432</v>
      </c>
    </row>
    <row r="162" spans="3:5" ht="17.25" thickBot="1" x14ac:dyDescent="0.25">
      <c r="D162">
        <v>161</v>
      </c>
      <c r="E162" s="2" t="s">
        <v>2432</v>
      </c>
    </row>
    <row r="163" spans="3:5" ht="17.25" thickBot="1" x14ac:dyDescent="0.25">
      <c r="D163">
        <v>162</v>
      </c>
      <c r="E163" s="2" t="s">
        <v>2432</v>
      </c>
    </row>
    <row r="164" spans="3:5" ht="17.25" thickBot="1" x14ac:dyDescent="0.25">
      <c r="D164">
        <v>163</v>
      </c>
      <c r="E164" s="2" t="s">
        <v>2432</v>
      </c>
    </row>
    <row r="165" spans="3:5" ht="17.25" thickBot="1" x14ac:dyDescent="0.25">
      <c r="D165">
        <v>164</v>
      </c>
      <c r="E165" s="2" t="s">
        <v>2433</v>
      </c>
    </row>
    <row r="166" spans="3:5" ht="17.25" thickBot="1" x14ac:dyDescent="0.25">
      <c r="D166">
        <v>165</v>
      </c>
      <c r="E166" s="2" t="s">
        <v>108</v>
      </c>
    </row>
    <row r="167" spans="3:5" ht="17.25" thickBot="1" x14ac:dyDescent="0.25">
      <c r="D167">
        <v>166</v>
      </c>
      <c r="E167" s="2" t="s">
        <v>108</v>
      </c>
    </row>
    <row r="168" spans="3:5" ht="17.25" thickBot="1" x14ac:dyDescent="0.25">
      <c r="D168">
        <v>167</v>
      </c>
      <c r="E168" s="2" t="s">
        <v>108</v>
      </c>
    </row>
    <row r="169" spans="3:5" ht="17.25" thickBot="1" x14ac:dyDescent="0.25">
      <c r="D169">
        <v>168</v>
      </c>
      <c r="E169" s="2" t="s">
        <v>2364</v>
      </c>
    </row>
    <row r="170" spans="3:5" ht="17.25" thickBot="1" x14ac:dyDescent="0.25">
      <c r="C170">
        <v>169</v>
      </c>
      <c r="D170">
        <v>169</v>
      </c>
      <c r="E170" s="17" t="s">
        <v>2385</v>
      </c>
    </row>
    <row r="171" spans="3:5" ht="17.25" thickBot="1" x14ac:dyDescent="0.25">
      <c r="D171">
        <v>170</v>
      </c>
      <c r="E171" s="18" t="s">
        <v>2385</v>
      </c>
    </row>
    <row r="172" spans="3:5" ht="17.25" thickBot="1" x14ac:dyDescent="0.25">
      <c r="D172">
        <v>171</v>
      </c>
      <c r="E172" s="2" t="s">
        <v>120</v>
      </c>
    </row>
    <row r="173" spans="3:5" ht="17.25" thickBot="1" x14ac:dyDescent="0.25">
      <c r="D173">
        <v>172</v>
      </c>
      <c r="E173" s="19" t="s">
        <v>2434</v>
      </c>
    </row>
    <row r="174" spans="3:5" ht="12.75" customHeight="1" x14ac:dyDescent="0.2">
      <c r="D174">
        <v>173</v>
      </c>
      <c r="E174" s="20" t="s">
        <v>572</v>
      </c>
    </row>
    <row r="175" spans="3:5" ht="17.25" thickBot="1" x14ac:dyDescent="0.25">
      <c r="D175">
        <v>174</v>
      </c>
      <c r="E175" s="16" t="s">
        <v>2435</v>
      </c>
    </row>
    <row r="176" spans="3:5" ht="17.25" thickBot="1" x14ac:dyDescent="0.25">
      <c r="D176">
        <v>175</v>
      </c>
      <c r="E176" s="2" t="s">
        <v>2436</v>
      </c>
    </row>
    <row r="177" spans="4:5" ht="17.25" thickBot="1" x14ac:dyDescent="0.25">
      <c r="D177">
        <v>176</v>
      </c>
      <c r="E177" s="3" t="s">
        <v>2437</v>
      </c>
    </row>
    <row r="178" spans="4:5" ht="17.25" thickBot="1" x14ac:dyDescent="0.25">
      <c r="D178">
        <v>177</v>
      </c>
      <c r="E178" s="2" t="s">
        <v>108</v>
      </c>
    </row>
    <row r="179" spans="4:5" ht="17.25" thickBot="1" x14ac:dyDescent="0.25">
      <c r="D179">
        <v>178</v>
      </c>
      <c r="E179" s="2" t="s">
        <v>2438</v>
      </c>
    </row>
    <row r="180" spans="4:5" ht="17.25" thickBot="1" x14ac:dyDescent="0.25">
      <c r="D180">
        <v>179</v>
      </c>
      <c r="E180" s="2" t="s">
        <v>120</v>
      </c>
    </row>
    <row r="181" spans="4:5" ht="17.25" thickBot="1" x14ac:dyDescent="0.25">
      <c r="D181">
        <v>180</v>
      </c>
      <c r="E181" s="2" t="s">
        <v>108</v>
      </c>
    </row>
    <row r="182" spans="4:5" ht="17.25" thickBot="1" x14ac:dyDescent="0.25">
      <c r="D182">
        <v>181</v>
      </c>
      <c r="E182" s="2" t="s">
        <v>108</v>
      </c>
    </row>
    <row r="183" spans="4:5" ht="17.25" thickBot="1" x14ac:dyDescent="0.25">
      <c r="D183">
        <v>182</v>
      </c>
      <c r="E183" s="3" t="s">
        <v>108</v>
      </c>
    </row>
    <row r="184" spans="4:5" ht="17.25" thickBot="1" x14ac:dyDescent="0.25">
      <c r="D184">
        <v>183</v>
      </c>
      <c r="E184" s="2" t="s">
        <v>2439</v>
      </c>
    </row>
    <row r="185" spans="4:5" ht="17.25" thickBot="1" x14ac:dyDescent="0.25">
      <c r="D185">
        <v>184</v>
      </c>
      <c r="E185" s="21" t="s">
        <v>2440</v>
      </c>
    </row>
    <row r="186" spans="4:5" ht="17.25" thickBot="1" x14ac:dyDescent="0.25">
      <c r="D186">
        <v>185</v>
      </c>
      <c r="E186" s="15" t="s">
        <v>2432</v>
      </c>
    </row>
    <row r="187" spans="4:5" ht="17.25" thickBot="1" x14ac:dyDescent="0.25">
      <c r="D187">
        <v>186</v>
      </c>
      <c r="E187" s="15" t="s">
        <v>2432</v>
      </c>
    </row>
    <row r="188" spans="4:5" ht="17.25" thickBot="1" x14ac:dyDescent="0.25">
      <c r="D188">
        <v>187</v>
      </c>
      <c r="E188" s="2" t="s">
        <v>2432</v>
      </c>
    </row>
    <row r="189" spans="4:5" ht="17.25" thickBot="1" x14ac:dyDescent="0.25">
      <c r="D189">
        <v>188</v>
      </c>
      <c r="E189" s="2" t="s">
        <v>2432</v>
      </c>
    </row>
    <row r="190" spans="4:5" ht="17.25" thickBot="1" x14ac:dyDescent="0.25">
      <c r="D190">
        <v>189</v>
      </c>
      <c r="E190" s="3" t="s">
        <v>2441</v>
      </c>
    </row>
    <row r="191" spans="4:5" ht="17.25" thickBot="1" x14ac:dyDescent="0.25">
      <c r="D191">
        <v>190</v>
      </c>
      <c r="E191" s="17" t="s">
        <v>2372</v>
      </c>
    </row>
    <row r="192" spans="4:5" ht="17.25" thickBot="1" x14ac:dyDescent="0.25">
      <c r="D192">
        <v>191</v>
      </c>
      <c r="E192" s="17" t="s">
        <v>2372</v>
      </c>
    </row>
    <row r="193" spans="4:5" ht="17.25" thickBot="1" x14ac:dyDescent="0.25">
      <c r="D193">
        <v>192</v>
      </c>
      <c r="E193" s="17" t="s">
        <v>2385</v>
      </c>
    </row>
    <row r="194" spans="4:5" ht="17.25" thickBot="1" x14ac:dyDescent="0.25">
      <c r="D194">
        <v>193</v>
      </c>
      <c r="E194" s="17" t="s">
        <v>2385</v>
      </c>
    </row>
    <row r="195" spans="4:5" ht="17.25" thickBot="1" x14ac:dyDescent="0.25">
      <c r="D195">
        <v>194</v>
      </c>
      <c r="E195" s="17" t="s">
        <v>2442</v>
      </c>
    </row>
    <row r="196" spans="4:5" ht="17.25" thickBot="1" x14ac:dyDescent="0.25">
      <c r="D196">
        <v>195</v>
      </c>
      <c r="E196" s="17" t="s">
        <v>2443</v>
      </c>
    </row>
    <row r="197" spans="4:5" ht="17.25" thickBot="1" x14ac:dyDescent="0.25">
      <c r="D197">
        <v>196</v>
      </c>
      <c r="E197" s="15" t="s">
        <v>2372</v>
      </c>
    </row>
    <row r="198" spans="4:5" ht="17.25" thickBot="1" x14ac:dyDescent="0.25">
      <c r="D198">
        <v>197</v>
      </c>
      <c r="E198" s="22" t="s">
        <v>2372</v>
      </c>
    </row>
    <row r="199" spans="4:5" ht="17.25" thickBot="1" x14ac:dyDescent="0.25">
      <c r="D199">
        <v>198</v>
      </c>
      <c r="E199" s="17" t="s">
        <v>2444</v>
      </c>
    </row>
    <row r="200" spans="4:5" ht="17.25" thickBot="1" x14ac:dyDescent="0.25">
      <c r="D200">
        <v>199</v>
      </c>
      <c r="E200" s="17" t="s">
        <v>2372</v>
      </c>
    </row>
    <row r="201" spans="4:5" ht="17.25" thickBot="1" x14ac:dyDescent="0.25">
      <c r="D201">
        <v>200</v>
      </c>
      <c r="E201" s="15" t="s">
        <v>2432</v>
      </c>
    </row>
    <row r="202" spans="4:5" ht="17.25" thickBot="1" x14ac:dyDescent="0.25">
      <c r="D202">
        <v>201</v>
      </c>
      <c r="E202" s="2" t="s">
        <v>120</v>
      </c>
    </row>
    <row r="203" spans="4:5" ht="17.25" thickBot="1" x14ac:dyDescent="0.25">
      <c r="D203">
        <v>202</v>
      </c>
      <c r="E203" s="2" t="s">
        <v>120</v>
      </c>
    </row>
    <row r="204" spans="4:5" ht="17.25" thickBot="1" x14ac:dyDescent="0.25">
      <c r="D204">
        <v>203</v>
      </c>
      <c r="E204" s="2" t="s">
        <v>120</v>
      </c>
    </row>
    <row r="205" spans="4:5" ht="17.25" thickBot="1" x14ac:dyDescent="0.25">
      <c r="D205">
        <v>204</v>
      </c>
      <c r="E205" s="2" t="s">
        <v>120</v>
      </c>
    </row>
    <row r="206" spans="4:5" ht="17.25" thickBot="1" x14ac:dyDescent="0.25">
      <c r="D206">
        <v>205</v>
      </c>
      <c r="E206" s="2" t="s">
        <v>120</v>
      </c>
    </row>
    <row r="207" spans="4:5" ht="17.25" thickBot="1" x14ac:dyDescent="0.25">
      <c r="D207">
        <v>206</v>
      </c>
      <c r="E207" s="2" t="s">
        <v>120</v>
      </c>
    </row>
    <row r="208" spans="4:5" ht="17.25" thickBot="1" x14ac:dyDescent="0.25">
      <c r="D208">
        <v>207</v>
      </c>
      <c r="E208" s="2" t="s">
        <v>120</v>
      </c>
    </row>
    <row r="209" spans="4:5" ht="17.25" thickBot="1" x14ac:dyDescent="0.25">
      <c r="D209">
        <v>208</v>
      </c>
      <c r="E209" s="2" t="s">
        <v>120</v>
      </c>
    </row>
    <row r="210" spans="4:5" ht="17.25" thickBot="1" x14ac:dyDescent="0.25">
      <c r="D210">
        <v>209</v>
      </c>
      <c r="E210" s="2" t="s">
        <v>120</v>
      </c>
    </row>
    <row r="211" spans="4:5" ht="17.25" thickBot="1" x14ac:dyDescent="0.25">
      <c r="D211">
        <v>210</v>
      </c>
      <c r="E211" s="2" t="s">
        <v>572</v>
      </c>
    </row>
    <row r="212" spans="4:5" ht="17.25" thickBot="1" x14ac:dyDescent="0.25">
      <c r="D212">
        <v>211</v>
      </c>
      <c r="E212" s="2" t="s">
        <v>120</v>
      </c>
    </row>
    <row r="213" spans="4:5" ht="17.25" thickBot="1" x14ac:dyDescent="0.25">
      <c r="D213">
        <v>212</v>
      </c>
      <c r="E213" s="2" t="s">
        <v>2445</v>
      </c>
    </row>
    <row r="214" spans="4:5" ht="17.25" thickBot="1" x14ac:dyDescent="0.25">
      <c r="D214">
        <v>213</v>
      </c>
      <c r="E214" s="2" t="s">
        <v>2446</v>
      </c>
    </row>
    <row r="215" spans="4:5" ht="17.25" thickBot="1" x14ac:dyDescent="0.25">
      <c r="D215">
        <v>214</v>
      </c>
      <c r="E215" s="2" t="s">
        <v>120</v>
      </c>
    </row>
    <row r="216" spans="4:5" ht="17.25" thickBot="1" x14ac:dyDescent="0.25">
      <c r="D216">
        <v>215</v>
      </c>
      <c r="E216" s="2" t="s">
        <v>2445</v>
      </c>
    </row>
    <row r="217" spans="4:5" ht="17.25" thickBot="1" x14ac:dyDescent="0.25">
      <c r="D217">
        <v>216</v>
      </c>
      <c r="E217" s="2" t="s">
        <v>2445</v>
      </c>
    </row>
    <row r="218" spans="4:5" ht="17.25" thickBot="1" x14ac:dyDescent="0.25">
      <c r="D218">
        <v>217</v>
      </c>
      <c r="E218" s="2" t="s">
        <v>2445</v>
      </c>
    </row>
    <row r="219" spans="4:5" ht="17.25" thickBot="1" x14ac:dyDescent="0.25">
      <c r="D219">
        <v>218</v>
      </c>
      <c r="E219" s="2" t="s">
        <v>2445</v>
      </c>
    </row>
    <row r="220" spans="4:5" ht="17.25" thickBot="1" x14ac:dyDescent="0.25">
      <c r="D220">
        <v>219</v>
      </c>
      <c r="E220" s="2" t="s">
        <v>2445</v>
      </c>
    </row>
    <row r="221" spans="4:5" ht="17.25" thickBot="1" x14ac:dyDescent="0.25">
      <c r="D221">
        <v>220</v>
      </c>
      <c r="E221" s="2" t="s">
        <v>2445</v>
      </c>
    </row>
    <row r="222" spans="4:5" ht="17.25" thickBot="1" x14ac:dyDescent="0.25">
      <c r="D222">
        <v>221</v>
      </c>
      <c r="E222" s="2" t="s">
        <v>2445</v>
      </c>
    </row>
    <row r="223" spans="4:5" ht="17.25" thickBot="1" x14ac:dyDescent="0.25">
      <c r="D223">
        <v>222</v>
      </c>
      <c r="E223" s="2" t="s">
        <v>120</v>
      </c>
    </row>
    <row r="224" spans="4:5" ht="17.25" thickBot="1" x14ac:dyDescent="0.25">
      <c r="D224">
        <v>223</v>
      </c>
      <c r="E224" s="2" t="s">
        <v>2445</v>
      </c>
    </row>
    <row r="225" spans="4:5" ht="17.25" thickBot="1" x14ac:dyDescent="0.25">
      <c r="D225">
        <v>224</v>
      </c>
      <c r="E225" s="2" t="s">
        <v>2445</v>
      </c>
    </row>
    <row r="226" spans="4:5" ht="17.25" thickBot="1" x14ac:dyDescent="0.25">
      <c r="D226">
        <v>225</v>
      </c>
      <c r="E226" s="2" t="s">
        <v>2445</v>
      </c>
    </row>
    <row r="227" spans="4:5" ht="17.25" thickBot="1" x14ac:dyDescent="0.25">
      <c r="D227">
        <v>226</v>
      </c>
      <c r="E227" s="2" t="s">
        <v>2445</v>
      </c>
    </row>
    <row r="228" spans="4:5" ht="17.25" thickBot="1" x14ac:dyDescent="0.25">
      <c r="D228">
        <v>227</v>
      </c>
      <c r="E228" s="2" t="s">
        <v>2445</v>
      </c>
    </row>
    <row r="229" spans="4:5" ht="17.25" thickBot="1" x14ac:dyDescent="0.25">
      <c r="D229">
        <v>228</v>
      </c>
      <c r="E229" s="2" t="s">
        <v>2445</v>
      </c>
    </row>
    <row r="230" spans="4:5" ht="17.25" thickBot="1" x14ac:dyDescent="0.25">
      <c r="D230">
        <v>229</v>
      </c>
      <c r="E230" s="2" t="s">
        <v>2445</v>
      </c>
    </row>
    <row r="231" spans="4:5" ht="17.25" thickBot="1" x14ac:dyDescent="0.25">
      <c r="D231">
        <v>230</v>
      </c>
      <c r="E231" s="2" t="s">
        <v>2445</v>
      </c>
    </row>
    <row r="232" spans="4:5" ht="17.25" thickBot="1" x14ac:dyDescent="0.25">
      <c r="D232">
        <v>231</v>
      </c>
      <c r="E232" s="2" t="s">
        <v>2445</v>
      </c>
    </row>
    <row r="233" spans="4:5" ht="17.25" thickBot="1" x14ac:dyDescent="0.25">
      <c r="D233">
        <v>232</v>
      </c>
      <c r="E233" s="2" t="s">
        <v>2445</v>
      </c>
    </row>
    <row r="234" spans="4:5" ht="17.25" thickBot="1" x14ac:dyDescent="0.25">
      <c r="D234">
        <v>233</v>
      </c>
      <c r="E234" s="2" t="s">
        <v>120</v>
      </c>
    </row>
    <row r="235" spans="4:5" ht="17.25" thickBot="1" x14ac:dyDescent="0.25">
      <c r="D235">
        <v>234</v>
      </c>
      <c r="E235" s="2" t="s">
        <v>120</v>
      </c>
    </row>
    <row r="236" spans="4:5" ht="17.25" thickBot="1" x14ac:dyDescent="0.25">
      <c r="D236">
        <v>235</v>
      </c>
      <c r="E236" s="2" t="s">
        <v>2445</v>
      </c>
    </row>
    <row r="237" spans="4:5" ht="17.25" thickBot="1" x14ac:dyDescent="0.25">
      <c r="D237">
        <v>236</v>
      </c>
      <c r="E237" s="2" t="s">
        <v>120</v>
      </c>
    </row>
    <row r="238" spans="4:5" ht="17.25" thickBot="1" x14ac:dyDescent="0.25">
      <c r="D238">
        <v>237</v>
      </c>
      <c r="E238" s="2" t="s">
        <v>2445</v>
      </c>
    </row>
    <row r="239" spans="4:5" ht="17.25" thickBot="1" x14ac:dyDescent="0.25">
      <c r="D239">
        <v>238</v>
      </c>
      <c r="E239" s="2" t="s">
        <v>2445</v>
      </c>
    </row>
    <row r="240" spans="4:5" ht="17.25" thickBot="1" x14ac:dyDescent="0.25">
      <c r="D240">
        <v>239</v>
      </c>
      <c r="E240" s="2" t="s">
        <v>2445</v>
      </c>
    </row>
    <row r="241" spans="4:5" ht="17.25" thickBot="1" x14ac:dyDescent="0.25">
      <c r="D241">
        <v>240</v>
      </c>
      <c r="E241" s="2" t="s">
        <v>120</v>
      </c>
    </row>
    <row r="242" spans="4:5" ht="17.25" thickBot="1" x14ac:dyDescent="0.25">
      <c r="D242">
        <v>241</v>
      </c>
      <c r="E242" s="2" t="s">
        <v>120</v>
      </c>
    </row>
    <row r="243" spans="4:5" ht="17.25" thickBot="1" x14ac:dyDescent="0.25">
      <c r="D243">
        <v>242</v>
      </c>
      <c r="E243" s="2" t="s">
        <v>120</v>
      </c>
    </row>
    <row r="244" spans="4:5" ht="17.25" thickBot="1" x14ac:dyDescent="0.25">
      <c r="D244">
        <v>243</v>
      </c>
      <c r="E244" s="2" t="s">
        <v>120</v>
      </c>
    </row>
    <row r="245" spans="4:5" ht="17.25" thickBot="1" x14ac:dyDescent="0.25">
      <c r="D245">
        <v>244</v>
      </c>
      <c r="E245" s="2" t="s">
        <v>120</v>
      </c>
    </row>
    <row r="246" spans="4:5" ht="17.25" thickBot="1" x14ac:dyDescent="0.25">
      <c r="D246">
        <v>245</v>
      </c>
      <c r="E246" s="2" t="s">
        <v>120</v>
      </c>
    </row>
    <row r="247" spans="4:5" ht="17.25" thickBot="1" x14ac:dyDescent="0.25">
      <c r="D247">
        <v>246</v>
      </c>
      <c r="E247" s="2" t="s">
        <v>120</v>
      </c>
    </row>
    <row r="248" spans="4:5" ht="17.25" thickBot="1" x14ac:dyDescent="0.25">
      <c r="D248">
        <v>247</v>
      </c>
      <c r="E248" s="2" t="s">
        <v>120</v>
      </c>
    </row>
    <row r="249" spans="4:5" ht="17.25" thickBot="1" x14ac:dyDescent="0.25">
      <c r="D249">
        <v>248</v>
      </c>
      <c r="E249" s="2" t="s">
        <v>120</v>
      </c>
    </row>
    <row r="250" spans="4:5" ht="17.25" thickBot="1" x14ac:dyDescent="0.25">
      <c r="D250">
        <v>249</v>
      </c>
      <c r="E250" s="2" t="s">
        <v>120</v>
      </c>
    </row>
    <row r="251" spans="4:5" ht="17.25" thickBot="1" x14ac:dyDescent="0.25">
      <c r="D251">
        <v>250</v>
      </c>
      <c r="E251" s="2" t="s">
        <v>120</v>
      </c>
    </row>
    <row r="252" spans="4:5" ht="17.25" thickBot="1" x14ac:dyDescent="0.25">
      <c r="D252">
        <v>251</v>
      </c>
      <c r="E252" s="2" t="s">
        <v>120</v>
      </c>
    </row>
    <row r="253" spans="4:5" ht="17.25" thickBot="1" x14ac:dyDescent="0.25">
      <c r="D253">
        <v>252</v>
      </c>
      <c r="E253" s="2" t="s">
        <v>120</v>
      </c>
    </row>
    <row r="254" spans="4:5" ht="17.25" thickBot="1" x14ac:dyDescent="0.25">
      <c r="D254">
        <v>253</v>
      </c>
      <c r="E254" s="2" t="s">
        <v>120</v>
      </c>
    </row>
    <row r="255" spans="4:5" ht="17.25" thickBot="1" x14ac:dyDescent="0.25">
      <c r="D255">
        <v>254</v>
      </c>
      <c r="E255" s="2" t="s">
        <v>120</v>
      </c>
    </row>
    <row r="256" spans="4:5" ht="17.25" thickBot="1" x14ac:dyDescent="0.25">
      <c r="D256">
        <v>255</v>
      </c>
      <c r="E256" s="2" t="s">
        <v>120</v>
      </c>
    </row>
    <row r="257" spans="4:5" ht="17.25" thickBot="1" x14ac:dyDescent="0.25">
      <c r="D257">
        <v>256</v>
      </c>
      <c r="E257" s="2" t="s">
        <v>120</v>
      </c>
    </row>
    <row r="258" spans="4:5" ht="17.25" thickBot="1" x14ac:dyDescent="0.25">
      <c r="D258">
        <v>257</v>
      </c>
      <c r="E258" s="2" t="s">
        <v>120</v>
      </c>
    </row>
    <row r="259" spans="4:5" ht="17.25" thickBot="1" x14ac:dyDescent="0.25">
      <c r="D259">
        <v>258</v>
      </c>
      <c r="E259" s="2" t="s">
        <v>120</v>
      </c>
    </row>
    <row r="260" spans="4:5" ht="17.25" thickBot="1" x14ac:dyDescent="0.25">
      <c r="D260">
        <v>259</v>
      </c>
      <c r="E260" s="2" t="s">
        <v>2445</v>
      </c>
    </row>
    <row r="261" spans="4:5" ht="17.25" thickBot="1" x14ac:dyDescent="0.25">
      <c r="D261">
        <v>260</v>
      </c>
      <c r="E261" s="2" t="s">
        <v>2445</v>
      </c>
    </row>
    <row r="262" spans="4:5" ht="17.25" thickBot="1" x14ac:dyDescent="0.25">
      <c r="D262">
        <v>261</v>
      </c>
      <c r="E262" s="2" t="s">
        <v>120</v>
      </c>
    </row>
    <row r="263" spans="4:5" ht="17.25" thickBot="1" x14ac:dyDescent="0.25">
      <c r="D263">
        <v>262</v>
      </c>
      <c r="E263" s="2" t="s">
        <v>120</v>
      </c>
    </row>
    <row r="264" spans="4:5" ht="17.25" thickBot="1" x14ac:dyDescent="0.25">
      <c r="D264">
        <v>263</v>
      </c>
      <c r="E264" s="2" t="s">
        <v>120</v>
      </c>
    </row>
    <row r="265" spans="4:5" ht="17.25" thickBot="1" x14ac:dyDescent="0.25">
      <c r="D265">
        <v>264</v>
      </c>
      <c r="E265" s="2" t="s">
        <v>120</v>
      </c>
    </row>
    <row r="266" spans="4:5" ht="17.25" thickBot="1" x14ac:dyDescent="0.25">
      <c r="D266">
        <v>265</v>
      </c>
      <c r="E266" s="2" t="s">
        <v>120</v>
      </c>
    </row>
    <row r="267" spans="4:5" ht="17.25" thickBot="1" x14ac:dyDescent="0.25">
      <c r="D267">
        <v>266</v>
      </c>
      <c r="E267" s="2" t="s">
        <v>2445</v>
      </c>
    </row>
    <row r="268" spans="4:5" ht="17.25" thickBot="1" x14ac:dyDescent="0.25">
      <c r="D268">
        <v>267</v>
      </c>
      <c r="E268" s="2" t="s">
        <v>120</v>
      </c>
    </row>
    <row r="269" spans="4:5" ht="17.25" thickBot="1" x14ac:dyDescent="0.25">
      <c r="D269">
        <v>268</v>
      </c>
      <c r="E269" s="2" t="s">
        <v>2447</v>
      </c>
    </row>
    <row r="270" spans="4:5" ht="17.25" thickBot="1" x14ac:dyDescent="0.25">
      <c r="D270">
        <v>269</v>
      </c>
      <c r="E270" s="2" t="s">
        <v>2448</v>
      </c>
    </row>
    <row r="271" spans="4:5" ht="17.25" thickBot="1" x14ac:dyDescent="0.25">
      <c r="D271">
        <v>270</v>
      </c>
      <c r="E271" s="2" t="s">
        <v>2361</v>
      </c>
    </row>
    <row r="272" spans="4:5" ht="17.25" thickBot="1" x14ac:dyDescent="0.25">
      <c r="D272">
        <v>271</v>
      </c>
      <c r="E272" s="2" t="s">
        <v>2449</v>
      </c>
    </row>
    <row r="273" spans="3:5" ht="17.25" thickBot="1" x14ac:dyDescent="0.25">
      <c r="D273">
        <v>272</v>
      </c>
      <c r="E273" s="2" t="s">
        <v>2432</v>
      </c>
    </row>
    <row r="274" spans="3:5" ht="17.25" thickBot="1" x14ac:dyDescent="0.25">
      <c r="D274">
        <v>273</v>
      </c>
      <c r="E274" s="2" t="s">
        <v>2432</v>
      </c>
    </row>
    <row r="275" spans="3:5" ht="17.25" thickBot="1" x14ac:dyDescent="0.25">
      <c r="D275">
        <v>274</v>
      </c>
      <c r="E275" s="2" t="s">
        <v>2432</v>
      </c>
    </row>
    <row r="276" spans="3:5" ht="17.25" thickBot="1" x14ac:dyDescent="0.25">
      <c r="D276">
        <v>275</v>
      </c>
      <c r="E276" s="2" t="s">
        <v>2432</v>
      </c>
    </row>
    <row r="277" spans="3:5" ht="17.25" thickBot="1" x14ac:dyDescent="0.25">
      <c r="D277">
        <v>276</v>
      </c>
      <c r="E277" s="2" t="s">
        <v>2432</v>
      </c>
    </row>
    <row r="278" spans="3:5" ht="17.25" thickBot="1" x14ac:dyDescent="0.25">
      <c r="D278">
        <v>277</v>
      </c>
      <c r="E278" s="2" t="s">
        <v>2432</v>
      </c>
    </row>
    <row r="279" spans="3:5" ht="17.25" thickBot="1" x14ac:dyDescent="0.25">
      <c r="D279">
        <v>278</v>
      </c>
      <c r="E279" s="2" t="s">
        <v>2432</v>
      </c>
    </row>
    <row r="280" spans="3:5" ht="17.25" thickBot="1" x14ac:dyDescent="0.25">
      <c r="D280">
        <v>279</v>
      </c>
      <c r="E280" s="3" t="s">
        <v>2365</v>
      </c>
    </row>
    <row r="281" spans="3:5" ht="17.25" thickBot="1" x14ac:dyDescent="0.25">
      <c r="D281">
        <v>280</v>
      </c>
      <c r="E281" s="3" t="s">
        <v>2368</v>
      </c>
    </row>
    <row r="282" spans="3:5" ht="17.25" thickBot="1" x14ac:dyDescent="0.25">
      <c r="D282">
        <v>281</v>
      </c>
      <c r="E282" s="3" t="s">
        <v>2450</v>
      </c>
    </row>
    <row r="283" spans="3:5" ht="17.25" thickBot="1" x14ac:dyDescent="0.25">
      <c r="D283">
        <v>282</v>
      </c>
      <c r="E283" s="2" t="s">
        <v>2380</v>
      </c>
    </row>
    <row r="284" spans="3:5" ht="17.25" thickBot="1" x14ac:dyDescent="0.25">
      <c r="D284">
        <v>283</v>
      </c>
      <c r="E284" s="11" t="s">
        <v>2451</v>
      </c>
    </row>
    <row r="285" spans="3:5" ht="17.25" thickBot="1" x14ac:dyDescent="0.25">
      <c r="D285">
        <v>284</v>
      </c>
      <c r="E285" s="3" t="s">
        <v>2385</v>
      </c>
    </row>
    <row r="286" spans="3:5" ht="17.25" thickBot="1" x14ac:dyDescent="0.25">
      <c r="D286">
        <v>285</v>
      </c>
      <c r="E286" s="3" t="s">
        <v>2452</v>
      </c>
    </row>
    <row r="287" spans="3:5" ht="17.25" thickBot="1" x14ac:dyDescent="0.25">
      <c r="C287">
        <v>286</v>
      </c>
      <c r="D287">
        <v>286</v>
      </c>
      <c r="E287" s="8" t="s">
        <v>2398</v>
      </c>
    </row>
    <row r="288" spans="3:5" ht="17.25" thickBot="1" x14ac:dyDescent="0.25">
      <c r="D288">
        <v>287</v>
      </c>
      <c r="E288" s="12" t="s">
        <v>120</v>
      </c>
    </row>
    <row r="289" spans="4:5" ht="17.25" thickBot="1" x14ac:dyDescent="0.25">
      <c r="D289">
        <v>288</v>
      </c>
      <c r="E289" s="2" t="s">
        <v>120</v>
      </c>
    </row>
    <row r="290" spans="4:5" ht="17.25" thickBot="1" x14ac:dyDescent="0.25">
      <c r="D290">
        <v>289</v>
      </c>
      <c r="E290" s="2" t="s">
        <v>120</v>
      </c>
    </row>
    <row r="291" spans="4:5" ht="17.25" thickBot="1" x14ac:dyDescent="0.25">
      <c r="D291">
        <v>290</v>
      </c>
      <c r="E291" s="2" t="s">
        <v>2453</v>
      </c>
    </row>
    <row r="292" spans="4:5" ht="17.25" thickBot="1" x14ac:dyDescent="0.25">
      <c r="D292">
        <v>291</v>
      </c>
      <c r="E292" s="2" t="s">
        <v>120</v>
      </c>
    </row>
    <row r="293" spans="4:5" ht="17.25" thickBot="1" x14ac:dyDescent="0.25">
      <c r="D293">
        <v>292</v>
      </c>
      <c r="E293" s="2" t="s">
        <v>108</v>
      </c>
    </row>
    <row r="294" spans="4:5" ht="17.25" thickBot="1" x14ac:dyDescent="0.25">
      <c r="D294">
        <v>293</v>
      </c>
      <c r="E294" s="3" t="s">
        <v>2367</v>
      </c>
    </row>
    <row r="295" spans="4:5" ht="17.25" thickBot="1" x14ac:dyDescent="0.25">
      <c r="D295">
        <v>294</v>
      </c>
      <c r="E295" s="2" t="s">
        <v>2361</v>
      </c>
    </row>
    <row r="296" spans="4:5" ht="17.25" thickBot="1" x14ac:dyDescent="0.25">
      <c r="D296">
        <v>295</v>
      </c>
      <c r="E296" s="2" t="s">
        <v>120</v>
      </c>
    </row>
    <row r="297" spans="4:5" ht="17.25" thickBot="1" x14ac:dyDescent="0.25">
      <c r="D297">
        <v>296</v>
      </c>
      <c r="E297" s="2" t="s">
        <v>108</v>
      </c>
    </row>
    <row r="298" spans="4:5" ht="17.25" thickBot="1" x14ac:dyDescent="0.25">
      <c r="D298">
        <v>297</v>
      </c>
      <c r="E298" s="2" t="s">
        <v>2420</v>
      </c>
    </row>
    <row r="299" spans="4:5" ht="17.25" thickBot="1" x14ac:dyDescent="0.25">
      <c r="D299">
        <v>298</v>
      </c>
      <c r="E299" s="2" t="s">
        <v>2420</v>
      </c>
    </row>
    <row r="300" spans="4:5" ht="17.25" thickBot="1" x14ac:dyDescent="0.25">
      <c r="D300">
        <v>299</v>
      </c>
      <c r="E300" s="3" t="s">
        <v>2365</v>
      </c>
    </row>
    <row r="301" spans="4:5" ht="17.25" thickBot="1" x14ac:dyDescent="0.25">
      <c r="D301">
        <v>300</v>
      </c>
      <c r="E301" s="2" t="s">
        <v>2454</v>
      </c>
    </row>
    <row r="302" spans="4:5" ht="17.25" thickBot="1" x14ac:dyDescent="0.25">
      <c r="D302">
        <v>301</v>
      </c>
      <c r="E302" s="3" t="s">
        <v>2365</v>
      </c>
    </row>
    <row r="303" spans="4:5" ht="17.25" thickBot="1" x14ac:dyDescent="0.25">
      <c r="D303">
        <v>302</v>
      </c>
      <c r="E303" s="8" t="s">
        <v>2398</v>
      </c>
    </row>
    <row r="304" spans="4:5" ht="17.25" thickBot="1" x14ac:dyDescent="0.25">
      <c r="D304">
        <v>303</v>
      </c>
      <c r="E304" s="7" t="s">
        <v>2455</v>
      </c>
    </row>
    <row r="305" spans="4:5" ht="17.25" thickBot="1" x14ac:dyDescent="0.25">
      <c r="D305">
        <v>304</v>
      </c>
      <c r="E305" s="3" t="s">
        <v>120</v>
      </c>
    </row>
    <row r="306" spans="4:5" ht="17.25" thickBot="1" x14ac:dyDescent="0.25">
      <c r="D306">
        <v>305</v>
      </c>
      <c r="E306" s="2" t="s">
        <v>120</v>
      </c>
    </row>
    <row r="307" spans="4:5" ht="17.25" thickBot="1" x14ac:dyDescent="0.25">
      <c r="D307">
        <v>306</v>
      </c>
      <c r="E307" s="2" t="s">
        <v>120</v>
      </c>
    </row>
    <row r="308" spans="4:5" ht="17.25" thickBot="1" x14ac:dyDescent="0.25">
      <c r="D308">
        <v>307</v>
      </c>
      <c r="E308" s="2" t="s">
        <v>2364</v>
      </c>
    </row>
    <row r="309" spans="4:5" ht="17.25" thickBot="1" x14ac:dyDescent="0.25">
      <c r="D309">
        <v>308</v>
      </c>
      <c r="E309" s="2" t="s">
        <v>108</v>
      </c>
    </row>
    <row r="310" spans="4:5" ht="17.25" thickBot="1" x14ac:dyDescent="0.25">
      <c r="D310">
        <v>309</v>
      </c>
      <c r="E310" s="7" t="s">
        <v>2364</v>
      </c>
    </row>
    <row r="311" spans="4:5" ht="17.25" thickBot="1" x14ac:dyDescent="0.25">
      <c r="D311">
        <v>310</v>
      </c>
      <c r="E311" s="2" t="s">
        <v>2364</v>
      </c>
    </row>
    <row r="312" spans="4:5" ht="17.25" thickBot="1" x14ac:dyDescent="0.25">
      <c r="D312">
        <v>311</v>
      </c>
      <c r="E312" s="3" t="s">
        <v>2456</v>
      </c>
    </row>
    <row r="313" spans="4:5" ht="17.25" thickBot="1" x14ac:dyDescent="0.25">
      <c r="D313">
        <v>312</v>
      </c>
      <c r="E313" s="3" t="s">
        <v>2456</v>
      </c>
    </row>
    <row r="314" spans="4:5" ht="17.25" thickBot="1" x14ac:dyDescent="0.25">
      <c r="D314">
        <v>313</v>
      </c>
      <c r="E314" s="3" t="s">
        <v>2457</v>
      </c>
    </row>
    <row r="315" spans="4:5" ht="17.25" thickBot="1" x14ac:dyDescent="0.25">
      <c r="D315">
        <v>314</v>
      </c>
      <c r="E315" s="2" t="s">
        <v>108</v>
      </c>
    </row>
    <row r="316" spans="4:5" ht="17.25" thickBot="1" x14ac:dyDescent="0.25">
      <c r="D316">
        <v>315</v>
      </c>
      <c r="E316" s="2" t="s">
        <v>2458</v>
      </c>
    </row>
    <row r="317" spans="4:5" ht="17.25" thickBot="1" x14ac:dyDescent="0.25">
      <c r="D317">
        <v>316</v>
      </c>
      <c r="E317" s="2" t="s">
        <v>1047</v>
      </c>
    </row>
    <row r="318" spans="4:5" ht="17.25" thickBot="1" x14ac:dyDescent="0.25">
      <c r="D318">
        <v>317</v>
      </c>
      <c r="E318" s="2" t="s">
        <v>2459</v>
      </c>
    </row>
    <row r="319" spans="4:5" ht="17.25" thickBot="1" x14ac:dyDescent="0.25">
      <c r="D319">
        <v>318</v>
      </c>
      <c r="E319" s="2" t="s">
        <v>2460</v>
      </c>
    </row>
    <row r="320" spans="4:5" ht="17.25" thickBot="1" x14ac:dyDescent="0.25">
      <c r="D320">
        <v>319</v>
      </c>
      <c r="E320" s="2" t="s">
        <v>2453</v>
      </c>
    </row>
    <row r="321" spans="4:5" ht="17.25" thickBot="1" x14ac:dyDescent="0.25">
      <c r="D321">
        <v>320</v>
      </c>
      <c r="E321" s="11" t="s">
        <v>2461</v>
      </c>
    </row>
    <row r="322" spans="4:5" ht="17.25" thickBot="1" x14ac:dyDescent="0.25">
      <c r="D322">
        <v>321</v>
      </c>
      <c r="E322" s="2" t="s">
        <v>2361</v>
      </c>
    </row>
    <row r="323" spans="4:5" ht="17.25" thickBot="1" x14ac:dyDescent="0.25">
      <c r="D323">
        <v>322</v>
      </c>
      <c r="E323" s="2" t="s">
        <v>120</v>
      </c>
    </row>
    <row r="324" spans="4:5" ht="17.25" thickBot="1" x14ac:dyDescent="0.25">
      <c r="D324">
        <v>323</v>
      </c>
      <c r="E324" s="2" t="s">
        <v>120</v>
      </c>
    </row>
    <row r="325" spans="4:5" ht="17.25" thickBot="1" x14ac:dyDescent="0.25">
      <c r="D325">
        <v>324</v>
      </c>
      <c r="E325" s="2" t="s">
        <v>2462</v>
      </c>
    </row>
    <row r="326" spans="4:5" ht="16.5" x14ac:dyDescent="0.2">
      <c r="D326">
        <v>325</v>
      </c>
      <c r="E326" s="23" t="s">
        <v>2462</v>
      </c>
    </row>
    <row r="327" spans="4:5" ht="17.25" thickBot="1" x14ac:dyDescent="0.25">
      <c r="D327">
        <v>326</v>
      </c>
      <c r="E327" s="2" t="s">
        <v>2463</v>
      </c>
    </row>
    <row r="328" spans="4:5" ht="17.25" thickBot="1" x14ac:dyDescent="0.25">
      <c r="D328">
        <v>327</v>
      </c>
      <c r="E328" s="2" t="s">
        <v>572</v>
      </c>
    </row>
    <row r="329" spans="4:5" ht="17.25" thickBot="1" x14ac:dyDescent="0.25">
      <c r="D329">
        <v>328</v>
      </c>
      <c r="E329" s="2" t="s">
        <v>572</v>
      </c>
    </row>
    <row r="330" spans="4:5" ht="17.25" thickBot="1" x14ac:dyDescent="0.25">
      <c r="D330">
        <v>329</v>
      </c>
      <c r="E330" s="2" t="s">
        <v>108</v>
      </c>
    </row>
    <row r="331" spans="4:5" ht="17.25" thickBot="1" x14ac:dyDescent="0.25">
      <c r="D331">
        <v>330</v>
      </c>
      <c r="E331" s="2" t="s">
        <v>108</v>
      </c>
    </row>
    <row r="332" spans="4:5" ht="17.25" thickBot="1" x14ac:dyDescent="0.25">
      <c r="D332">
        <v>331</v>
      </c>
      <c r="E332" s="2" t="s">
        <v>2464</v>
      </c>
    </row>
    <row r="333" spans="4:5" ht="17.25" thickBot="1" x14ac:dyDescent="0.25">
      <c r="D333">
        <v>332</v>
      </c>
      <c r="E333" s="2" t="s">
        <v>2465</v>
      </c>
    </row>
    <row r="334" spans="4:5" ht="17.25" thickBot="1" x14ac:dyDescent="0.25">
      <c r="D334">
        <v>333</v>
      </c>
      <c r="E334" s="7" t="s">
        <v>2466</v>
      </c>
    </row>
    <row r="335" spans="4:5" ht="17.25" thickBot="1" x14ac:dyDescent="0.25">
      <c r="D335">
        <v>334</v>
      </c>
      <c r="E335" s="2" t="s">
        <v>2420</v>
      </c>
    </row>
    <row r="336" spans="4:5" ht="17.25" thickBot="1" x14ac:dyDescent="0.25">
      <c r="D336">
        <v>335</v>
      </c>
      <c r="E336" s="2" t="s">
        <v>2361</v>
      </c>
    </row>
    <row r="337" spans="4:5" ht="17.25" thickBot="1" x14ac:dyDescent="0.25">
      <c r="D337">
        <v>336</v>
      </c>
      <c r="E337" s="2" t="s">
        <v>2361</v>
      </c>
    </row>
    <row r="338" spans="4:5" ht="17.25" thickBot="1" x14ac:dyDescent="0.25">
      <c r="D338">
        <v>337</v>
      </c>
      <c r="E338" s="2" t="s">
        <v>120</v>
      </c>
    </row>
    <row r="339" spans="4:5" ht="17.25" thickBot="1" x14ac:dyDescent="0.25">
      <c r="D339">
        <v>338</v>
      </c>
      <c r="E339" s="2" t="s">
        <v>2467</v>
      </c>
    </row>
    <row r="340" spans="4:5" ht="17.25" thickBot="1" x14ac:dyDescent="0.25">
      <c r="D340">
        <v>339</v>
      </c>
      <c r="E340" s="2" t="s">
        <v>108</v>
      </c>
    </row>
    <row r="341" spans="4:5" ht="17.25" thickBot="1" x14ac:dyDescent="0.25">
      <c r="D341">
        <v>340</v>
      </c>
      <c r="E341" s="2" t="s">
        <v>2468</v>
      </c>
    </row>
    <row r="342" spans="4:5" ht="17.25" thickBot="1" x14ac:dyDescent="0.25">
      <c r="D342">
        <v>341</v>
      </c>
      <c r="E342" s="2" t="s">
        <v>2469</v>
      </c>
    </row>
    <row r="343" spans="4:5" ht="17.25" thickBot="1" x14ac:dyDescent="0.25">
      <c r="D343">
        <v>342</v>
      </c>
      <c r="E343" s="2" t="s">
        <v>108</v>
      </c>
    </row>
    <row r="344" spans="4:5" ht="17.25" thickBot="1" x14ac:dyDescent="0.25">
      <c r="D344">
        <v>343</v>
      </c>
      <c r="E344" s="2" t="s">
        <v>120</v>
      </c>
    </row>
    <row r="345" spans="4:5" ht="17.25" thickBot="1" x14ac:dyDescent="0.25">
      <c r="D345">
        <v>344</v>
      </c>
      <c r="E345" s="2" t="s">
        <v>120</v>
      </c>
    </row>
    <row r="346" spans="4:5" ht="17.25" thickBot="1" x14ac:dyDescent="0.25">
      <c r="D346">
        <v>345</v>
      </c>
      <c r="E346" s="2" t="s">
        <v>2361</v>
      </c>
    </row>
    <row r="347" spans="4:5" ht="17.25" thickBot="1" x14ac:dyDescent="0.25">
      <c r="D347">
        <v>346</v>
      </c>
      <c r="E347" s="2" t="s">
        <v>120</v>
      </c>
    </row>
    <row r="348" spans="4:5" ht="17.25" thickBot="1" x14ac:dyDescent="0.25">
      <c r="D348">
        <v>347</v>
      </c>
      <c r="E348" s="2" t="s">
        <v>120</v>
      </c>
    </row>
    <row r="349" spans="4:5" ht="17.25" thickBot="1" x14ac:dyDescent="0.25">
      <c r="D349">
        <v>348</v>
      </c>
      <c r="E349" s="2" t="s">
        <v>120</v>
      </c>
    </row>
    <row r="350" spans="4:5" ht="17.25" thickBot="1" x14ac:dyDescent="0.25">
      <c r="D350">
        <v>349</v>
      </c>
      <c r="E350" s="2" t="s">
        <v>2420</v>
      </c>
    </row>
    <row r="351" spans="4:5" ht="17.25" thickBot="1" x14ac:dyDescent="0.25">
      <c r="D351">
        <v>350</v>
      </c>
      <c r="E351" s="2" t="s">
        <v>2420</v>
      </c>
    </row>
    <row r="352" spans="4:5" ht="17.25" thickBot="1" x14ac:dyDescent="0.25">
      <c r="D352">
        <v>351</v>
      </c>
      <c r="E352" s="2" t="s">
        <v>2361</v>
      </c>
    </row>
    <row r="353" spans="4:5" ht="17.25" thickBot="1" x14ac:dyDescent="0.25">
      <c r="D353">
        <v>352</v>
      </c>
      <c r="E353" s="2" t="s">
        <v>120</v>
      </c>
    </row>
    <row r="354" spans="4:5" ht="17.25" thickBot="1" x14ac:dyDescent="0.25">
      <c r="D354">
        <v>353</v>
      </c>
      <c r="E354" s="2" t="s">
        <v>120</v>
      </c>
    </row>
    <row r="355" spans="4:5" ht="17.25" thickBot="1" x14ac:dyDescent="0.25">
      <c r="D355">
        <v>354</v>
      </c>
      <c r="E355" s="2" t="s">
        <v>120</v>
      </c>
    </row>
    <row r="356" spans="4:5" ht="17.25" thickBot="1" x14ac:dyDescent="0.25">
      <c r="D356">
        <v>355</v>
      </c>
      <c r="E356" s="2" t="s">
        <v>120</v>
      </c>
    </row>
    <row r="357" spans="4:5" ht="17.25" thickBot="1" x14ac:dyDescent="0.25">
      <c r="D357">
        <v>356</v>
      </c>
      <c r="E357" s="2" t="s">
        <v>120</v>
      </c>
    </row>
    <row r="358" spans="4:5" ht="17.25" thickBot="1" x14ac:dyDescent="0.25">
      <c r="D358">
        <v>357</v>
      </c>
      <c r="E358" s="2" t="s">
        <v>120</v>
      </c>
    </row>
    <row r="359" spans="4:5" ht="17.25" thickBot="1" x14ac:dyDescent="0.25">
      <c r="D359">
        <v>358</v>
      </c>
      <c r="E359" s="2" t="s">
        <v>120</v>
      </c>
    </row>
    <row r="360" spans="4:5" ht="17.25" thickBot="1" x14ac:dyDescent="0.25">
      <c r="D360">
        <v>359</v>
      </c>
      <c r="E360" s="2" t="s">
        <v>120</v>
      </c>
    </row>
    <row r="361" spans="4:5" ht="17.25" thickBot="1" x14ac:dyDescent="0.25">
      <c r="D361">
        <v>360</v>
      </c>
      <c r="E361" s="2" t="s">
        <v>120</v>
      </c>
    </row>
    <row r="362" spans="4:5" ht="17.25" thickBot="1" x14ac:dyDescent="0.25">
      <c r="D362">
        <v>361</v>
      </c>
      <c r="E362" s="2" t="s">
        <v>2470</v>
      </c>
    </row>
    <row r="363" spans="4:5" ht="17.25" thickBot="1" x14ac:dyDescent="0.25">
      <c r="D363">
        <v>362</v>
      </c>
      <c r="E363" s="2" t="s">
        <v>120</v>
      </c>
    </row>
    <row r="364" spans="4:5" ht="17.25" thickBot="1" x14ac:dyDescent="0.25">
      <c r="D364">
        <v>363</v>
      </c>
      <c r="E364" s="2" t="s">
        <v>120</v>
      </c>
    </row>
    <row r="365" spans="4:5" ht="17.25" thickBot="1" x14ac:dyDescent="0.25">
      <c r="D365">
        <v>364</v>
      </c>
      <c r="E365" s="2" t="s">
        <v>120</v>
      </c>
    </row>
    <row r="366" spans="4:5" ht="17.25" thickBot="1" x14ac:dyDescent="0.25">
      <c r="D366">
        <v>365</v>
      </c>
      <c r="E366" s="2" t="s">
        <v>120</v>
      </c>
    </row>
    <row r="367" spans="4:5" ht="17.25" thickBot="1" x14ac:dyDescent="0.25">
      <c r="D367">
        <v>366</v>
      </c>
      <c r="E367" s="2" t="s">
        <v>120</v>
      </c>
    </row>
    <row r="368" spans="4:5" ht="17.25" thickBot="1" x14ac:dyDescent="0.25">
      <c r="D368">
        <v>367</v>
      </c>
      <c r="E368" s="2" t="s">
        <v>108</v>
      </c>
    </row>
    <row r="369" spans="4:5" ht="17.25" thickBot="1" x14ac:dyDescent="0.25">
      <c r="D369">
        <v>368</v>
      </c>
      <c r="E369" s="2" t="s">
        <v>108</v>
      </c>
    </row>
    <row r="370" spans="4:5" ht="17.25" thickBot="1" x14ac:dyDescent="0.25">
      <c r="D370">
        <v>369</v>
      </c>
      <c r="E370" s="2" t="s">
        <v>2471</v>
      </c>
    </row>
    <row r="371" spans="4:5" ht="17.25" thickBot="1" x14ac:dyDescent="0.25">
      <c r="D371">
        <v>370</v>
      </c>
      <c r="E371" s="24" t="s">
        <v>2472</v>
      </c>
    </row>
    <row r="372" spans="4:5" ht="17.25" thickBot="1" x14ac:dyDescent="0.25">
      <c r="D372">
        <v>371</v>
      </c>
      <c r="E372" s="2" t="s">
        <v>108</v>
      </c>
    </row>
    <row r="373" spans="4:5" ht="17.25" thickBot="1" x14ac:dyDescent="0.25">
      <c r="D373">
        <v>372</v>
      </c>
      <c r="E373" s="7" t="s">
        <v>2385</v>
      </c>
    </row>
    <row r="374" spans="4:5" ht="17.25" thickBot="1" x14ac:dyDescent="0.25">
      <c r="D374">
        <v>373</v>
      </c>
      <c r="E374" s="2" t="s">
        <v>2420</v>
      </c>
    </row>
    <row r="375" spans="4:5" ht="17.25" thickBot="1" x14ac:dyDescent="0.25">
      <c r="D375">
        <v>374</v>
      </c>
      <c r="E375" s="2" t="s">
        <v>572</v>
      </c>
    </row>
    <row r="376" spans="4:5" ht="17.25" thickBot="1" x14ac:dyDescent="0.25">
      <c r="D376">
        <v>375</v>
      </c>
      <c r="E376" s="2" t="s">
        <v>572</v>
      </c>
    </row>
    <row r="377" spans="4:5" ht="17.25" thickBot="1" x14ac:dyDescent="0.25">
      <c r="D377">
        <v>376</v>
      </c>
      <c r="E377" s="2" t="s">
        <v>108</v>
      </c>
    </row>
    <row r="378" spans="4:5" ht="17.25" thickBot="1" x14ac:dyDescent="0.25">
      <c r="D378">
        <v>377</v>
      </c>
      <c r="E378" s="2" t="s">
        <v>108</v>
      </c>
    </row>
    <row r="379" spans="4:5" ht="17.25" thickBot="1" x14ac:dyDescent="0.25">
      <c r="D379">
        <v>378</v>
      </c>
      <c r="E379" s="2" t="s">
        <v>108</v>
      </c>
    </row>
    <row r="380" spans="4:5" ht="17.25" thickBot="1" x14ac:dyDescent="0.25">
      <c r="D380">
        <v>379</v>
      </c>
      <c r="E380" s="3" t="s">
        <v>2473</v>
      </c>
    </row>
    <row r="381" spans="4:5" ht="17.25" thickBot="1" x14ac:dyDescent="0.25">
      <c r="D381">
        <v>380</v>
      </c>
      <c r="E381" s="2" t="s">
        <v>108</v>
      </c>
    </row>
    <row r="382" spans="4:5" ht="17.25" thickBot="1" x14ac:dyDescent="0.25">
      <c r="D382">
        <v>381</v>
      </c>
      <c r="E382" s="2" t="s">
        <v>120</v>
      </c>
    </row>
    <row r="383" spans="4:5" ht="17.25" thickBot="1" x14ac:dyDescent="0.25">
      <c r="D383">
        <v>382</v>
      </c>
      <c r="E383" s="2" t="s">
        <v>108</v>
      </c>
    </row>
    <row r="384" spans="4:5" ht="17.25" thickBot="1" x14ac:dyDescent="0.25">
      <c r="D384">
        <v>383</v>
      </c>
      <c r="E384" s="2" t="s">
        <v>2432</v>
      </c>
    </row>
    <row r="385" spans="3:5" ht="17.25" thickBot="1" x14ac:dyDescent="0.25">
      <c r="D385">
        <v>384</v>
      </c>
      <c r="E385" s="2" t="s">
        <v>2432</v>
      </c>
    </row>
    <row r="386" spans="3:5" ht="17.25" thickBot="1" x14ac:dyDescent="0.25">
      <c r="D386">
        <v>385</v>
      </c>
      <c r="E386" s="2" t="s">
        <v>2432</v>
      </c>
    </row>
    <row r="387" spans="3:5" ht="17.25" thickBot="1" x14ac:dyDescent="0.25">
      <c r="D387">
        <v>386</v>
      </c>
      <c r="E387" s="3" t="s">
        <v>2474</v>
      </c>
    </row>
    <row r="388" spans="3:5" ht="17.25" thickBot="1" x14ac:dyDescent="0.25">
      <c r="D388">
        <v>387</v>
      </c>
      <c r="E388" s="3" t="s">
        <v>2380</v>
      </c>
    </row>
    <row r="389" spans="3:5" ht="16.5" x14ac:dyDescent="0.2">
      <c r="D389">
        <v>388</v>
      </c>
      <c r="E389" s="25" t="s">
        <v>2475</v>
      </c>
    </row>
    <row r="390" spans="3:5" ht="17.25" thickBot="1" x14ac:dyDescent="0.25">
      <c r="D390">
        <v>389</v>
      </c>
      <c r="E390" s="7" t="s">
        <v>2476</v>
      </c>
    </row>
    <row r="391" spans="3:5" ht="17.25" thickBot="1" x14ac:dyDescent="0.25">
      <c r="D391">
        <v>390</v>
      </c>
      <c r="E391" s="2" t="s">
        <v>108</v>
      </c>
    </row>
    <row r="392" spans="3:5" ht="17.25" thickBot="1" x14ac:dyDescent="0.25">
      <c r="D392">
        <v>391</v>
      </c>
      <c r="E392" s="26" t="s">
        <v>987</v>
      </c>
    </row>
    <row r="393" spans="3:5" ht="17.25" thickBot="1" x14ac:dyDescent="0.25">
      <c r="D393">
        <v>392</v>
      </c>
      <c r="E393" s="7" t="s">
        <v>2477</v>
      </c>
    </row>
    <row r="394" spans="3:5" ht="17.25" thickBot="1" x14ac:dyDescent="0.25">
      <c r="C394">
        <v>393</v>
      </c>
      <c r="D394">
        <v>393</v>
      </c>
      <c r="E394" s="3" t="s">
        <v>2362</v>
      </c>
    </row>
    <row r="395" spans="3:5" ht="17.25" thickBot="1" x14ac:dyDescent="0.25">
      <c r="D395">
        <v>394</v>
      </c>
      <c r="E395" s="12" t="s">
        <v>2420</v>
      </c>
    </row>
    <row r="396" spans="3:5" ht="17.25" thickBot="1" x14ac:dyDescent="0.25">
      <c r="D396">
        <v>395</v>
      </c>
      <c r="E396" s="7" t="s">
        <v>2455</v>
      </c>
    </row>
    <row r="397" spans="3:5" ht="17.25" thickBot="1" x14ac:dyDescent="0.25">
      <c r="D397">
        <v>396</v>
      </c>
      <c r="E397" s="3" t="s">
        <v>2478</v>
      </c>
    </row>
    <row r="398" spans="3:5" ht="17.25" thickBot="1" x14ac:dyDescent="0.25">
      <c r="D398">
        <v>397</v>
      </c>
      <c r="E398" s="2" t="s">
        <v>2479</v>
      </c>
    </row>
    <row r="399" spans="3:5" ht="17.25" thickBot="1" x14ac:dyDescent="0.25">
      <c r="D399">
        <v>398</v>
      </c>
      <c r="E399" s="27" t="s">
        <v>2480</v>
      </c>
    </row>
    <row r="400" spans="3:5" ht="16.5" x14ac:dyDescent="0.2">
      <c r="D400">
        <v>399</v>
      </c>
      <c r="E400" s="28" t="s">
        <v>2481</v>
      </c>
    </row>
    <row r="401" spans="4:5" ht="12.75" customHeight="1" thickBot="1" x14ac:dyDescent="0.25">
      <c r="D401">
        <v>400</v>
      </c>
      <c r="E401" s="2" t="s">
        <v>108</v>
      </c>
    </row>
    <row r="402" spans="4:5" ht="17.25" thickBot="1" x14ac:dyDescent="0.25">
      <c r="D402">
        <v>401</v>
      </c>
      <c r="E402" s="2" t="s">
        <v>2364</v>
      </c>
    </row>
    <row r="403" spans="4:5" ht="17.25" thickBot="1" x14ac:dyDescent="0.25">
      <c r="D403">
        <v>402</v>
      </c>
      <c r="E403" s="2" t="s">
        <v>987</v>
      </c>
    </row>
    <row r="404" spans="4:5" ht="17.25" thickBot="1" x14ac:dyDescent="0.25">
      <c r="D404">
        <v>403</v>
      </c>
      <c r="E404" s="2" t="s">
        <v>108</v>
      </c>
    </row>
    <row r="405" spans="4:5" ht="17.25" thickBot="1" x14ac:dyDescent="0.25">
      <c r="D405">
        <v>404</v>
      </c>
      <c r="E405" s="7" t="s">
        <v>2455</v>
      </c>
    </row>
    <row r="406" spans="4:5" ht="17.25" thickBot="1" x14ac:dyDescent="0.25">
      <c r="D406">
        <v>405</v>
      </c>
      <c r="E406" s="7" t="s">
        <v>2482</v>
      </c>
    </row>
    <row r="407" spans="4:5" ht="17.25" thickBot="1" x14ac:dyDescent="0.25">
      <c r="D407">
        <v>406</v>
      </c>
      <c r="E407" s="2" t="s">
        <v>108</v>
      </c>
    </row>
    <row r="408" spans="4:5" ht="17.25" thickBot="1" x14ac:dyDescent="0.25">
      <c r="D408">
        <v>407</v>
      </c>
      <c r="E408" s="2" t="s">
        <v>2380</v>
      </c>
    </row>
    <row r="409" spans="4:5" ht="17.25" thickBot="1" x14ac:dyDescent="0.25">
      <c r="D409">
        <v>408</v>
      </c>
      <c r="E409" s="2" t="s">
        <v>2380</v>
      </c>
    </row>
    <row r="410" spans="4:5" ht="17.25" thickBot="1" x14ac:dyDescent="0.25">
      <c r="D410">
        <v>409</v>
      </c>
      <c r="E410" s="2" t="s">
        <v>108</v>
      </c>
    </row>
    <row r="411" spans="4:5" ht="17.25" thickBot="1" x14ac:dyDescent="0.25">
      <c r="D411">
        <v>410</v>
      </c>
      <c r="E411" s="3" t="s">
        <v>2385</v>
      </c>
    </row>
    <row r="412" spans="4:5" ht="17.25" thickBot="1" x14ac:dyDescent="0.25">
      <c r="D412">
        <v>411</v>
      </c>
      <c r="E412" s="3" t="s">
        <v>2380</v>
      </c>
    </row>
    <row r="413" spans="4:5" ht="17.25" thickBot="1" x14ac:dyDescent="0.25">
      <c r="D413">
        <v>412</v>
      </c>
      <c r="E413" s="11" t="s">
        <v>2451</v>
      </c>
    </row>
    <row r="414" spans="4:5" ht="17.25" thickBot="1" x14ac:dyDescent="0.25">
      <c r="D414">
        <v>413</v>
      </c>
      <c r="E414" s="2" t="s">
        <v>108</v>
      </c>
    </row>
    <row r="415" spans="4:5" ht="17.25" thickBot="1" x14ac:dyDescent="0.25">
      <c r="D415">
        <v>414</v>
      </c>
      <c r="E415" s="2" t="s">
        <v>108</v>
      </c>
    </row>
    <row r="416" spans="4:5" ht="17.25" thickBot="1" x14ac:dyDescent="0.25">
      <c r="D416">
        <v>415</v>
      </c>
      <c r="E416" s="8" t="s">
        <v>2483</v>
      </c>
    </row>
    <row r="417" spans="4:5" ht="17.25" thickBot="1" x14ac:dyDescent="0.25">
      <c r="D417">
        <v>416</v>
      </c>
      <c r="E417" s="2" t="s">
        <v>2484</v>
      </c>
    </row>
    <row r="418" spans="4:5" ht="17.25" thickBot="1" x14ac:dyDescent="0.25">
      <c r="D418">
        <v>417</v>
      </c>
      <c r="E418" s="8" t="s">
        <v>2398</v>
      </c>
    </row>
    <row r="419" spans="4:5" ht="17.25" thickBot="1" x14ac:dyDescent="0.25">
      <c r="D419">
        <v>418</v>
      </c>
      <c r="E419" s="3" t="s">
        <v>2485</v>
      </c>
    </row>
    <row r="420" spans="4:5" ht="17.25" thickBot="1" x14ac:dyDescent="0.25">
      <c r="D420">
        <v>419</v>
      </c>
      <c r="E420" s="2" t="s">
        <v>2364</v>
      </c>
    </row>
    <row r="421" spans="4:5" ht="17.25" thickBot="1" x14ac:dyDescent="0.25">
      <c r="D421">
        <v>420</v>
      </c>
      <c r="E421" s="2" t="s">
        <v>108</v>
      </c>
    </row>
    <row r="422" spans="4:5" ht="17.25" thickBot="1" x14ac:dyDescent="0.25">
      <c r="D422">
        <v>421</v>
      </c>
      <c r="E422" s="7" t="s">
        <v>2442</v>
      </c>
    </row>
    <row r="423" spans="4:5" ht="17.25" thickBot="1" x14ac:dyDescent="0.25">
      <c r="D423">
        <v>422</v>
      </c>
      <c r="E423" s="2" t="s">
        <v>2364</v>
      </c>
    </row>
    <row r="424" spans="4:5" ht="17.25" thickBot="1" x14ac:dyDescent="0.25">
      <c r="D424">
        <v>423</v>
      </c>
      <c r="E424" s="5" t="s">
        <v>987</v>
      </c>
    </row>
    <row r="425" spans="4:5" ht="17.25" thickBot="1" x14ac:dyDescent="0.25">
      <c r="D425">
        <v>424</v>
      </c>
      <c r="E425" s="2" t="s">
        <v>2364</v>
      </c>
    </row>
    <row r="426" spans="4:5" ht="17.25" thickBot="1" x14ac:dyDescent="0.25">
      <c r="D426">
        <v>425</v>
      </c>
      <c r="E426" s="2" t="s">
        <v>2364</v>
      </c>
    </row>
    <row r="427" spans="4:5" ht="17.25" thickBot="1" x14ac:dyDescent="0.25">
      <c r="D427">
        <v>426</v>
      </c>
      <c r="E427" s="2" t="s">
        <v>2364</v>
      </c>
    </row>
    <row r="428" spans="4:5" ht="17.25" thickBot="1" x14ac:dyDescent="0.25">
      <c r="D428">
        <v>427</v>
      </c>
      <c r="E428" s="11" t="s">
        <v>2486</v>
      </c>
    </row>
    <row r="429" spans="4:5" ht="17.25" thickBot="1" x14ac:dyDescent="0.25">
      <c r="D429">
        <v>428</v>
      </c>
      <c r="E429" s="3" t="s">
        <v>2472</v>
      </c>
    </row>
    <row r="430" spans="4:5" ht="17.25" thickBot="1" x14ac:dyDescent="0.25">
      <c r="D430">
        <v>429</v>
      </c>
      <c r="E430" s="2" t="s">
        <v>2487</v>
      </c>
    </row>
    <row r="431" spans="4:5" ht="17.25" thickBot="1" x14ac:dyDescent="0.25">
      <c r="D431">
        <v>430</v>
      </c>
      <c r="E431" s="2" t="s">
        <v>2488</v>
      </c>
    </row>
    <row r="432" spans="4:5" ht="17.25" thickBot="1" x14ac:dyDescent="0.25">
      <c r="D432">
        <v>431</v>
      </c>
      <c r="E432" s="2" t="s">
        <v>2464</v>
      </c>
    </row>
    <row r="433" spans="4:5" ht="17.25" thickBot="1" x14ac:dyDescent="0.25">
      <c r="D433">
        <v>432</v>
      </c>
      <c r="E433" s="2" t="s">
        <v>120</v>
      </c>
    </row>
    <row r="434" spans="4:5" ht="17.25" thickBot="1" x14ac:dyDescent="0.25">
      <c r="D434">
        <v>433</v>
      </c>
      <c r="E434" s="2" t="s">
        <v>120</v>
      </c>
    </row>
    <row r="435" spans="4:5" ht="17.25" thickBot="1" x14ac:dyDescent="0.25">
      <c r="D435">
        <v>434</v>
      </c>
      <c r="E435" s="2" t="s">
        <v>120</v>
      </c>
    </row>
    <row r="436" spans="4:5" ht="17.25" thickBot="1" x14ac:dyDescent="0.25">
      <c r="D436">
        <v>435</v>
      </c>
      <c r="E436" s="2" t="s">
        <v>2361</v>
      </c>
    </row>
    <row r="437" spans="4:5" ht="17.25" thickBot="1" x14ac:dyDescent="0.25">
      <c r="D437">
        <v>436</v>
      </c>
      <c r="E437" s="2" t="s">
        <v>120</v>
      </c>
    </row>
    <row r="438" spans="4:5" ht="17.25" thickBot="1" x14ac:dyDescent="0.25">
      <c r="D438">
        <v>437</v>
      </c>
      <c r="E438" s="2" t="s">
        <v>2361</v>
      </c>
    </row>
    <row r="439" spans="4:5" ht="17.25" thickBot="1" x14ac:dyDescent="0.25">
      <c r="D439">
        <v>438</v>
      </c>
      <c r="E439" s="2" t="s">
        <v>120</v>
      </c>
    </row>
    <row r="440" spans="4:5" ht="17.25" thickBot="1" x14ac:dyDescent="0.25">
      <c r="D440">
        <v>439</v>
      </c>
      <c r="E440" s="2" t="s">
        <v>120</v>
      </c>
    </row>
    <row r="441" spans="4:5" ht="17.25" thickBot="1" x14ac:dyDescent="0.25">
      <c r="D441">
        <v>440</v>
      </c>
      <c r="E441" s="2" t="s">
        <v>2361</v>
      </c>
    </row>
    <row r="442" spans="4:5" ht="17.25" thickBot="1" x14ac:dyDescent="0.25">
      <c r="D442">
        <v>441</v>
      </c>
      <c r="E442" s="2" t="s">
        <v>120</v>
      </c>
    </row>
    <row r="443" spans="4:5" ht="17.25" thickBot="1" x14ac:dyDescent="0.25">
      <c r="D443">
        <v>442</v>
      </c>
      <c r="E443" s="2" t="s">
        <v>120</v>
      </c>
    </row>
    <row r="444" spans="4:5" ht="17.25" thickBot="1" x14ac:dyDescent="0.25">
      <c r="D444">
        <v>443</v>
      </c>
      <c r="E444" s="2" t="s">
        <v>120</v>
      </c>
    </row>
    <row r="445" spans="4:5" ht="17.25" thickBot="1" x14ac:dyDescent="0.25">
      <c r="D445">
        <v>444</v>
      </c>
      <c r="E445" s="2" t="s">
        <v>120</v>
      </c>
    </row>
    <row r="446" spans="4:5" ht="17.25" thickBot="1" x14ac:dyDescent="0.25">
      <c r="D446">
        <v>445</v>
      </c>
      <c r="E446" s="2" t="s">
        <v>2361</v>
      </c>
    </row>
    <row r="447" spans="4:5" ht="17.25" thickBot="1" x14ac:dyDescent="0.25">
      <c r="D447">
        <v>446</v>
      </c>
      <c r="E447" s="2" t="s">
        <v>2361</v>
      </c>
    </row>
    <row r="448" spans="4:5" ht="17.25" thickBot="1" x14ac:dyDescent="0.25">
      <c r="D448">
        <v>447</v>
      </c>
      <c r="E448" s="2" t="s">
        <v>120</v>
      </c>
    </row>
    <row r="449" spans="4:5" ht="17.25" thickBot="1" x14ac:dyDescent="0.25">
      <c r="D449">
        <v>448</v>
      </c>
      <c r="E449" s="2" t="s">
        <v>120</v>
      </c>
    </row>
    <row r="450" spans="4:5" ht="17.25" thickBot="1" x14ac:dyDescent="0.25">
      <c r="D450">
        <v>449</v>
      </c>
      <c r="E450" s="2" t="s">
        <v>120</v>
      </c>
    </row>
    <row r="451" spans="4:5" ht="17.25" thickBot="1" x14ac:dyDescent="0.25">
      <c r="D451">
        <v>450</v>
      </c>
      <c r="E451" s="2" t="s">
        <v>2361</v>
      </c>
    </row>
    <row r="452" spans="4:5" ht="17.25" thickBot="1" x14ac:dyDescent="0.25">
      <c r="D452">
        <v>451</v>
      </c>
      <c r="E452" s="2" t="s">
        <v>2361</v>
      </c>
    </row>
    <row r="453" spans="4:5" ht="17.25" thickBot="1" x14ac:dyDescent="0.25">
      <c r="D453">
        <v>452</v>
      </c>
      <c r="E453" s="11" t="s">
        <v>2486</v>
      </c>
    </row>
    <row r="454" spans="4:5" ht="17.25" thickBot="1" x14ac:dyDescent="0.25">
      <c r="D454">
        <v>453</v>
      </c>
      <c r="E454" s="2" t="s">
        <v>2489</v>
      </c>
    </row>
    <row r="455" spans="4:5" ht="17.25" thickBot="1" x14ac:dyDescent="0.25">
      <c r="D455">
        <v>454</v>
      </c>
      <c r="E455" s="2" t="s">
        <v>2489</v>
      </c>
    </row>
    <row r="456" spans="4:5" ht="17.25" thickBot="1" x14ac:dyDescent="0.25">
      <c r="D456">
        <v>455</v>
      </c>
      <c r="E456" s="2" t="s">
        <v>2489</v>
      </c>
    </row>
    <row r="457" spans="4:5" ht="17.25" thickBot="1" x14ac:dyDescent="0.25">
      <c r="D457">
        <v>456</v>
      </c>
      <c r="E457" s="2" t="s">
        <v>120</v>
      </c>
    </row>
    <row r="458" spans="4:5" ht="17.25" thickBot="1" x14ac:dyDescent="0.25">
      <c r="D458">
        <v>457</v>
      </c>
      <c r="E458" s="2" t="s">
        <v>2364</v>
      </c>
    </row>
    <row r="459" spans="4:5" ht="17.25" thickBot="1" x14ac:dyDescent="0.25">
      <c r="D459">
        <v>458</v>
      </c>
      <c r="E459" s="7" t="s">
        <v>2476</v>
      </c>
    </row>
    <row r="460" spans="4:5" ht="17.25" thickBot="1" x14ac:dyDescent="0.25">
      <c r="D460">
        <v>459</v>
      </c>
      <c r="E460" s="3" t="s">
        <v>2365</v>
      </c>
    </row>
    <row r="461" spans="4:5" ht="17.25" thickBot="1" x14ac:dyDescent="0.25">
      <c r="D461">
        <v>460</v>
      </c>
      <c r="E461" s="4" t="s">
        <v>2385</v>
      </c>
    </row>
    <row r="462" spans="4:5" ht="17.25" thickBot="1" x14ac:dyDescent="0.25">
      <c r="D462">
        <v>461</v>
      </c>
      <c r="E462" s="3" t="s">
        <v>2442</v>
      </c>
    </row>
    <row r="463" spans="4:5" ht="17.25" thickBot="1" x14ac:dyDescent="0.25">
      <c r="D463">
        <v>462</v>
      </c>
      <c r="E463" s="3" t="s">
        <v>2372</v>
      </c>
    </row>
    <row r="464" spans="4:5" ht="17.25" thickBot="1" x14ac:dyDescent="0.25">
      <c r="D464">
        <v>463</v>
      </c>
      <c r="E464" s="2" t="s">
        <v>108</v>
      </c>
    </row>
    <row r="465" spans="3:5" ht="17.25" thickBot="1" x14ac:dyDescent="0.25">
      <c r="D465">
        <v>464</v>
      </c>
      <c r="E465" s="2" t="s">
        <v>108</v>
      </c>
    </row>
    <row r="466" spans="3:5" ht="17.25" thickBot="1" x14ac:dyDescent="0.25">
      <c r="D466">
        <v>465</v>
      </c>
      <c r="E466" s="3" t="s">
        <v>2365</v>
      </c>
    </row>
    <row r="467" spans="3:5" ht="17.25" thickBot="1" x14ac:dyDescent="0.25">
      <c r="D467">
        <v>466</v>
      </c>
      <c r="E467" s="3" t="s">
        <v>2362</v>
      </c>
    </row>
    <row r="468" spans="3:5" ht="17.25" thickBot="1" x14ac:dyDescent="0.25">
      <c r="D468">
        <v>467</v>
      </c>
      <c r="E468" s="2" t="s">
        <v>2361</v>
      </c>
    </row>
    <row r="469" spans="3:5" ht="17.25" thickBot="1" x14ac:dyDescent="0.25">
      <c r="D469">
        <v>468</v>
      </c>
      <c r="E469" s="3" t="s">
        <v>2362</v>
      </c>
    </row>
    <row r="470" spans="3:5" ht="17.25" thickBot="1" x14ac:dyDescent="0.25">
      <c r="C470">
        <v>469</v>
      </c>
      <c r="D470">
        <v>469</v>
      </c>
      <c r="E470" s="2" t="s">
        <v>2420</v>
      </c>
    </row>
    <row r="471" spans="3:5" ht="17.25" thickBot="1" x14ac:dyDescent="0.25">
      <c r="D471">
        <v>470</v>
      </c>
      <c r="E471" s="13" t="s">
        <v>2365</v>
      </c>
    </row>
    <row r="472" spans="3:5" ht="17.25" thickBot="1" x14ac:dyDescent="0.25">
      <c r="D472">
        <v>471</v>
      </c>
      <c r="E472" s="2" t="s">
        <v>2459</v>
      </c>
    </row>
    <row r="473" spans="3:5" ht="17.25" thickBot="1" x14ac:dyDescent="0.25">
      <c r="D473">
        <v>472</v>
      </c>
      <c r="E473" s="3" t="s">
        <v>2472</v>
      </c>
    </row>
    <row r="474" spans="3:5" ht="17.25" thickBot="1" x14ac:dyDescent="0.25">
      <c r="D474">
        <v>473</v>
      </c>
      <c r="E474" s="7" t="s">
        <v>108</v>
      </c>
    </row>
    <row r="475" spans="3:5" ht="17.25" thickBot="1" x14ac:dyDescent="0.25">
      <c r="D475">
        <v>474</v>
      </c>
      <c r="E475" s="2" t="s">
        <v>2490</v>
      </c>
    </row>
    <row r="476" spans="3:5" ht="17.25" thickBot="1" x14ac:dyDescent="0.25">
      <c r="D476">
        <v>475</v>
      </c>
      <c r="E476" s="3" t="s">
        <v>2380</v>
      </c>
    </row>
    <row r="477" spans="3:5" ht="17.25" thickBot="1" x14ac:dyDescent="0.25">
      <c r="D477">
        <v>476</v>
      </c>
      <c r="E477" s="2" t="s">
        <v>120</v>
      </c>
    </row>
    <row r="478" spans="3:5" ht="17.25" thickBot="1" x14ac:dyDescent="0.25">
      <c r="D478">
        <v>477</v>
      </c>
      <c r="E478" s="7" t="s">
        <v>2380</v>
      </c>
    </row>
    <row r="479" spans="3:5" ht="17.25" thickBot="1" x14ac:dyDescent="0.25">
      <c r="D479">
        <v>478</v>
      </c>
      <c r="E479" s="29" t="s">
        <v>120</v>
      </c>
    </row>
    <row r="480" spans="3:5" ht="17.25" thickBot="1" x14ac:dyDescent="0.25">
      <c r="D480">
        <v>479</v>
      </c>
      <c r="E480" s="3" t="s">
        <v>2491</v>
      </c>
    </row>
    <row r="481" spans="4:5" ht="17.25" thickBot="1" x14ac:dyDescent="0.25">
      <c r="D481">
        <v>480</v>
      </c>
      <c r="E481" s="8" t="s">
        <v>2398</v>
      </c>
    </row>
    <row r="482" spans="4:5" ht="17.25" thickBot="1" x14ac:dyDescent="0.25">
      <c r="D482">
        <v>481</v>
      </c>
      <c r="E482" s="2" t="s">
        <v>2380</v>
      </c>
    </row>
    <row r="483" spans="4:5" ht="17.25" thickBot="1" x14ac:dyDescent="0.25">
      <c r="D483">
        <v>482</v>
      </c>
      <c r="E483" s="5" t="s">
        <v>2380</v>
      </c>
    </row>
    <row r="484" spans="4:5" ht="17.25" thickBot="1" x14ac:dyDescent="0.25">
      <c r="D484">
        <v>483</v>
      </c>
      <c r="E484" s="2" t="s">
        <v>2478</v>
      </c>
    </row>
    <row r="485" spans="4:5" ht="17.25" thickBot="1" x14ac:dyDescent="0.25">
      <c r="D485">
        <v>484</v>
      </c>
      <c r="E485" s="2" t="s">
        <v>108</v>
      </c>
    </row>
    <row r="486" spans="4:5" ht="17.25" thickBot="1" x14ac:dyDescent="0.25">
      <c r="D486">
        <v>485</v>
      </c>
      <c r="E486" s="2" t="s">
        <v>108</v>
      </c>
    </row>
    <row r="487" spans="4:5" ht="17.25" thickBot="1" x14ac:dyDescent="0.25">
      <c r="D487">
        <v>486</v>
      </c>
      <c r="E487" s="2" t="s">
        <v>108</v>
      </c>
    </row>
    <row r="488" spans="4:5" ht="17.25" thickBot="1" x14ac:dyDescent="0.25">
      <c r="D488">
        <v>487</v>
      </c>
      <c r="E488" s="2" t="s">
        <v>108</v>
      </c>
    </row>
    <row r="489" spans="4:5" ht="17.25" thickBot="1" x14ac:dyDescent="0.25">
      <c r="D489">
        <v>488</v>
      </c>
      <c r="E489" s="2" t="s">
        <v>108</v>
      </c>
    </row>
    <row r="490" spans="4:5" ht="17.25" thickBot="1" x14ac:dyDescent="0.25">
      <c r="D490">
        <v>489</v>
      </c>
      <c r="E490" s="2" t="s">
        <v>2420</v>
      </c>
    </row>
    <row r="491" spans="4:5" ht="17.25" thickBot="1" x14ac:dyDescent="0.25">
      <c r="D491">
        <v>490</v>
      </c>
      <c r="E491" s="2" t="s">
        <v>2361</v>
      </c>
    </row>
    <row r="492" spans="4:5" ht="17.25" thickBot="1" x14ac:dyDescent="0.25">
      <c r="D492">
        <v>491</v>
      </c>
      <c r="E492" s="2" t="s">
        <v>120</v>
      </c>
    </row>
    <row r="493" spans="4:5" ht="17.25" thickBot="1" x14ac:dyDescent="0.25">
      <c r="D493">
        <v>492</v>
      </c>
      <c r="E493" s="2" t="s">
        <v>120</v>
      </c>
    </row>
    <row r="494" spans="4:5" ht="16.5" x14ac:dyDescent="0.2">
      <c r="D494">
        <v>493</v>
      </c>
      <c r="E494" s="25" t="s">
        <v>2492</v>
      </c>
    </row>
    <row r="495" spans="4:5" ht="17.25" thickBot="1" x14ac:dyDescent="0.25">
      <c r="D495">
        <v>494</v>
      </c>
      <c r="E495" s="2" t="s">
        <v>108</v>
      </c>
    </row>
    <row r="496" spans="4:5" ht="17.25" thickBot="1" x14ac:dyDescent="0.25">
      <c r="D496">
        <v>495</v>
      </c>
      <c r="E496" s="2" t="s">
        <v>120</v>
      </c>
    </row>
    <row r="497" spans="4:5" ht="17.25" thickBot="1" x14ac:dyDescent="0.25">
      <c r="D497">
        <v>496</v>
      </c>
      <c r="E497" s="2" t="s">
        <v>2361</v>
      </c>
    </row>
    <row r="498" spans="4:5" ht="17.25" thickBot="1" x14ac:dyDescent="0.25">
      <c r="D498">
        <v>497</v>
      </c>
      <c r="E498" s="2" t="s">
        <v>2361</v>
      </c>
    </row>
    <row r="499" spans="4:5" ht="17.25" thickBot="1" x14ac:dyDescent="0.25">
      <c r="D499">
        <v>498</v>
      </c>
      <c r="E499" s="2" t="s">
        <v>2361</v>
      </c>
    </row>
    <row r="500" spans="4:5" ht="17.25" thickBot="1" x14ac:dyDescent="0.25">
      <c r="D500">
        <v>499</v>
      </c>
      <c r="E500" s="2" t="s">
        <v>2361</v>
      </c>
    </row>
    <row r="501" spans="4:5" ht="17.25" thickBot="1" x14ac:dyDescent="0.25">
      <c r="D501">
        <v>500</v>
      </c>
      <c r="E501" s="2" t="s">
        <v>120</v>
      </c>
    </row>
    <row r="502" spans="4:5" ht="17.25" thickBot="1" x14ac:dyDescent="0.25">
      <c r="D502">
        <v>501</v>
      </c>
      <c r="E502" s="2" t="s">
        <v>120</v>
      </c>
    </row>
    <row r="503" spans="4:5" ht="17.25" thickBot="1" x14ac:dyDescent="0.25">
      <c r="D503">
        <v>502</v>
      </c>
      <c r="E503" s="2" t="s">
        <v>120</v>
      </c>
    </row>
    <row r="504" spans="4:5" ht="17.25" thickBot="1" x14ac:dyDescent="0.25">
      <c r="D504">
        <v>503</v>
      </c>
      <c r="E504" s="2" t="s">
        <v>120</v>
      </c>
    </row>
    <row r="505" spans="4:5" ht="17.25" thickBot="1" x14ac:dyDescent="0.25">
      <c r="D505">
        <v>504</v>
      </c>
      <c r="E505" s="2" t="s">
        <v>2445</v>
      </c>
    </row>
    <row r="506" spans="4:5" ht="17.25" thickBot="1" x14ac:dyDescent="0.25">
      <c r="D506">
        <v>505</v>
      </c>
      <c r="E506" s="2" t="s">
        <v>120</v>
      </c>
    </row>
    <row r="507" spans="4:5" ht="17.25" thickBot="1" x14ac:dyDescent="0.25">
      <c r="D507">
        <v>506</v>
      </c>
      <c r="E507" s="2" t="s">
        <v>2361</v>
      </c>
    </row>
    <row r="508" spans="4:5" ht="17.25" thickBot="1" x14ac:dyDescent="0.25">
      <c r="D508">
        <v>507</v>
      </c>
      <c r="E508" s="2" t="s">
        <v>120</v>
      </c>
    </row>
    <row r="509" spans="4:5" ht="17.25" thickBot="1" x14ac:dyDescent="0.25">
      <c r="D509">
        <v>508</v>
      </c>
      <c r="E509" s="2" t="s">
        <v>2361</v>
      </c>
    </row>
    <row r="510" spans="4:5" ht="17.25" thickBot="1" x14ac:dyDescent="0.25">
      <c r="D510">
        <v>509</v>
      </c>
      <c r="E510" s="2" t="s">
        <v>120</v>
      </c>
    </row>
    <row r="511" spans="4:5" ht="17.25" thickBot="1" x14ac:dyDescent="0.25">
      <c r="D511">
        <v>510</v>
      </c>
      <c r="E511" s="2" t="s">
        <v>120</v>
      </c>
    </row>
    <row r="512" spans="4:5" ht="17.25" thickBot="1" x14ac:dyDescent="0.25">
      <c r="D512">
        <v>511</v>
      </c>
      <c r="E512" s="2" t="s">
        <v>120</v>
      </c>
    </row>
    <row r="513" spans="4:5" ht="17.25" thickBot="1" x14ac:dyDescent="0.25">
      <c r="D513">
        <v>512</v>
      </c>
      <c r="E513" s="2" t="s">
        <v>2445</v>
      </c>
    </row>
    <row r="514" spans="4:5" ht="17.25" thickBot="1" x14ac:dyDescent="0.25">
      <c r="D514">
        <v>513</v>
      </c>
      <c r="E514" s="2" t="s">
        <v>2445</v>
      </c>
    </row>
    <row r="515" spans="4:5" ht="17.25" thickBot="1" x14ac:dyDescent="0.25">
      <c r="D515">
        <v>514</v>
      </c>
      <c r="E515" s="2" t="s">
        <v>2445</v>
      </c>
    </row>
    <row r="516" spans="4:5" ht="17.25" thickBot="1" x14ac:dyDescent="0.25">
      <c r="D516">
        <v>515</v>
      </c>
      <c r="E516" s="2" t="s">
        <v>2445</v>
      </c>
    </row>
    <row r="517" spans="4:5" ht="17.25" thickBot="1" x14ac:dyDescent="0.25">
      <c r="D517">
        <v>516</v>
      </c>
      <c r="E517" s="2" t="s">
        <v>120</v>
      </c>
    </row>
    <row r="518" spans="4:5" ht="17.25" thickBot="1" x14ac:dyDescent="0.25">
      <c r="D518">
        <v>517</v>
      </c>
      <c r="E518" s="2" t="s">
        <v>120</v>
      </c>
    </row>
    <row r="519" spans="4:5" ht="17.25" thickBot="1" x14ac:dyDescent="0.25">
      <c r="D519">
        <v>518</v>
      </c>
      <c r="E519" s="2" t="s">
        <v>120</v>
      </c>
    </row>
    <row r="520" spans="4:5" ht="17.25" thickBot="1" x14ac:dyDescent="0.25">
      <c r="D520">
        <v>519</v>
      </c>
      <c r="E520" s="2" t="s">
        <v>120</v>
      </c>
    </row>
    <row r="521" spans="4:5" ht="17.25" thickBot="1" x14ac:dyDescent="0.25">
      <c r="D521">
        <v>520</v>
      </c>
      <c r="E521" s="2" t="s">
        <v>120</v>
      </c>
    </row>
    <row r="522" spans="4:5" ht="17.25" thickBot="1" x14ac:dyDescent="0.25">
      <c r="D522">
        <v>521</v>
      </c>
      <c r="E522" s="2" t="s">
        <v>120</v>
      </c>
    </row>
    <row r="523" spans="4:5" ht="17.25" thickBot="1" x14ac:dyDescent="0.25">
      <c r="D523">
        <v>522</v>
      </c>
      <c r="E523" s="2" t="s">
        <v>2420</v>
      </c>
    </row>
    <row r="524" spans="4:5" ht="17.25" thickBot="1" x14ac:dyDescent="0.25">
      <c r="D524">
        <v>523</v>
      </c>
      <c r="E524" s="2" t="s">
        <v>2385</v>
      </c>
    </row>
    <row r="525" spans="4:5" ht="17.25" thickBot="1" x14ac:dyDescent="0.25">
      <c r="D525">
        <v>524</v>
      </c>
      <c r="E525" s="2" t="s">
        <v>120</v>
      </c>
    </row>
    <row r="526" spans="4:5" ht="17.25" thickBot="1" x14ac:dyDescent="0.25">
      <c r="D526">
        <v>525</v>
      </c>
      <c r="E526" s="2" t="s">
        <v>2493</v>
      </c>
    </row>
    <row r="527" spans="4:5" ht="17.25" thickBot="1" x14ac:dyDescent="0.25">
      <c r="D527">
        <v>526</v>
      </c>
      <c r="E527" s="2" t="s">
        <v>120</v>
      </c>
    </row>
    <row r="528" spans="4:5" ht="17.25" thickBot="1" x14ac:dyDescent="0.25">
      <c r="D528">
        <v>527</v>
      </c>
      <c r="E528" s="7" t="s">
        <v>2494</v>
      </c>
    </row>
    <row r="529" spans="4:5" ht="17.25" thickBot="1" x14ac:dyDescent="0.25">
      <c r="D529">
        <v>528</v>
      </c>
      <c r="E529" s="2" t="s">
        <v>108</v>
      </c>
    </row>
    <row r="530" spans="4:5" ht="17.25" thickBot="1" x14ac:dyDescent="0.25">
      <c r="D530">
        <v>529</v>
      </c>
      <c r="E530" s="11" t="s">
        <v>2495</v>
      </c>
    </row>
    <row r="531" spans="4:5" ht="17.25" thickBot="1" x14ac:dyDescent="0.25">
      <c r="D531">
        <v>530</v>
      </c>
      <c r="E531" s="11" t="s">
        <v>2495</v>
      </c>
    </row>
    <row r="532" spans="4:5" ht="17.25" thickBot="1" x14ac:dyDescent="0.25">
      <c r="D532">
        <v>531</v>
      </c>
      <c r="E532" s="2" t="s">
        <v>108</v>
      </c>
    </row>
    <row r="533" spans="4:5" ht="17.25" thickBot="1" x14ac:dyDescent="0.25">
      <c r="D533">
        <v>532</v>
      </c>
      <c r="E533" s="2" t="s">
        <v>2420</v>
      </c>
    </row>
    <row r="534" spans="4:5" ht="17.25" thickBot="1" x14ac:dyDescent="0.25">
      <c r="D534">
        <v>533</v>
      </c>
      <c r="E534" s="2" t="s">
        <v>2496</v>
      </c>
    </row>
    <row r="535" spans="4:5" ht="17.25" thickBot="1" x14ac:dyDescent="0.25">
      <c r="D535">
        <v>534</v>
      </c>
      <c r="E535" s="2" t="s">
        <v>108</v>
      </c>
    </row>
    <row r="536" spans="4:5" ht="17.25" thickBot="1" x14ac:dyDescent="0.25">
      <c r="D536">
        <v>535</v>
      </c>
      <c r="E536" s="2" t="s">
        <v>2420</v>
      </c>
    </row>
    <row r="537" spans="4:5" ht="17.25" thickBot="1" x14ac:dyDescent="0.25">
      <c r="D537">
        <v>536</v>
      </c>
      <c r="E537" s="2" t="s">
        <v>2420</v>
      </c>
    </row>
    <row r="538" spans="4:5" ht="17.25" thickBot="1" x14ac:dyDescent="0.25">
      <c r="D538">
        <v>537</v>
      </c>
      <c r="E538" s="2" t="s">
        <v>2420</v>
      </c>
    </row>
    <row r="539" spans="4:5" ht="17.25" thickBot="1" x14ac:dyDescent="0.25">
      <c r="D539">
        <v>538</v>
      </c>
      <c r="E539" s="2" t="s">
        <v>2420</v>
      </c>
    </row>
    <row r="540" spans="4:5" ht="17.25" thickBot="1" x14ac:dyDescent="0.25">
      <c r="D540">
        <v>539</v>
      </c>
      <c r="E540" s="2" t="s">
        <v>2420</v>
      </c>
    </row>
    <row r="541" spans="4:5" ht="17.25" thickBot="1" x14ac:dyDescent="0.25">
      <c r="D541">
        <v>540</v>
      </c>
      <c r="E541" s="2" t="s">
        <v>2420</v>
      </c>
    </row>
    <row r="542" spans="4:5" ht="17.25" thickBot="1" x14ac:dyDescent="0.25">
      <c r="D542">
        <v>541</v>
      </c>
      <c r="E542" s="2" t="s">
        <v>108</v>
      </c>
    </row>
    <row r="543" spans="4:5" ht="17.25" thickBot="1" x14ac:dyDescent="0.25">
      <c r="D543">
        <v>542</v>
      </c>
      <c r="E543" s="2" t="s">
        <v>108</v>
      </c>
    </row>
    <row r="544" spans="4:5" ht="17.25" thickBot="1" x14ac:dyDescent="0.25">
      <c r="D544">
        <v>543</v>
      </c>
      <c r="E544" s="2" t="s">
        <v>2420</v>
      </c>
    </row>
    <row r="545" spans="3:5" ht="17.25" thickBot="1" x14ac:dyDescent="0.25">
      <c r="D545">
        <v>544</v>
      </c>
      <c r="E545" s="2" t="s">
        <v>2420</v>
      </c>
    </row>
    <row r="546" spans="3:5" ht="17.25" thickBot="1" x14ac:dyDescent="0.25">
      <c r="D546">
        <v>545</v>
      </c>
      <c r="E546" s="2" t="s">
        <v>2420</v>
      </c>
    </row>
    <row r="547" spans="3:5" ht="17.25" thickBot="1" x14ac:dyDescent="0.25">
      <c r="D547">
        <v>546</v>
      </c>
      <c r="E547" s="2" t="s">
        <v>2420</v>
      </c>
    </row>
    <row r="548" spans="3:5" ht="17.25" thickBot="1" x14ac:dyDescent="0.25">
      <c r="D548">
        <v>547</v>
      </c>
      <c r="E548" s="2" t="s">
        <v>2420</v>
      </c>
    </row>
    <row r="549" spans="3:5" ht="17.25" thickBot="1" x14ac:dyDescent="0.25">
      <c r="D549">
        <v>548</v>
      </c>
      <c r="E549" s="3" t="s">
        <v>2497</v>
      </c>
    </row>
    <row r="550" spans="3:5" ht="17.25" thickBot="1" x14ac:dyDescent="0.25">
      <c r="D550">
        <v>549</v>
      </c>
      <c r="E550" s="3" t="s">
        <v>2498</v>
      </c>
    </row>
    <row r="551" spans="3:5" ht="17.25" thickBot="1" x14ac:dyDescent="0.25">
      <c r="D551">
        <v>550</v>
      </c>
      <c r="E551" s="3" t="s">
        <v>2499</v>
      </c>
    </row>
    <row r="552" spans="3:5" ht="17.25" thickBot="1" x14ac:dyDescent="0.25">
      <c r="D552">
        <v>551</v>
      </c>
      <c r="E552" s="3" t="s">
        <v>2362</v>
      </c>
    </row>
    <row r="553" spans="3:5" ht="17.25" thickBot="1" x14ac:dyDescent="0.25">
      <c r="D553">
        <v>552</v>
      </c>
      <c r="E553" s="2" t="s">
        <v>120</v>
      </c>
    </row>
    <row r="554" spans="3:5" ht="17.25" thickBot="1" x14ac:dyDescent="0.25">
      <c r="D554">
        <v>553</v>
      </c>
      <c r="E554" s="3" t="s">
        <v>2500</v>
      </c>
    </row>
    <row r="555" spans="3:5" ht="17.25" thickBot="1" x14ac:dyDescent="0.25">
      <c r="D555">
        <v>554</v>
      </c>
      <c r="E555" s="3" t="s">
        <v>2372</v>
      </c>
    </row>
    <row r="556" spans="3:5" ht="17.25" thickBot="1" x14ac:dyDescent="0.25">
      <c r="C556">
        <v>555</v>
      </c>
      <c r="D556">
        <v>555</v>
      </c>
      <c r="E556" s="2" t="s">
        <v>120</v>
      </c>
    </row>
    <row r="557" spans="3:5" ht="17.25" thickBot="1" x14ac:dyDescent="0.25">
      <c r="D557">
        <v>556</v>
      </c>
      <c r="E557" s="12" t="s">
        <v>120</v>
      </c>
    </row>
    <row r="558" spans="3:5" ht="17.25" thickBot="1" x14ac:dyDescent="0.25">
      <c r="D558">
        <v>557</v>
      </c>
      <c r="E558" s="2" t="s">
        <v>120</v>
      </c>
    </row>
    <row r="559" spans="3:5" ht="17.25" thickBot="1" x14ac:dyDescent="0.25">
      <c r="D559">
        <v>558</v>
      </c>
      <c r="E559" s="2" t="s">
        <v>108</v>
      </c>
    </row>
    <row r="560" spans="3:5" ht="17.25" thickBot="1" x14ac:dyDescent="0.25">
      <c r="D560">
        <v>559</v>
      </c>
      <c r="E560" s="2" t="s">
        <v>108</v>
      </c>
    </row>
    <row r="561" spans="4:5" ht="17.25" thickBot="1" x14ac:dyDescent="0.25">
      <c r="D561">
        <v>560</v>
      </c>
      <c r="E561" s="2" t="s">
        <v>108</v>
      </c>
    </row>
    <row r="562" spans="4:5" ht="17.25" thickBot="1" x14ac:dyDescent="0.25">
      <c r="D562">
        <v>561</v>
      </c>
      <c r="E562" s="2" t="s">
        <v>108</v>
      </c>
    </row>
    <row r="563" spans="4:5" ht="17.25" thickBot="1" x14ac:dyDescent="0.25">
      <c r="D563">
        <v>562</v>
      </c>
      <c r="E563" s="2" t="s">
        <v>108</v>
      </c>
    </row>
    <row r="564" spans="4:5" ht="17.25" thickBot="1" x14ac:dyDescent="0.25">
      <c r="D564">
        <v>563</v>
      </c>
      <c r="E564" s="2" t="s">
        <v>2432</v>
      </c>
    </row>
    <row r="565" spans="4:5" ht="17.25" thickBot="1" x14ac:dyDescent="0.25">
      <c r="D565">
        <v>564</v>
      </c>
      <c r="E565" s="2" t="s">
        <v>2432</v>
      </c>
    </row>
    <row r="566" spans="4:5" ht="17.25" thickBot="1" x14ac:dyDescent="0.25">
      <c r="D566">
        <v>565</v>
      </c>
      <c r="E566" s="2" t="s">
        <v>2432</v>
      </c>
    </row>
    <row r="567" spans="4:5" ht="17.25" thickBot="1" x14ac:dyDescent="0.25">
      <c r="D567">
        <v>566</v>
      </c>
      <c r="E567" s="2" t="s">
        <v>2432</v>
      </c>
    </row>
    <row r="568" spans="4:5" ht="17.25" thickBot="1" x14ac:dyDescent="0.25">
      <c r="D568">
        <v>567</v>
      </c>
      <c r="E568" s="2" t="s">
        <v>2432</v>
      </c>
    </row>
    <row r="569" spans="4:5" ht="17.25" thickBot="1" x14ac:dyDescent="0.25">
      <c r="D569">
        <v>568</v>
      </c>
      <c r="E569" s="2" t="s">
        <v>2432</v>
      </c>
    </row>
    <row r="570" spans="4:5" ht="17.25" thickBot="1" x14ac:dyDescent="0.25">
      <c r="D570">
        <v>569</v>
      </c>
      <c r="E570" s="2" t="s">
        <v>2432</v>
      </c>
    </row>
    <row r="571" spans="4:5" ht="17.25" thickBot="1" x14ac:dyDescent="0.25">
      <c r="D571">
        <v>570</v>
      </c>
      <c r="E571" s="2" t="s">
        <v>2432</v>
      </c>
    </row>
    <row r="572" spans="4:5" ht="17.25" thickBot="1" x14ac:dyDescent="0.25">
      <c r="D572">
        <v>571</v>
      </c>
      <c r="E572" s="2" t="s">
        <v>2432</v>
      </c>
    </row>
    <row r="573" spans="4:5" ht="17.25" thickBot="1" x14ac:dyDescent="0.25">
      <c r="D573">
        <v>572</v>
      </c>
      <c r="E573" s="2" t="s">
        <v>2432</v>
      </c>
    </row>
    <row r="574" spans="4:5" ht="17.25" thickBot="1" x14ac:dyDescent="0.25">
      <c r="D574">
        <v>573</v>
      </c>
      <c r="E574" s="2" t="s">
        <v>2432</v>
      </c>
    </row>
    <row r="575" spans="4:5" ht="17.25" thickBot="1" x14ac:dyDescent="0.25">
      <c r="D575">
        <v>574</v>
      </c>
      <c r="E575" s="2" t="s">
        <v>2432</v>
      </c>
    </row>
    <row r="576" spans="4:5" ht="17.25" thickBot="1" x14ac:dyDescent="0.25">
      <c r="D576">
        <v>575</v>
      </c>
      <c r="E576" s="2" t="s">
        <v>2432</v>
      </c>
    </row>
    <row r="577" spans="4:5" ht="17.25" thickBot="1" x14ac:dyDescent="0.25">
      <c r="D577">
        <v>576</v>
      </c>
      <c r="E577" s="2" t="s">
        <v>2432</v>
      </c>
    </row>
    <row r="578" spans="4:5" ht="17.25" thickBot="1" x14ac:dyDescent="0.25">
      <c r="D578">
        <v>577</v>
      </c>
      <c r="E578" s="2" t="s">
        <v>2432</v>
      </c>
    </row>
    <row r="579" spans="4:5" ht="17.25" thickBot="1" x14ac:dyDescent="0.25">
      <c r="D579">
        <v>578</v>
      </c>
      <c r="E579" s="2" t="s">
        <v>2432</v>
      </c>
    </row>
    <row r="580" spans="4:5" ht="17.25" thickBot="1" x14ac:dyDescent="0.25">
      <c r="D580">
        <v>579</v>
      </c>
      <c r="E580" s="2" t="s">
        <v>2432</v>
      </c>
    </row>
    <row r="581" spans="4:5" ht="17.25" thickBot="1" x14ac:dyDescent="0.25">
      <c r="D581">
        <v>580</v>
      </c>
      <c r="E581" s="7" t="s">
        <v>2501</v>
      </c>
    </row>
    <row r="582" spans="4:5" ht="17.25" thickBot="1" x14ac:dyDescent="0.25">
      <c r="D582">
        <v>581</v>
      </c>
      <c r="E582" s="2" t="s">
        <v>2432</v>
      </c>
    </row>
    <row r="583" spans="4:5" ht="17.25" thickBot="1" x14ac:dyDescent="0.25">
      <c r="D583">
        <v>582</v>
      </c>
      <c r="E583" s="2" t="s">
        <v>2432</v>
      </c>
    </row>
    <row r="584" spans="4:5" ht="17.25" thickBot="1" x14ac:dyDescent="0.25">
      <c r="D584">
        <v>583</v>
      </c>
      <c r="E584" s="2" t="s">
        <v>108</v>
      </c>
    </row>
    <row r="585" spans="4:5" ht="17.25" thickBot="1" x14ac:dyDescent="0.25">
      <c r="D585">
        <v>584</v>
      </c>
      <c r="E585" s="7" t="s">
        <v>2364</v>
      </c>
    </row>
    <row r="586" spans="4:5" ht="12.75" customHeight="1" thickBot="1" x14ac:dyDescent="0.25">
      <c r="D586">
        <v>585</v>
      </c>
      <c r="E586" s="30" t="s">
        <v>2364</v>
      </c>
    </row>
    <row r="587" spans="4:5" ht="12.75" customHeight="1" x14ac:dyDescent="0.2">
      <c r="D587">
        <v>586</v>
      </c>
      <c r="E587" s="30" t="s">
        <v>108</v>
      </c>
    </row>
    <row r="588" spans="4:5" ht="17.25" thickBot="1" x14ac:dyDescent="0.25">
      <c r="D588">
        <v>587</v>
      </c>
      <c r="E588" s="3" t="s">
        <v>2502</v>
      </c>
    </row>
    <row r="589" spans="4:5" ht="17.25" thickBot="1" x14ac:dyDescent="0.25">
      <c r="D589">
        <v>588</v>
      </c>
      <c r="E589" s="2" t="s">
        <v>108</v>
      </c>
    </row>
    <row r="590" spans="4:5" ht="17.25" thickBot="1" x14ac:dyDescent="0.25">
      <c r="D590">
        <v>589</v>
      </c>
      <c r="E590" s="2" t="s">
        <v>120</v>
      </c>
    </row>
    <row r="591" spans="4:5" ht="17.25" thickBot="1" x14ac:dyDescent="0.25">
      <c r="D591">
        <v>590</v>
      </c>
      <c r="E591" s="2" t="s">
        <v>120</v>
      </c>
    </row>
    <row r="592" spans="4:5" ht="17.25" thickBot="1" x14ac:dyDescent="0.25">
      <c r="D592">
        <v>591</v>
      </c>
      <c r="E592" s="2" t="s">
        <v>108</v>
      </c>
    </row>
    <row r="593" spans="4:5" ht="17.25" thickBot="1" x14ac:dyDescent="0.25">
      <c r="D593">
        <v>592</v>
      </c>
      <c r="E593" s="2" t="s">
        <v>2420</v>
      </c>
    </row>
    <row r="594" spans="4:5" ht="17.25" thickBot="1" x14ac:dyDescent="0.25">
      <c r="D594">
        <v>593</v>
      </c>
      <c r="E594" s="2" t="s">
        <v>2420</v>
      </c>
    </row>
    <row r="595" spans="4:5" ht="17.25" thickBot="1" x14ac:dyDescent="0.25">
      <c r="D595">
        <v>594</v>
      </c>
      <c r="E595" s="2" t="s">
        <v>108</v>
      </c>
    </row>
    <row r="596" spans="4:5" ht="17.25" thickBot="1" x14ac:dyDescent="0.25">
      <c r="D596">
        <v>595</v>
      </c>
      <c r="E596" s="2" t="s">
        <v>120</v>
      </c>
    </row>
    <row r="597" spans="4:5" ht="17.25" thickBot="1" x14ac:dyDescent="0.25">
      <c r="D597">
        <v>596</v>
      </c>
      <c r="E597" s="2" t="s">
        <v>120</v>
      </c>
    </row>
    <row r="598" spans="4:5" ht="17.25" thickBot="1" x14ac:dyDescent="0.25">
      <c r="D598">
        <v>597</v>
      </c>
      <c r="E598" s="2" t="s">
        <v>120</v>
      </c>
    </row>
    <row r="599" spans="4:5" ht="17.25" thickBot="1" x14ac:dyDescent="0.25">
      <c r="D599">
        <v>598</v>
      </c>
      <c r="E599" s="2" t="s">
        <v>108</v>
      </c>
    </row>
    <row r="600" spans="4:5" ht="17.25" thickBot="1" x14ac:dyDescent="0.25">
      <c r="D600">
        <v>599</v>
      </c>
      <c r="E600" s="2" t="s">
        <v>2471</v>
      </c>
    </row>
    <row r="601" spans="4:5" ht="17.25" thickBot="1" x14ac:dyDescent="0.25">
      <c r="D601">
        <v>600</v>
      </c>
      <c r="E601" s="11" t="s">
        <v>2503</v>
      </c>
    </row>
    <row r="602" spans="4:5" ht="17.25" thickBot="1" x14ac:dyDescent="0.25">
      <c r="D602">
        <v>601</v>
      </c>
      <c r="E602" s="2" t="s">
        <v>108</v>
      </c>
    </row>
    <row r="603" spans="4:5" ht="17.25" thickBot="1" x14ac:dyDescent="0.25">
      <c r="D603">
        <v>602</v>
      </c>
      <c r="E603" s="2" t="s">
        <v>120</v>
      </c>
    </row>
    <row r="604" spans="4:5" ht="17.25" thickBot="1" x14ac:dyDescent="0.25">
      <c r="D604">
        <v>603</v>
      </c>
      <c r="E604" s="2" t="s">
        <v>120</v>
      </c>
    </row>
    <row r="605" spans="4:5" ht="17.25" thickBot="1" x14ac:dyDescent="0.25">
      <c r="D605">
        <v>604</v>
      </c>
      <c r="E605" s="2" t="s">
        <v>120</v>
      </c>
    </row>
    <row r="606" spans="4:5" ht="17.25" thickBot="1" x14ac:dyDescent="0.25">
      <c r="D606">
        <v>605</v>
      </c>
      <c r="E606" s="2" t="s">
        <v>120</v>
      </c>
    </row>
    <row r="607" spans="4:5" ht="17.25" thickBot="1" x14ac:dyDescent="0.25">
      <c r="D607">
        <v>606</v>
      </c>
      <c r="E607" s="2" t="s">
        <v>120</v>
      </c>
    </row>
    <row r="608" spans="4:5" ht="17.25" thickBot="1" x14ac:dyDescent="0.25">
      <c r="D608">
        <v>607</v>
      </c>
      <c r="E608" s="2" t="s">
        <v>120</v>
      </c>
    </row>
    <row r="609" spans="3:5" ht="17.25" thickBot="1" x14ac:dyDescent="0.25">
      <c r="D609">
        <v>608</v>
      </c>
      <c r="E609" s="2" t="s">
        <v>120</v>
      </c>
    </row>
    <row r="610" spans="3:5" ht="17.25" thickBot="1" x14ac:dyDescent="0.25">
      <c r="D610">
        <v>609</v>
      </c>
      <c r="E610" s="2" t="s">
        <v>2432</v>
      </c>
    </row>
    <row r="611" spans="3:5" ht="17.25" thickBot="1" x14ac:dyDescent="0.25">
      <c r="C611">
        <v>610</v>
      </c>
      <c r="D611">
        <v>610</v>
      </c>
      <c r="E611" s="2" t="s">
        <v>2432</v>
      </c>
    </row>
    <row r="612" spans="3:5" ht="17.25" thickBot="1" x14ac:dyDescent="0.25">
      <c r="D612">
        <v>611</v>
      </c>
      <c r="E612" s="12" t="s">
        <v>2432</v>
      </c>
    </row>
    <row r="613" spans="3:5" ht="17.25" thickBot="1" x14ac:dyDescent="0.25">
      <c r="D613">
        <v>612</v>
      </c>
      <c r="E613" s="2" t="s">
        <v>2432</v>
      </c>
    </row>
    <row r="614" spans="3:5" ht="17.25" thickBot="1" x14ac:dyDescent="0.25">
      <c r="D614">
        <v>613</v>
      </c>
      <c r="E614" s="2" t="s">
        <v>2432</v>
      </c>
    </row>
    <row r="615" spans="3:5" ht="17.25" thickBot="1" x14ac:dyDescent="0.25">
      <c r="D615">
        <v>614</v>
      </c>
      <c r="E615" s="2" t="s">
        <v>2432</v>
      </c>
    </row>
    <row r="616" spans="3:5" ht="17.25" thickBot="1" x14ac:dyDescent="0.25">
      <c r="D616">
        <v>615</v>
      </c>
      <c r="E616" s="2" t="s">
        <v>2432</v>
      </c>
    </row>
    <row r="617" spans="3:5" ht="17.25" thickBot="1" x14ac:dyDescent="0.25">
      <c r="D617">
        <v>616</v>
      </c>
      <c r="E617" s="2" t="s">
        <v>2504</v>
      </c>
    </row>
    <row r="618" spans="3:5" ht="17.25" thickBot="1" x14ac:dyDescent="0.25">
      <c r="D618">
        <v>617</v>
      </c>
      <c r="E618" s="2" t="s">
        <v>2432</v>
      </c>
    </row>
    <row r="619" spans="3:5" ht="17.25" thickBot="1" x14ac:dyDescent="0.25">
      <c r="D619">
        <v>618</v>
      </c>
      <c r="E619" s="2" t="s">
        <v>108</v>
      </c>
    </row>
    <row r="620" spans="3:5" ht="17.25" thickBot="1" x14ac:dyDescent="0.25">
      <c r="D620">
        <v>619</v>
      </c>
      <c r="E620" s="2" t="s">
        <v>108</v>
      </c>
    </row>
    <row r="621" spans="3:5" ht="17.25" thickBot="1" x14ac:dyDescent="0.25">
      <c r="D621">
        <v>620</v>
      </c>
      <c r="E621" s="2" t="s">
        <v>108</v>
      </c>
    </row>
    <row r="622" spans="3:5" ht="17.25" thickBot="1" x14ac:dyDescent="0.25">
      <c r="D622">
        <v>621</v>
      </c>
      <c r="E622" s="2" t="s">
        <v>2364</v>
      </c>
    </row>
    <row r="623" spans="3:5" ht="17.25" thickBot="1" x14ac:dyDescent="0.25">
      <c r="D623">
        <v>622</v>
      </c>
      <c r="E623" s="2" t="s">
        <v>2364</v>
      </c>
    </row>
    <row r="624" spans="3:5" ht="17.25" thickBot="1" x14ac:dyDescent="0.25">
      <c r="D624">
        <v>623</v>
      </c>
      <c r="E624" s="2" t="s">
        <v>2364</v>
      </c>
    </row>
    <row r="625" spans="4:5" ht="17.25" thickBot="1" x14ac:dyDescent="0.25">
      <c r="D625">
        <v>624</v>
      </c>
      <c r="E625" s="2" t="s">
        <v>2364</v>
      </c>
    </row>
    <row r="626" spans="4:5" ht="17.25" thickBot="1" x14ac:dyDescent="0.25">
      <c r="D626">
        <v>625</v>
      </c>
      <c r="E626" s="2" t="s">
        <v>108</v>
      </c>
    </row>
    <row r="627" spans="4:5" ht="17.25" thickBot="1" x14ac:dyDescent="0.25">
      <c r="D627">
        <v>626</v>
      </c>
      <c r="E627" s="2" t="s">
        <v>2364</v>
      </c>
    </row>
    <row r="628" spans="4:5" ht="17.25" thickBot="1" x14ac:dyDescent="0.25">
      <c r="D628">
        <v>627</v>
      </c>
      <c r="E628" s="2" t="s">
        <v>2364</v>
      </c>
    </row>
    <row r="629" spans="4:5" ht="17.25" thickBot="1" x14ac:dyDescent="0.25">
      <c r="D629">
        <v>628</v>
      </c>
      <c r="E629" s="2" t="s">
        <v>108</v>
      </c>
    </row>
    <row r="630" spans="4:5" ht="17.25" thickBot="1" x14ac:dyDescent="0.25">
      <c r="D630">
        <v>629</v>
      </c>
      <c r="E630" s="2" t="s">
        <v>108</v>
      </c>
    </row>
    <row r="631" spans="4:5" ht="17.25" thickBot="1" x14ac:dyDescent="0.25">
      <c r="D631">
        <v>630</v>
      </c>
      <c r="E631" s="2" t="s">
        <v>2364</v>
      </c>
    </row>
    <row r="632" spans="4:5" ht="17.25" thickBot="1" x14ac:dyDescent="0.25">
      <c r="D632">
        <v>631</v>
      </c>
      <c r="E632" s="2" t="s">
        <v>2364</v>
      </c>
    </row>
    <row r="633" spans="4:5" ht="17.25" thickBot="1" x14ac:dyDescent="0.25">
      <c r="D633">
        <v>632</v>
      </c>
      <c r="E633" s="2" t="s">
        <v>2364</v>
      </c>
    </row>
    <row r="634" spans="4:5" ht="17.25" thickBot="1" x14ac:dyDescent="0.25">
      <c r="D634">
        <v>633</v>
      </c>
      <c r="E634" s="2" t="s">
        <v>108</v>
      </c>
    </row>
    <row r="635" spans="4:5" ht="17.25" thickBot="1" x14ac:dyDescent="0.25">
      <c r="D635">
        <v>634</v>
      </c>
      <c r="E635" s="2" t="s">
        <v>108</v>
      </c>
    </row>
    <row r="636" spans="4:5" ht="17.25" thickBot="1" x14ac:dyDescent="0.25">
      <c r="D636">
        <v>635</v>
      </c>
      <c r="E636" s="2" t="s">
        <v>2364</v>
      </c>
    </row>
    <row r="637" spans="4:5" ht="17.25" thickBot="1" x14ac:dyDescent="0.25">
      <c r="D637">
        <v>636</v>
      </c>
      <c r="E637" s="2" t="s">
        <v>108</v>
      </c>
    </row>
    <row r="638" spans="4:5" ht="17.25" thickBot="1" x14ac:dyDescent="0.25">
      <c r="D638">
        <v>637</v>
      </c>
      <c r="E638" s="7" t="s">
        <v>108</v>
      </c>
    </row>
    <row r="639" spans="4:5" ht="17.25" thickBot="1" x14ac:dyDescent="0.25">
      <c r="D639">
        <v>638</v>
      </c>
      <c r="E639" s="2" t="s">
        <v>2420</v>
      </c>
    </row>
    <row r="640" spans="4:5" ht="17.25" thickBot="1" x14ac:dyDescent="0.25">
      <c r="D640">
        <v>639</v>
      </c>
      <c r="E640" s="2" t="s">
        <v>2505</v>
      </c>
    </row>
    <row r="641" spans="4:5" ht="17.25" thickBot="1" x14ac:dyDescent="0.25">
      <c r="D641">
        <v>640</v>
      </c>
      <c r="E641" s="2" t="s">
        <v>108</v>
      </c>
    </row>
    <row r="642" spans="4:5" ht="17.25" thickBot="1" x14ac:dyDescent="0.25">
      <c r="D642">
        <v>641</v>
      </c>
      <c r="E642" s="2" t="s">
        <v>2433</v>
      </c>
    </row>
    <row r="643" spans="4:5" ht="17.25" thickBot="1" x14ac:dyDescent="0.25">
      <c r="D643">
        <v>642</v>
      </c>
      <c r="E643" s="2" t="s">
        <v>120</v>
      </c>
    </row>
    <row r="644" spans="4:5" ht="17.25" thickBot="1" x14ac:dyDescent="0.25">
      <c r="D644">
        <v>643</v>
      </c>
      <c r="E644" s="11" t="s">
        <v>2495</v>
      </c>
    </row>
    <row r="645" spans="4:5" ht="17.25" thickBot="1" x14ac:dyDescent="0.25">
      <c r="D645">
        <v>644</v>
      </c>
      <c r="E645" s="2" t="s">
        <v>2364</v>
      </c>
    </row>
    <row r="646" spans="4:5" ht="17.25" thickBot="1" x14ac:dyDescent="0.25">
      <c r="D646">
        <v>645</v>
      </c>
      <c r="E646" s="2" t="s">
        <v>2485</v>
      </c>
    </row>
    <row r="647" spans="4:5" ht="17.25" thickBot="1" x14ac:dyDescent="0.25">
      <c r="D647">
        <v>646</v>
      </c>
      <c r="E647" s="2" t="s">
        <v>2485</v>
      </c>
    </row>
    <row r="648" spans="4:5" ht="17.25" thickBot="1" x14ac:dyDescent="0.25">
      <c r="D648">
        <v>647</v>
      </c>
      <c r="E648" s="8" t="s">
        <v>2506</v>
      </c>
    </row>
    <row r="649" spans="4:5" ht="17.25" thickBot="1" x14ac:dyDescent="0.25">
      <c r="D649">
        <v>648</v>
      </c>
      <c r="E649" s="7" t="s">
        <v>2507</v>
      </c>
    </row>
    <row r="650" spans="4:5" ht="17.25" thickBot="1" x14ac:dyDescent="0.25">
      <c r="D650">
        <v>649</v>
      </c>
      <c r="E650" s="2" t="s">
        <v>2433</v>
      </c>
    </row>
    <row r="651" spans="4:5" ht="17.25" thickBot="1" x14ac:dyDescent="0.25">
      <c r="D651">
        <v>650</v>
      </c>
      <c r="E651" s="2" t="s">
        <v>2433</v>
      </c>
    </row>
    <row r="652" spans="4:5" ht="17.25" thickBot="1" x14ac:dyDescent="0.25">
      <c r="D652">
        <v>651</v>
      </c>
      <c r="E652" s="2" t="s">
        <v>2361</v>
      </c>
    </row>
    <row r="653" spans="4:5" ht="17.25" thickBot="1" x14ac:dyDescent="0.25">
      <c r="D653">
        <v>652</v>
      </c>
      <c r="E653" s="2" t="s">
        <v>2361</v>
      </c>
    </row>
    <row r="654" spans="4:5" ht="17.25" thickBot="1" x14ac:dyDescent="0.25">
      <c r="D654">
        <v>653</v>
      </c>
      <c r="E654" s="2" t="s">
        <v>120</v>
      </c>
    </row>
    <row r="655" spans="4:5" ht="17.25" thickBot="1" x14ac:dyDescent="0.25">
      <c r="D655">
        <v>654</v>
      </c>
      <c r="E655" s="2" t="s">
        <v>120</v>
      </c>
    </row>
    <row r="656" spans="4:5" ht="17.25" thickBot="1" x14ac:dyDescent="0.25">
      <c r="D656">
        <v>655</v>
      </c>
      <c r="E656" s="2" t="s">
        <v>2361</v>
      </c>
    </row>
    <row r="657" spans="4:5" ht="17.25" thickBot="1" x14ac:dyDescent="0.25">
      <c r="D657">
        <v>656</v>
      </c>
      <c r="E657" s="2" t="s">
        <v>2489</v>
      </c>
    </row>
    <row r="658" spans="4:5" ht="17.25" thickBot="1" x14ac:dyDescent="0.25">
      <c r="D658">
        <v>657</v>
      </c>
      <c r="E658" s="2" t="s">
        <v>2489</v>
      </c>
    </row>
    <row r="659" spans="4:5" ht="17.25" thickBot="1" x14ac:dyDescent="0.25">
      <c r="D659">
        <v>658</v>
      </c>
      <c r="E659" s="2" t="s">
        <v>2486</v>
      </c>
    </row>
    <row r="660" spans="4:5" ht="17.25" thickBot="1" x14ac:dyDescent="0.25">
      <c r="D660">
        <v>659</v>
      </c>
      <c r="E660" s="2" t="s">
        <v>120</v>
      </c>
    </row>
    <row r="661" spans="4:5" ht="17.25" thickBot="1" x14ac:dyDescent="0.25">
      <c r="D661">
        <v>660</v>
      </c>
      <c r="E661" s="2" t="s">
        <v>2489</v>
      </c>
    </row>
    <row r="662" spans="4:5" ht="17.25" thickBot="1" x14ac:dyDescent="0.25">
      <c r="D662">
        <v>661</v>
      </c>
      <c r="E662" s="2" t="s">
        <v>2508</v>
      </c>
    </row>
    <row r="663" spans="4:5" ht="17.25" thickBot="1" x14ac:dyDescent="0.25">
      <c r="D663">
        <v>662</v>
      </c>
      <c r="E663" s="11" t="s">
        <v>2451</v>
      </c>
    </row>
    <row r="664" spans="4:5" ht="17.25" thickBot="1" x14ac:dyDescent="0.25">
      <c r="D664">
        <v>663</v>
      </c>
      <c r="E664" s="2" t="s">
        <v>2509</v>
      </c>
    </row>
    <row r="665" spans="4:5" ht="17.25" thickBot="1" x14ac:dyDescent="0.25">
      <c r="D665">
        <v>664</v>
      </c>
      <c r="E665" s="3" t="s">
        <v>2472</v>
      </c>
    </row>
    <row r="666" spans="4:5" ht="17.25" thickBot="1" x14ac:dyDescent="0.25">
      <c r="D666">
        <v>665</v>
      </c>
      <c r="E666" s="2" t="s">
        <v>2432</v>
      </c>
    </row>
    <row r="667" spans="4:5" ht="17.25" thickBot="1" x14ac:dyDescent="0.25">
      <c r="D667">
        <v>666</v>
      </c>
      <c r="E667" s="2" t="s">
        <v>2432</v>
      </c>
    </row>
    <row r="668" spans="4:5" ht="17.25" thickBot="1" x14ac:dyDescent="0.25">
      <c r="D668">
        <v>667</v>
      </c>
      <c r="E668" s="2" t="s">
        <v>2432</v>
      </c>
    </row>
    <row r="669" spans="4:5" ht="17.25" thickBot="1" x14ac:dyDescent="0.25">
      <c r="D669">
        <v>668</v>
      </c>
      <c r="E669" s="2" t="s">
        <v>2432</v>
      </c>
    </row>
    <row r="670" spans="4:5" ht="17.25" thickBot="1" x14ac:dyDescent="0.25">
      <c r="D670">
        <v>669</v>
      </c>
      <c r="E670" s="2" t="s">
        <v>108</v>
      </c>
    </row>
    <row r="671" spans="4:5" ht="17.25" thickBot="1" x14ac:dyDescent="0.25">
      <c r="D671">
        <v>670</v>
      </c>
      <c r="E671" s="2" t="s">
        <v>2510</v>
      </c>
    </row>
    <row r="672" spans="4:5" ht="17.25" thickBot="1" x14ac:dyDescent="0.25">
      <c r="D672">
        <v>671</v>
      </c>
      <c r="E672" s="2" t="s">
        <v>120</v>
      </c>
    </row>
    <row r="673" spans="4:5" ht="17.25" thickBot="1" x14ac:dyDescent="0.25">
      <c r="D673">
        <v>672</v>
      </c>
      <c r="E673" s="2" t="s">
        <v>2508</v>
      </c>
    </row>
    <row r="674" spans="4:5" ht="17.25" thickBot="1" x14ac:dyDescent="0.25">
      <c r="D674">
        <v>673</v>
      </c>
      <c r="E674" s="2" t="s">
        <v>120</v>
      </c>
    </row>
    <row r="675" spans="4:5" ht="17.25" thickBot="1" x14ac:dyDescent="0.25">
      <c r="D675">
        <v>674</v>
      </c>
      <c r="E675" s="2" t="s">
        <v>120</v>
      </c>
    </row>
    <row r="676" spans="4:5" ht="17.25" thickBot="1" x14ac:dyDescent="0.25">
      <c r="D676">
        <v>675</v>
      </c>
      <c r="E676" s="2" t="s">
        <v>2361</v>
      </c>
    </row>
    <row r="677" spans="4:5" ht="17.25" thickBot="1" x14ac:dyDescent="0.25">
      <c r="D677">
        <v>676</v>
      </c>
      <c r="E677" s="2" t="s">
        <v>2504</v>
      </c>
    </row>
    <row r="678" spans="4:5" ht="17.25" thickBot="1" x14ac:dyDescent="0.25">
      <c r="D678">
        <v>677</v>
      </c>
      <c r="E678" s="2" t="s">
        <v>2432</v>
      </c>
    </row>
    <row r="679" spans="4:5" ht="17.25" thickBot="1" x14ac:dyDescent="0.25">
      <c r="D679">
        <v>678</v>
      </c>
      <c r="E679" s="2" t="s">
        <v>2432</v>
      </c>
    </row>
    <row r="680" spans="4:5" ht="17.25" thickBot="1" x14ac:dyDescent="0.25">
      <c r="D680">
        <v>679</v>
      </c>
      <c r="E680" s="2" t="s">
        <v>2432</v>
      </c>
    </row>
    <row r="681" spans="4:5" ht="17.25" thickBot="1" x14ac:dyDescent="0.25">
      <c r="D681">
        <v>680</v>
      </c>
      <c r="E681" s="2" t="s">
        <v>120</v>
      </c>
    </row>
    <row r="682" spans="4:5" ht="17.25" thickBot="1" x14ac:dyDescent="0.25">
      <c r="D682">
        <v>681</v>
      </c>
      <c r="E682" s="2" t="s">
        <v>120</v>
      </c>
    </row>
    <row r="683" spans="4:5" ht="17.25" thickBot="1" x14ac:dyDescent="0.25">
      <c r="D683">
        <v>682</v>
      </c>
      <c r="E683" s="2" t="s">
        <v>120</v>
      </c>
    </row>
    <row r="684" spans="4:5" ht="17.25" thickBot="1" x14ac:dyDescent="0.25">
      <c r="D684">
        <v>683</v>
      </c>
      <c r="E684" s="5" t="s">
        <v>120</v>
      </c>
    </row>
    <row r="685" spans="4:5" ht="17.25" thickBot="1" x14ac:dyDescent="0.25">
      <c r="D685">
        <v>684</v>
      </c>
      <c r="E685" s="3" t="s">
        <v>2474</v>
      </c>
    </row>
    <row r="686" spans="4:5" ht="16.5" x14ac:dyDescent="0.2">
      <c r="D686">
        <v>685</v>
      </c>
      <c r="E686" s="25" t="s">
        <v>2511</v>
      </c>
    </row>
    <row r="687" spans="4:5" ht="17.25" thickBot="1" x14ac:dyDescent="0.25">
      <c r="D687">
        <v>686</v>
      </c>
      <c r="E687" s="2" t="s">
        <v>108</v>
      </c>
    </row>
    <row r="688" spans="4:5" ht="17.25" thickBot="1" x14ac:dyDescent="0.25">
      <c r="D688">
        <v>687</v>
      </c>
      <c r="E688" s="7" t="s">
        <v>2512</v>
      </c>
    </row>
    <row r="689" spans="4:5" ht="17.25" thickBot="1" x14ac:dyDescent="0.25">
      <c r="D689">
        <v>688</v>
      </c>
      <c r="E689" s="2" t="s">
        <v>108</v>
      </c>
    </row>
    <row r="690" spans="4:5" ht="17.25" thickBot="1" x14ac:dyDescent="0.25">
      <c r="D690">
        <v>689</v>
      </c>
      <c r="E690" s="11" t="s">
        <v>2495</v>
      </c>
    </row>
    <row r="691" spans="4:5" ht="17.25" thickBot="1" x14ac:dyDescent="0.25">
      <c r="D691">
        <v>690</v>
      </c>
      <c r="E691" s="2" t="s">
        <v>2513</v>
      </c>
    </row>
    <row r="692" spans="4:5" ht="17.25" thickBot="1" x14ac:dyDescent="0.25">
      <c r="D692">
        <v>691</v>
      </c>
      <c r="E692" s="2" t="s">
        <v>2420</v>
      </c>
    </row>
    <row r="693" spans="4:5" ht="17.25" thickBot="1" x14ac:dyDescent="0.25">
      <c r="D693">
        <v>692</v>
      </c>
      <c r="E693" s="8" t="s">
        <v>2483</v>
      </c>
    </row>
    <row r="694" spans="4:5" ht="17.25" thickBot="1" x14ac:dyDescent="0.25">
      <c r="D694">
        <v>693</v>
      </c>
      <c r="E694" s="2" t="s">
        <v>108</v>
      </c>
    </row>
    <row r="695" spans="4:5" ht="17.25" thickBot="1" x14ac:dyDescent="0.25">
      <c r="D695">
        <v>694</v>
      </c>
      <c r="E695" s="2" t="s">
        <v>120</v>
      </c>
    </row>
    <row r="696" spans="4:5" ht="17.25" thickBot="1" x14ac:dyDescent="0.25">
      <c r="D696">
        <v>695</v>
      </c>
      <c r="E696" s="2" t="s">
        <v>108</v>
      </c>
    </row>
    <row r="697" spans="4:5" ht="17.25" thickBot="1" x14ac:dyDescent="0.25">
      <c r="D697">
        <v>696</v>
      </c>
      <c r="E697" s="2" t="s">
        <v>2514</v>
      </c>
    </row>
    <row r="698" spans="4:5" ht="17.25" thickBot="1" x14ac:dyDescent="0.25">
      <c r="D698">
        <v>697</v>
      </c>
      <c r="E698" s="2" t="s">
        <v>2515</v>
      </c>
    </row>
    <row r="699" spans="4:5" ht="17.25" thickBot="1" x14ac:dyDescent="0.25">
      <c r="D699">
        <v>698</v>
      </c>
      <c r="E699" s="3" t="s">
        <v>987</v>
      </c>
    </row>
    <row r="700" spans="4:5" ht="17.25" thickBot="1" x14ac:dyDescent="0.25">
      <c r="D700">
        <v>699</v>
      </c>
      <c r="E700" s="7" t="s">
        <v>2516</v>
      </c>
    </row>
    <row r="701" spans="4:5" ht="17.25" thickBot="1" x14ac:dyDescent="0.25">
      <c r="D701">
        <v>700</v>
      </c>
      <c r="E701" s="2" t="s">
        <v>2517</v>
      </c>
    </row>
    <row r="702" spans="4:5" ht="17.25" thickBot="1" x14ac:dyDescent="0.25">
      <c r="D702">
        <v>701</v>
      </c>
      <c r="E702" s="2" t="s">
        <v>2518</v>
      </c>
    </row>
    <row r="703" spans="4:5" ht="17.25" thickBot="1" x14ac:dyDescent="0.25">
      <c r="D703">
        <v>702</v>
      </c>
      <c r="E703" s="2" t="s">
        <v>2519</v>
      </c>
    </row>
    <row r="704" spans="4:5" ht="17.25" thickBot="1" x14ac:dyDescent="0.25">
      <c r="D704">
        <v>703</v>
      </c>
      <c r="E704" s="2" t="s">
        <v>108</v>
      </c>
    </row>
    <row r="705" spans="4:5" ht="17.25" thickBot="1" x14ac:dyDescent="0.25">
      <c r="D705">
        <v>704</v>
      </c>
      <c r="E705" s="2" t="s">
        <v>2520</v>
      </c>
    </row>
    <row r="706" spans="4:5" ht="17.25" thickBot="1" x14ac:dyDescent="0.25">
      <c r="D706">
        <v>705</v>
      </c>
      <c r="E706" s="2" t="s">
        <v>108</v>
      </c>
    </row>
    <row r="707" spans="4:5" ht="17.25" thickBot="1" x14ac:dyDescent="0.25">
      <c r="D707">
        <v>706</v>
      </c>
      <c r="E707" s="2" t="s">
        <v>2420</v>
      </c>
    </row>
    <row r="708" spans="4:5" ht="17.25" thickBot="1" x14ac:dyDescent="0.25">
      <c r="D708">
        <v>707</v>
      </c>
      <c r="E708" s="11" t="s">
        <v>2521</v>
      </c>
    </row>
    <row r="709" spans="4:5" ht="17.25" thickBot="1" x14ac:dyDescent="0.25">
      <c r="D709">
        <v>708</v>
      </c>
      <c r="E709" s="2" t="s">
        <v>108</v>
      </c>
    </row>
    <row r="710" spans="4:5" ht="17.25" thickBot="1" x14ac:dyDescent="0.25">
      <c r="D710">
        <v>709</v>
      </c>
      <c r="E710" s="2" t="s">
        <v>120</v>
      </c>
    </row>
    <row r="711" spans="4:5" ht="17.25" thickBot="1" x14ac:dyDescent="0.25">
      <c r="D711">
        <v>710</v>
      </c>
      <c r="E711" s="2" t="s">
        <v>120</v>
      </c>
    </row>
    <row r="712" spans="4:5" ht="17.25" thickBot="1" x14ac:dyDescent="0.25">
      <c r="D712">
        <v>711</v>
      </c>
      <c r="E712" s="2" t="s">
        <v>120</v>
      </c>
    </row>
    <row r="713" spans="4:5" ht="17.25" thickBot="1" x14ac:dyDescent="0.25">
      <c r="D713">
        <v>712</v>
      </c>
      <c r="E713" s="2" t="s">
        <v>120</v>
      </c>
    </row>
    <row r="714" spans="4:5" ht="17.25" thickBot="1" x14ac:dyDescent="0.25">
      <c r="D714">
        <v>713</v>
      </c>
      <c r="E714" s="2" t="s">
        <v>120</v>
      </c>
    </row>
    <row r="715" spans="4:5" ht="17.25" thickBot="1" x14ac:dyDescent="0.25">
      <c r="D715">
        <v>714</v>
      </c>
      <c r="E715" s="2" t="s">
        <v>120</v>
      </c>
    </row>
    <row r="716" spans="4:5" ht="17.25" thickBot="1" x14ac:dyDescent="0.25">
      <c r="D716">
        <v>715</v>
      </c>
      <c r="E716" s="2" t="s">
        <v>120</v>
      </c>
    </row>
    <row r="717" spans="4:5" ht="17.25" thickBot="1" x14ac:dyDescent="0.25">
      <c r="D717">
        <v>716</v>
      </c>
      <c r="E717" s="2" t="s">
        <v>120</v>
      </c>
    </row>
    <row r="718" spans="4:5" ht="17.25" thickBot="1" x14ac:dyDescent="0.25">
      <c r="D718">
        <v>717</v>
      </c>
      <c r="E718" s="2" t="s">
        <v>120</v>
      </c>
    </row>
    <row r="719" spans="4:5" ht="17.25" thickBot="1" x14ac:dyDescent="0.25">
      <c r="D719">
        <v>718</v>
      </c>
      <c r="E719" s="2" t="s">
        <v>120</v>
      </c>
    </row>
    <row r="720" spans="4:5" ht="17.25" thickBot="1" x14ac:dyDescent="0.25">
      <c r="D720">
        <v>719</v>
      </c>
      <c r="E720" s="2" t="s">
        <v>120</v>
      </c>
    </row>
    <row r="721" spans="4:5" ht="17.25" thickBot="1" x14ac:dyDescent="0.25">
      <c r="D721">
        <v>720</v>
      </c>
      <c r="E721" s="2" t="s">
        <v>120</v>
      </c>
    </row>
    <row r="722" spans="4:5" ht="17.25" thickBot="1" x14ac:dyDescent="0.25">
      <c r="D722">
        <v>721</v>
      </c>
      <c r="E722" s="2" t="s">
        <v>120</v>
      </c>
    </row>
    <row r="723" spans="4:5" ht="17.25" thickBot="1" x14ac:dyDescent="0.25">
      <c r="D723">
        <v>722</v>
      </c>
      <c r="E723" s="2" t="s">
        <v>2361</v>
      </c>
    </row>
    <row r="724" spans="4:5" ht="17.25" thickBot="1" x14ac:dyDescent="0.25">
      <c r="D724">
        <v>723</v>
      </c>
      <c r="E724" s="11" t="s">
        <v>2522</v>
      </c>
    </row>
    <row r="725" spans="4:5" ht="17.25" thickBot="1" x14ac:dyDescent="0.25">
      <c r="D725">
        <v>724</v>
      </c>
      <c r="E725" s="2" t="s">
        <v>1068</v>
      </c>
    </row>
    <row r="726" spans="4:5" ht="17.25" thickBot="1" x14ac:dyDescent="0.25">
      <c r="D726">
        <v>725</v>
      </c>
      <c r="E726" s="2" t="s">
        <v>120</v>
      </c>
    </row>
    <row r="727" spans="4:5" ht="17.25" thickBot="1" x14ac:dyDescent="0.25">
      <c r="D727">
        <v>726</v>
      </c>
      <c r="E727" s="11" t="s">
        <v>120</v>
      </c>
    </row>
    <row r="728" spans="4:5" ht="17.25" thickBot="1" x14ac:dyDescent="0.25">
      <c r="D728">
        <v>727</v>
      </c>
      <c r="E728" s="2" t="s">
        <v>2523</v>
      </c>
    </row>
    <row r="729" spans="4:5" ht="17.25" thickBot="1" x14ac:dyDescent="0.25">
      <c r="D729">
        <v>728</v>
      </c>
      <c r="E729" s="3" t="s">
        <v>987</v>
      </c>
    </row>
    <row r="730" spans="4:5" ht="17.25" thickBot="1" x14ac:dyDescent="0.25">
      <c r="D730">
        <v>729</v>
      </c>
      <c r="E730" s="8" t="s">
        <v>2483</v>
      </c>
    </row>
    <row r="731" spans="4:5" ht="17.25" thickBot="1" x14ac:dyDescent="0.25">
      <c r="D731">
        <v>730</v>
      </c>
      <c r="E731" s="2" t="s">
        <v>2524</v>
      </c>
    </row>
    <row r="732" spans="4:5" ht="17.25" thickBot="1" x14ac:dyDescent="0.25">
      <c r="D732">
        <v>731</v>
      </c>
      <c r="E732" s="2" t="s">
        <v>108</v>
      </c>
    </row>
    <row r="733" spans="4:5" ht="17.25" thickBot="1" x14ac:dyDescent="0.25">
      <c r="D733">
        <v>732</v>
      </c>
      <c r="E733" s="2" t="s">
        <v>2393</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1-733</vt:lpstr>
      <vt:lpstr>734-779</vt:lpstr>
      <vt:lpstr>780-2126</vt:lpstr>
      <vt:lpstr>2127-3075</vt:lpstr>
      <vt:lpstr>3076-3093</vt:lpstr>
      <vt:lpstr>Hoja1</vt:lpstr>
      <vt:lpstr>prueba</vt:lpstr>
      <vt:lpstr>'780-2126'!_ftn1</vt:lpstr>
      <vt:lpstr>'780-2126'!_ftn2</vt:lpstr>
      <vt:lpstr>'780-2126'!_Hlk40426130</vt:lpstr>
      <vt:lpstr>'2127-3075'!Área_de_impresión</vt:lpstr>
      <vt:lpstr>'3076-3093'!Área_de_impresión</vt:lpstr>
      <vt:lpstr>'780-2126'!Área_de_impresión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Clara Maria Plazas Moreno</cp:lastModifiedBy>
  <dcterms:created xsi:type="dcterms:W3CDTF">2020-06-11T00:03:39Z</dcterms:created>
  <dcterms:modified xsi:type="dcterms:W3CDTF">2020-09-05T04:32:55Z</dcterms:modified>
</cp:coreProperties>
</file>