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hidePivotFieldList="1"/>
  <mc:AlternateContent xmlns:mc="http://schemas.openxmlformats.org/markup-compatibility/2006">
    <mc:Choice Requires="x15">
      <x15ac:absPath xmlns:x15ac="http://schemas.microsoft.com/office/spreadsheetml/2010/11/ac" url="https://anionline-my.sharepoint.com/personal/oarenas_ani_gov_co/Documents/2022/BLB LICITACION PUBLICA VJ-VE-APP-IPB-004-2021/AUDIENCIA ADJUDICACION/"/>
    </mc:Choice>
  </mc:AlternateContent>
  <xr:revisionPtr revIDLastSave="0" documentId="8_{421BBC0A-B363-4609-9657-53CD7ABD2DF0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Hoja1" sheetId="7" r:id="rId1"/>
    <sheet name="Ev. economica" sheetId="1" r:id="rId2"/>
    <sheet name="M1" sheetId="2" state="hidden" r:id="rId3"/>
    <sheet name="M2" sheetId="3" r:id="rId4"/>
    <sheet name="M3" sheetId="4" state="hidden" r:id="rId5"/>
    <sheet name="M4" sheetId="5" state="hidden" r:id="rId6"/>
    <sheet name="Resultados" sheetId="6" r:id="rId7"/>
  </sheets>
  <calcPr calcId="191029"/>
  <pivotCaches>
    <pivotCache cacheId="2" r:id="rId8"/>
    <pivotCache cacheId="3" r:id="rId9"/>
  </pivotCache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2" i="7" l="1"/>
  <c r="F39" i="7"/>
  <c r="E40" i="7"/>
  <c r="C9" i="3"/>
  <c r="C10" i="3" s="1"/>
  <c r="C12" i="2"/>
  <c r="D8" i="1"/>
  <c r="B40" i="7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3" i="7" s="1"/>
  <c r="B64" i="7" s="1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41" i="7"/>
  <c r="F43" i="7"/>
  <c r="F44" i="7"/>
  <c r="F45" i="7"/>
  <c r="F46" i="7"/>
  <c r="F47" i="7"/>
  <c r="F48" i="7"/>
  <c r="F49" i="7"/>
  <c r="F50" i="7"/>
  <c r="C35" i="7"/>
  <c r="D25" i="1"/>
  <c r="D24" i="1"/>
  <c r="C11" i="2"/>
  <c r="B6" i="1"/>
  <c r="B6" i="6" s="1"/>
  <c r="B5" i="1"/>
  <c r="B5" i="6" s="1"/>
  <c r="C10" i="5"/>
  <c r="A6" i="5" s="1"/>
  <c r="C11" i="4"/>
  <c r="C10" i="4"/>
  <c r="C10" i="2"/>
  <c r="E39" i="7"/>
  <c r="C9" i="1"/>
  <c r="B9" i="2"/>
  <c r="A6" i="2"/>
  <c r="A7" i="2"/>
  <c r="B9" i="7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10" i="6"/>
  <c r="C10" i="6"/>
  <c r="C9" i="6"/>
  <c r="B9" i="6"/>
  <c r="F35" i="7" l="1"/>
  <c r="C14" i="2"/>
  <c r="D6" i="2" s="1"/>
  <c r="F40" i="7"/>
  <c r="F36" i="7" s="1"/>
  <c r="E35" i="7"/>
  <c r="E36" i="7"/>
  <c r="D26" i="1"/>
  <c r="D27" i="1" s="1"/>
  <c r="C12" i="4"/>
  <c r="A7" i="4" s="1"/>
  <c r="A7" i="5"/>
  <c r="C11" i="5" s="1"/>
  <c r="A6" i="3"/>
  <c r="A7" i="3"/>
  <c r="D12" i="1" l="1"/>
  <c r="E12" i="1" s="1"/>
  <c r="F12" i="1" s="1"/>
  <c r="G12" i="1" s="1"/>
  <c r="D7" i="2"/>
  <c r="C12" i="3"/>
  <c r="C13" i="3" s="1"/>
  <c r="D6" i="3" s="1"/>
  <c r="D9" i="1"/>
  <c r="A6" i="4"/>
  <c r="C14" i="4" s="1"/>
  <c r="C15" i="4" s="1"/>
  <c r="D13" i="1"/>
  <c r="E13" i="1" s="1"/>
  <c r="F13" i="1" s="1"/>
  <c r="G13" i="1" s="1"/>
  <c r="C12" i="5"/>
  <c r="D7" i="3" l="1"/>
  <c r="D6" i="5"/>
  <c r="D7" i="5"/>
  <c r="J13" i="1" s="1"/>
  <c r="D6" i="4"/>
  <c r="D7" i="4"/>
  <c r="H13" i="1"/>
  <c r="D10" i="6" s="1"/>
  <c r="I10" i="6" s="1"/>
  <c r="H12" i="1" l="1"/>
  <c r="D9" i="6" s="1"/>
  <c r="I9" i="6" s="1"/>
  <c r="I13" i="1"/>
  <c r="I12" i="1"/>
  <c r="J12" i="1"/>
</calcChain>
</file>

<file path=xl/sharedStrings.xml><?xml version="1.0" encoding="utf-8"?>
<sst xmlns="http://schemas.openxmlformats.org/spreadsheetml/2006/main" count="114" uniqueCount="82">
  <si>
    <t>Nombre</t>
  </si>
  <si>
    <t>Oferta Económica</t>
  </si>
  <si>
    <t>Metodo 1</t>
  </si>
  <si>
    <t>Mediana con valor Absoluto</t>
  </si>
  <si>
    <t>Media Geométrica</t>
  </si>
  <si>
    <t>Media aritmética baja</t>
  </si>
  <si>
    <t>Menor Valor</t>
  </si>
  <si>
    <t>Metodo 2</t>
  </si>
  <si>
    <t>Metodo 3</t>
  </si>
  <si>
    <t>Metodo 4</t>
  </si>
  <si>
    <t>3. asignar maximo puntaje a la mediana en caso de impar</t>
  </si>
  <si>
    <t>1. organizar de menor a mayor</t>
  </si>
  <si>
    <t>2 calcular mediana con valor absoluto</t>
  </si>
  <si>
    <t>Etiquetas de fila</t>
  </si>
  <si>
    <t>Oferta Econ.</t>
  </si>
  <si>
    <t>Vme</t>
  </si>
  <si>
    <t>Vmg</t>
  </si>
  <si>
    <t>2 calcular media Geométrica</t>
  </si>
  <si>
    <t>Media Geometrica</t>
  </si>
  <si>
    <t>Mínimo</t>
  </si>
  <si>
    <t>Promedio</t>
  </si>
  <si>
    <t>Media aritmetica baja</t>
  </si>
  <si>
    <t>2 calcular menor valor</t>
  </si>
  <si>
    <t>3. calcular promedio artimetico</t>
  </si>
  <si>
    <t>3. asignar maximo puntaje a oferta mas cercana a Valor media geométrica</t>
  </si>
  <si>
    <t>Diferencia</t>
  </si>
  <si>
    <t>Metodo 1: Mediana con valor absoluto</t>
  </si>
  <si>
    <t>Prop.</t>
  </si>
  <si>
    <t>Método 2: Media Geométrica</t>
  </si>
  <si>
    <t>Metodo 3: Media aritmética baja</t>
  </si>
  <si>
    <t>Metodo 4: Menor valor</t>
  </si>
  <si>
    <t>0.00 a 0.24</t>
  </si>
  <si>
    <t>0.25 a 0.49</t>
  </si>
  <si>
    <t>0.50 a 0.74</t>
  </si>
  <si>
    <t>0.75 a 0.99</t>
  </si>
  <si>
    <t># Prop.</t>
  </si>
  <si>
    <t>Suma de Oferta Económica</t>
  </si>
  <si>
    <t>4. calcular media artimetica baja</t>
  </si>
  <si>
    <t>Min diferencia</t>
  </si>
  <si>
    <t>Oferta MD</t>
  </si>
  <si>
    <t>Menor valor</t>
  </si>
  <si>
    <t>https://www.superfinanciera.gov.co/inicio/informes-y-cifras/cifras/establecimientos-de-credito/informacion-periodica/diaria/tasa-de-cambio-representativa-del-mercado-trm-60819</t>
  </si>
  <si>
    <t>Oferta económica</t>
  </si>
  <si>
    <t>Factor de calidad</t>
  </si>
  <si>
    <t>Apoyo a la industria nacional</t>
  </si>
  <si>
    <t>Total</t>
  </si>
  <si>
    <t>VALOR MAXIMO OFERTA ECONOMICA</t>
  </si>
  <si>
    <t>Mediana</t>
  </si>
  <si>
    <t>Media Aritmética con Mediana</t>
  </si>
  <si>
    <t>Oferta hábil NO rechazada</t>
  </si>
  <si>
    <t>Habil</t>
  </si>
  <si>
    <t>Mano de obra local</t>
  </si>
  <si>
    <t>Oferta Vme</t>
  </si>
  <si>
    <t>Trabajadores discapacidad</t>
  </si>
  <si>
    <t>5. Asignar resto de valores en proporcion</t>
  </si>
  <si>
    <t>4 asignar puntajes en funcion de valor absoluto de diferncia con la media geométrica</t>
  </si>
  <si>
    <t xml:space="preserve">5. Asignar valores en proporcion a la diferencia con media aritmetica </t>
  </si>
  <si>
    <t>2. oferta con menor valor obtiene maximo puntaje</t>
  </si>
  <si>
    <t xml:space="preserve">3. Asignar resto de valores en proporcion </t>
  </si>
  <si>
    <t xml:space="preserve">Proceso de contratación </t>
  </si>
  <si>
    <t>Proceso de contratación</t>
  </si>
  <si>
    <t>SI</t>
  </si>
  <si>
    <t>Media Artimética</t>
  </si>
  <si>
    <t>Oferta</t>
  </si>
  <si>
    <t>LÍMITE INFERIOR (90%)</t>
  </si>
  <si>
    <t>4. asignar maximo puntaje a siguiente valor por debajo de mediana en caso de par</t>
  </si>
  <si>
    <t>oferta</t>
  </si>
  <si>
    <t>Impar (mediana)</t>
  </si>
  <si>
    <t>Par (menor valor mediana)</t>
  </si>
  <si>
    <t>Puntaje Total</t>
  </si>
  <si>
    <t>Orden de Elegibilidad</t>
  </si>
  <si>
    <t>Año</t>
  </si>
  <si>
    <t>VF aprobadas</t>
  </si>
  <si>
    <t>P1</t>
  </si>
  <si>
    <t>P2</t>
  </si>
  <si>
    <t>VPPA</t>
  </si>
  <si>
    <t>HABIL?</t>
  </si>
  <si>
    <t>TRM</t>
  </si>
  <si>
    <t>SACYR CONCESIONES COLOMBIA S.A.S</t>
  </si>
  <si>
    <t>Licitación Pública No.  VJ-VE-APP-IPB-004-2021</t>
  </si>
  <si>
    <t xml:space="preserve">“BUENAVENTURA - LOBOGUERRERO - BUGA” </t>
  </si>
  <si>
    <t>PROYECTOS Y DESARROLLOS VIALES DEL VALLE S.A.S. (PRODEVIVALLE)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</si>
</sst>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\ #,##0;[Red]\-&quot;$&quot;\ #,##0"/>
    <numFmt numFmtId="41" formatCode="_-* #,##0_-;\-* #,##0_-;_-* &quot;-&quot;_-;_-@_-"/>
    <numFmt numFmtId="164" formatCode="&quot;$&quot;#,##0;[Red]\-&quot;$&quot;#,##0"/>
    <numFmt numFmtId="165" formatCode="_-&quot;$&quot;* #,##0_-;\-&quot;$&quot;* #,##0_-;_-&quot;$&quot;* &quot;-&quot;_-;_-@_-"/>
    <numFmt numFmtId="166" formatCode="_-&quot;$&quot;* #,##0.00_-;\-&quot;$&quot;* #,##0.00_-;_-&quot;$&quot;* &quot;-&quot;??_-;_-@_-"/>
    <numFmt numFmtId="167" formatCode="&quot;$&quot;#,##0"/>
    <numFmt numFmtId="168" formatCode="_-* #,##0.00_-;\-* #,##0.00_-;_-* &quot;-&quot;_-;_-@_-"/>
    <numFmt numFmtId="169" formatCode="_-* #,##0.0000000_-;\-* #,##0.0000000_-;_-* &quot;-&quot;_-;_-@_-"/>
    <numFmt numFmtId="170" formatCode="_-&quot;$&quot;* #,##0.0_-;\-&quot;$&quot;* #,##0.0_-;_-&quot;$&quot;* &quot;-&quot;_-;_-@_-"/>
  </numFmts>
  <fonts count="2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scheme val="minor"/>
    </font>
    <font>
      <sz val="12"/>
      <color theme="1" tint="0.499984740745262"/>
      <name val="Calibri"/>
      <family val="2"/>
      <scheme val="minor"/>
    </font>
    <font>
      <b/>
      <sz val="12"/>
      <color theme="1" tint="0.499984740745262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0" tint="-0.34998626667073579"/>
      <name val="Calibri"/>
      <family val="2"/>
      <scheme val="minor"/>
    </font>
    <font>
      <b/>
      <sz val="12"/>
      <color theme="0" tint="-0.34998626667073579"/>
      <name val="Calibri"/>
      <family val="2"/>
      <scheme val="minor"/>
    </font>
    <font>
      <sz val="10"/>
      <color rgb="FF000000"/>
      <name val="Roboto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9" tint="0.79998168889431442"/>
      </top>
      <bottom style="thin">
        <color theme="9" tint="0.7999816888943144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8">
    <xf numFmtId="0" fontId="0" fillId="0" borderId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76">
    <xf numFmtId="0" fontId="0" fillId="0" borderId="0" xfId="0"/>
    <xf numFmtId="0" fontId="6" fillId="0" borderId="0" xfId="0" applyFont="1"/>
    <xf numFmtId="165" fontId="0" fillId="0" borderId="0" xfId="2" applyFont="1"/>
    <xf numFmtId="0" fontId="0" fillId="0" borderId="0" xfId="0" pivotButton="1"/>
    <xf numFmtId="0" fontId="0" fillId="0" borderId="0" xfId="0" applyAlignment="1">
      <alignment horizontal="left"/>
    </xf>
    <xf numFmtId="167" fontId="0" fillId="0" borderId="0" xfId="0" applyNumberFormat="1"/>
    <xf numFmtId="0" fontId="3" fillId="0" borderId="0" xfId="0" applyFont="1"/>
    <xf numFmtId="167" fontId="3" fillId="0" borderId="0" xfId="2" applyNumberFormat="1" applyFont="1"/>
    <xf numFmtId="168" fontId="0" fillId="0" borderId="0" xfId="1" applyNumberFormat="1" applyFont="1"/>
    <xf numFmtId="167" fontId="0" fillId="2" borderId="0" xfId="0" applyNumberFormat="1" applyFill="1"/>
    <xf numFmtId="41" fontId="0" fillId="0" borderId="0" xfId="0" applyNumberFormat="1"/>
    <xf numFmtId="0" fontId="7" fillId="0" borderId="0" xfId="0" applyFont="1"/>
    <xf numFmtId="41" fontId="7" fillId="0" borderId="0" xfId="1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/>
    <xf numFmtId="0" fontId="9" fillId="0" borderId="0" xfId="0" applyFont="1"/>
    <xf numFmtId="0" fontId="4" fillId="0" borderId="0" xfId="15"/>
    <xf numFmtId="0" fontId="3" fillId="0" borderId="1" xfId="0" applyFont="1" applyFill="1" applyBorder="1" applyAlignment="1">
      <alignment horizontal="center" vertical="top" wrapText="1"/>
    </xf>
    <xf numFmtId="164" fontId="8" fillId="0" borderId="1" xfId="2" applyNumberFormat="1" applyFont="1" applyBorder="1"/>
    <xf numFmtId="164" fontId="8" fillId="0" borderId="0" xfId="2" applyNumberFormat="1" applyFont="1" applyBorder="1"/>
    <xf numFmtId="165" fontId="0" fillId="0" borderId="0" xfId="0" applyNumberFormat="1"/>
    <xf numFmtId="0" fontId="10" fillId="0" borderId="2" xfId="0" applyFont="1" applyBorder="1"/>
    <xf numFmtId="0" fontId="3" fillId="0" borderId="1" xfId="0" applyFont="1" applyFill="1" applyBorder="1" applyAlignment="1">
      <alignment horizontal="center"/>
    </xf>
    <xf numFmtId="169" fontId="0" fillId="0" borderId="0" xfId="1" applyNumberFormat="1" applyFont="1"/>
    <xf numFmtId="0" fontId="12" fillId="0" borderId="0" xfId="0" quotePrefix="1" applyFont="1"/>
    <xf numFmtId="169" fontId="0" fillId="0" borderId="1" xfId="1" applyNumberFormat="1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0" fillId="0" borderId="0" xfId="16" applyNumberFormat="1" applyFont="1"/>
    <xf numFmtId="165" fontId="0" fillId="0" borderId="0" xfId="2" applyFont="1" applyBorder="1"/>
    <xf numFmtId="165" fontId="0" fillId="0" borderId="0" xfId="2" applyFont="1" applyBorder="1" applyAlignment="1">
      <alignment horizontal="center"/>
    </xf>
    <xf numFmtId="169" fontId="0" fillId="0" borderId="0" xfId="1" applyNumberFormat="1" applyFont="1" applyFill="1" applyBorder="1" applyAlignment="1"/>
    <xf numFmtId="169" fontId="0" fillId="0" borderId="0" xfId="1" applyNumberFormat="1" applyFont="1" applyBorder="1" applyAlignment="1"/>
    <xf numFmtId="0" fontId="0" fillId="0" borderId="1" xfId="0" applyFont="1" applyBorder="1"/>
    <xf numFmtId="0" fontId="0" fillId="0" borderId="0" xfId="0" applyFont="1" applyBorder="1"/>
    <xf numFmtId="169" fontId="3" fillId="0" borderId="1" xfId="0" applyNumberFormat="1" applyFont="1" applyBorder="1"/>
    <xf numFmtId="0" fontId="13" fillId="0" borderId="2" xfId="0" applyFont="1" applyFill="1" applyBorder="1"/>
    <xf numFmtId="0" fontId="13" fillId="0" borderId="2" xfId="0" applyFont="1" applyFill="1" applyBorder="1" applyAlignment="1">
      <alignment horizontal="left"/>
    </xf>
    <xf numFmtId="167" fontId="13" fillId="0" borderId="2" xfId="0" applyNumberFormat="1" applyFont="1" applyFill="1" applyBorder="1"/>
    <xf numFmtId="167" fontId="7" fillId="0" borderId="0" xfId="1" applyNumberFormat="1" applyFont="1"/>
    <xf numFmtId="167" fontId="0" fillId="0" borderId="3" xfId="0" applyNumberFormat="1" applyFont="1" applyBorder="1"/>
    <xf numFmtId="0" fontId="0" fillId="0" borderId="0" xfId="0" applyAlignment="1">
      <alignment vertical="center"/>
    </xf>
    <xf numFmtId="0" fontId="0" fillId="0" borderId="1" xfId="0" pivotButton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169" fontId="0" fillId="0" borderId="1" xfId="0" applyNumberForma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6" fontId="0" fillId="0" borderId="0" xfId="0" applyNumberFormat="1"/>
    <xf numFmtId="0" fontId="11" fillId="0" borderId="0" xfId="0" applyFont="1" applyBorder="1"/>
    <xf numFmtId="166" fontId="11" fillId="0" borderId="0" xfId="2" applyNumberFormat="1" applyFont="1" applyBorder="1"/>
    <xf numFmtId="0" fontId="0" fillId="0" borderId="1" xfId="0" applyFont="1" applyBorder="1" applyAlignment="1">
      <alignment vertical="center"/>
    </xf>
    <xf numFmtId="165" fontId="0" fillId="0" borderId="1" xfId="2" applyFont="1" applyBorder="1" applyAlignment="1">
      <alignment vertical="center"/>
    </xf>
    <xf numFmtId="165" fontId="0" fillId="0" borderId="1" xfId="2" applyFont="1" applyBorder="1" applyAlignment="1">
      <alignment horizontal="center" vertical="center"/>
    </xf>
    <xf numFmtId="169" fontId="0" fillId="0" borderId="1" xfId="1" applyNumberFormat="1" applyFont="1" applyFill="1" applyBorder="1" applyAlignment="1">
      <alignment vertical="center"/>
    </xf>
    <xf numFmtId="169" fontId="0" fillId="0" borderId="1" xfId="1" applyNumberFormat="1" applyFont="1" applyBorder="1" applyAlignment="1">
      <alignment vertical="center"/>
    </xf>
    <xf numFmtId="0" fontId="3" fillId="0" borderId="2" xfId="0" applyFont="1" applyBorder="1"/>
    <xf numFmtId="165" fontId="0" fillId="0" borderId="1" xfId="2" applyNumberFormat="1" applyFont="1" applyBorder="1" applyAlignment="1">
      <alignment vertical="center"/>
    </xf>
    <xf numFmtId="0" fontId="14" fillId="3" borderId="4" xfId="0" applyFont="1" applyFill="1" applyBorder="1" applyAlignment="1">
      <alignment horizontal="center" vertical="center" wrapText="1"/>
    </xf>
    <xf numFmtId="0" fontId="15" fillId="0" borderId="4" xfId="0" applyFont="1" applyBorder="1"/>
    <xf numFmtId="165" fontId="16" fillId="0" borderId="4" xfId="0" applyNumberFormat="1" applyFont="1" applyBorder="1" applyAlignment="1">
      <alignment horizontal="center" vertical="center" wrapText="1"/>
    </xf>
    <xf numFmtId="9" fontId="0" fillId="0" borderId="0" xfId="0" applyNumberFormat="1"/>
    <xf numFmtId="165" fontId="18" fillId="0" borderId="4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7" fontId="10" fillId="0" borderId="2" xfId="2" applyNumberFormat="1" applyFont="1" applyBorder="1"/>
    <xf numFmtId="167" fontId="3" fillId="0" borderId="2" xfId="2" applyNumberFormat="1" applyFont="1" applyBorder="1"/>
    <xf numFmtId="0" fontId="0" fillId="0" borderId="1" xfId="0" applyBorder="1"/>
    <xf numFmtId="41" fontId="0" fillId="0" borderId="1" xfId="1" applyNumberFormat="1" applyFont="1" applyBorder="1" applyAlignment="1"/>
    <xf numFmtId="164" fontId="19" fillId="0" borderId="1" xfId="2" applyNumberFormat="1" applyFont="1" applyBorder="1"/>
    <xf numFmtId="0" fontId="20" fillId="0" borderId="1" xfId="0" applyFont="1" applyBorder="1"/>
    <xf numFmtId="0" fontId="21" fillId="0" borderId="0" xfId="0" applyFont="1"/>
    <xf numFmtId="0" fontId="0" fillId="0" borderId="0" xfId="0" applyBorder="1"/>
    <xf numFmtId="167" fontId="0" fillId="2" borderId="0" xfId="1" applyNumberFormat="1" applyFont="1" applyFill="1"/>
    <xf numFmtId="0" fontId="0" fillId="0" borderId="1" xfId="0" applyFont="1" applyBorder="1" applyAlignment="1">
      <alignment horizontal="left" vertical="center"/>
    </xf>
    <xf numFmtId="168" fontId="0" fillId="2" borderId="1" xfId="1" applyNumberFormat="1" applyFont="1" applyFill="1" applyBorder="1"/>
    <xf numFmtId="170" fontId="16" fillId="0" borderId="4" xfId="0" applyNumberFormat="1" applyFont="1" applyBorder="1" applyAlignment="1">
      <alignment horizontal="center" vertical="center" wrapText="1"/>
    </xf>
  </cellXfs>
  <cellStyles count="18"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7" builtinId="9" hidden="1"/>
    <cellStyle name="Millares [0]" xfId="1" builtinId="6"/>
    <cellStyle name="Moneda [0]" xfId="2" builtinId="7"/>
    <cellStyle name="Normal" xfId="0" builtinId="0"/>
    <cellStyle name="Porcentaje" xfId="16" builtinId="5"/>
  </cellStyles>
  <dxfs count="21">
    <dxf>
      <border>
        <right style="thin">
          <color indexed="64"/>
        </right>
      </border>
    </dxf>
    <dxf>
      <border>
        <right style="thin">
          <color indexed="64"/>
        </right>
      </border>
    </dxf>
    <dxf>
      <alignment vertical="center"/>
    </dxf>
    <dxf>
      <numFmt numFmtId="169" formatCode="_-* #,##0.0000000_-;\-* #,##0.0000000_-;_-* &quot;-&quot;_-;_-@_-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7" formatCode="&quot;$&quot;#,##0"/>
    </dxf>
    <dxf>
      <border>
        <right style="thin">
          <color theme="0" tint="-0.499984740745262"/>
        </right>
      </border>
    </dxf>
    <dxf>
      <numFmt numFmtId="167" formatCode="&quot;$&quot;#,##0"/>
    </dxf>
    <dxf>
      <border>
        <left style="thin">
          <color theme="0" tint="-0.499984740745262"/>
        </lef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color theme="0" tint="-0.499984740745262"/>
      </font>
    </dxf>
    <dxf>
      <font>
        <color theme="0" tint="-0.499984740745262"/>
      </font>
      <numFmt numFmtId="165" formatCode="_-&quot;$&quot;* #,##0_-;\-&quot;$&quot;* #,##0_-;_-&quot;$&quot;* &quot;-&quot;_-;_-@_-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9769</xdr:rowOff>
    </xdr:from>
    <xdr:to>
      <xdr:col>2</xdr:col>
      <xdr:colOff>122558</xdr:colOff>
      <xdr:row>1</xdr:row>
      <xdr:rowOff>193571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B40E01E-5D55-4072-B684-656252A72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" y="209794"/>
          <a:ext cx="1205685" cy="383826"/>
        </a:xfrm>
        <a:prstGeom prst="rect">
          <a:avLst/>
        </a:prstGeom>
      </xdr:spPr>
    </xdr:pic>
    <xdr:clientData/>
  </xdr:twoCellAnchor>
  <xdr:twoCellAnchor editAs="oneCell">
    <xdr:from>
      <xdr:col>4</xdr:col>
      <xdr:colOff>903467</xdr:colOff>
      <xdr:row>0</xdr:row>
      <xdr:rowOff>95250</xdr:rowOff>
    </xdr:from>
    <xdr:to>
      <xdr:col>6</xdr:col>
      <xdr:colOff>60947</xdr:colOff>
      <xdr:row>2</xdr:row>
      <xdr:rowOff>114665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CCB8C4-C89E-4EC5-BD3E-951AA32C98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04384" y="95250"/>
          <a:ext cx="2033501" cy="4215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29307</xdr:colOff>
      <xdr:row>0</xdr:row>
      <xdr:rowOff>195386</xdr:rowOff>
    </xdr:from>
    <xdr:to>
      <xdr:col>2</xdr:col>
      <xdr:colOff>690706</xdr:colOff>
      <xdr:row>2</xdr:row>
      <xdr:rowOff>170998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9692" y="195386"/>
          <a:ext cx="1201615" cy="385920"/>
        </a:xfrm>
        <a:prstGeom prst="rect">
          <a:avLst/>
        </a:prstGeom>
      </xdr:spPr>
    </xdr:pic>
    <xdr:clientData/>
  </xdr:twoCellAnchor>
  <xdr:twoCellAnchor editAs="oneCell">
    <xdr:from>
      <xdr:col>2</xdr:col>
      <xdr:colOff>2373922</xdr:colOff>
      <xdr:row>0</xdr:row>
      <xdr:rowOff>185617</xdr:rowOff>
    </xdr:from>
    <xdr:to>
      <xdr:col>2</xdr:col>
      <xdr:colOff>4403492</xdr:colOff>
      <xdr:row>2</xdr:row>
      <xdr:rowOff>196868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41614" y="185617"/>
          <a:ext cx="2034931" cy="421559"/>
        </a:xfrm>
        <a:prstGeom prst="rect">
          <a:avLst/>
        </a:prstGeom>
      </xdr:spPr>
    </xdr:pic>
    <xdr:clientData/>
  </xdr:twoCellAnchor>
  <xdr:twoCellAnchor editAs="oneCell">
    <xdr:from>
      <xdr:col>1</xdr:col>
      <xdr:colOff>349250</xdr:colOff>
      <xdr:row>31</xdr:row>
      <xdr:rowOff>95249</xdr:rowOff>
    </xdr:from>
    <xdr:to>
      <xdr:col>3</xdr:col>
      <xdr:colOff>1167144</xdr:colOff>
      <xdr:row>33</xdr:row>
      <xdr:rowOff>150347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8F95F4-C485-5F6B-63FB-EAFE64E0C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85333" y="7133166"/>
          <a:ext cx="6173061" cy="4572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270607</xdr:colOff>
      <xdr:row>0</xdr:row>
      <xdr:rowOff>144586</xdr:rowOff>
    </xdr:from>
    <xdr:to>
      <xdr:col>2</xdr:col>
      <xdr:colOff>944993</xdr:colOff>
      <xdr:row>2</xdr:row>
      <xdr:rowOff>120198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7115" y="144586"/>
          <a:ext cx="1198514" cy="378787"/>
        </a:xfrm>
        <a:prstGeom prst="rect">
          <a:avLst/>
        </a:prstGeom>
      </xdr:spPr>
    </xdr:pic>
    <xdr:clientData/>
  </xdr:twoCellAnchor>
  <xdr:twoCellAnchor editAs="oneCell">
    <xdr:from>
      <xdr:col>2</xdr:col>
      <xdr:colOff>2373922</xdr:colOff>
      <xdr:row>0</xdr:row>
      <xdr:rowOff>185617</xdr:rowOff>
    </xdr:from>
    <xdr:to>
      <xdr:col>2</xdr:col>
      <xdr:colOff>4410775</xdr:colOff>
      <xdr:row>3</xdr:row>
      <xdr:rowOff>320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32822" y="185617"/>
          <a:ext cx="2039815" cy="417651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304800</xdr:colOff>
      <xdr:row>7</xdr:row>
      <xdr:rowOff>308883</xdr:rowOff>
    </xdr:to>
    <xdr:sp macro="" textlink="">
      <xdr:nvSpPr>
        <xdr:cNvPr id="2049" name="AutoShape 1">
          <a:extLst>
            <a:ext uri="{FF2B5EF4-FFF2-40B4-BE49-F238E27FC236}">
              <a16:creationId xmlns:a16="http://schemas.microsoft.com/office/drawing/2014/main" id="{08C228E8-C69C-899D-FACD-125E11A12EEB}"/>
            </a:ext>
          </a:extLst>
        </xdr:cNvPr>
        <xdr:cNvSpPr>
          <a:spLocks noChangeAspect="1" noChangeArrowheads="1"/>
        </xdr:cNvSpPr>
      </xdr:nvSpPr>
      <xdr:spPr bwMode="auto">
        <a:xfrm>
          <a:off x="12611100" y="140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sther Elena Osorio Florez" refreshedDate="44778.446191550924" createdVersion="4" refreshedVersion="7" minRefreshableVersion="3" recordCount="2" xr:uid="{00000000-000A-0000-FFFF-FFFF3C000000}">
  <cacheSource type="worksheet">
    <worksheetSource ref="B11:F13" sheet="Ev. economica"/>
  </cacheSource>
  <cacheFields count="5">
    <cacheField name="# Prop." numFmtId="0">
      <sharedItems containsSemiMixedTypes="0" containsString="0" containsNumber="1" containsInteger="1" minValue="1" maxValue="7" count="7">
        <n v="1"/>
        <n v="2"/>
        <n v="5" u="1"/>
        <n v="6" u="1"/>
        <n v="7" u="1"/>
        <n v="3" u="1"/>
        <n v="4" u="1"/>
      </sharedItems>
    </cacheField>
    <cacheField name="Nombre" numFmtId="0">
      <sharedItems/>
    </cacheField>
    <cacheField name="Oferta Económica" numFmtId="165">
      <sharedItems containsSemiMixedTypes="0" containsString="0" containsNumber="1" minValue="1250650377330.1357" maxValue="1353304011058.5613"/>
    </cacheField>
    <cacheField name="Habil" numFmtId="165">
      <sharedItems count="2">
        <s v="SI"/>
        <s v="NO" u="1"/>
      </sharedItems>
    </cacheField>
    <cacheField name="Oferta hábil NO rechazada" numFmtId="165">
      <sharedItems count="3">
        <s v="SI"/>
        <e v="#DIV/0!" u="1"/>
        <s v="NO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sther Elena Osorio Florez" refreshedDate="44778.44625335648" createdVersion="4" refreshedVersion="7" minRefreshableVersion="3" recordCount="2" xr:uid="{00000000-000A-0000-FFFF-FFFF3F000000}">
  <cacheSource type="worksheet">
    <worksheetSource ref="B8:I10" sheet="Resultados"/>
  </cacheSource>
  <cacheFields count="8">
    <cacheField name="# Prop." numFmtId="0">
      <sharedItems containsSemiMixedTypes="0" containsString="0" containsNumber="1" containsInteger="1" minValue="1" maxValue="2"/>
    </cacheField>
    <cacheField name="Nombre" numFmtId="0">
      <sharedItems count="13">
        <s v="PROYECTOS Y DESARROLLOS VIALES DEL VALLE S.A.S. (PRODEVIVALLE)"/>
        <s v="SACYR CONCESIONES COLOMBIA S.A.S"/>
        <s v="ESTRUCTURA PLURAL TRONCAL DEL MAGDALENA " u="1"/>
        <s v="ESTRUCTURA PLURAL VIALES DEL NORTE" u="1"/>
        <s v="ESTRUCTURA PLURAL RUTA BOGOTÁ NORTE" u="1"/>
        <s v="SACYR CONCESIONES" u="1"/>
        <s v="ESTRUCTURA PLURAL NUEVO MAGDALENA NO. 1" u="1"/>
        <s v="ESTRUCTURA PLURAL AUTOPISTA MAGDALENA MEDIO " u="1"/>
        <s v="ESTRUCTURA PLURAL  DEL RIO GRANDE 1" u="1"/>
        <s v="ESTRUCTURA PLURAL VALLE DEL RIO 1" u="1"/>
        <s v="ESTRUCTURA PLURAL RUTAS DE LA SABANA " u="1"/>
        <s v="ESTRUCTURA PLURAL  RUTA AL MAGDALENA PTO SALGAR BARRANCABERMEJA" u="1"/>
        <s v="ESTRUCTURA PLURAL AUTOVÍA MAGDALENA MEDIO " u="1"/>
      </sharedItems>
    </cacheField>
    <cacheField name="Oferta económica" numFmtId="169">
      <sharedItems containsSemiMixedTypes="0" containsString="0" containsNumber="1" minValue="767.81532799449838" maxValue="800"/>
    </cacheField>
    <cacheField name="Mano de obra local" numFmtId="41">
      <sharedItems containsSemiMixedTypes="0" containsString="0" containsNumber="1" containsInteger="1" minValue="50" maxValue="50"/>
    </cacheField>
    <cacheField name="Apoyo a la industria nacional" numFmtId="41">
      <sharedItems containsSemiMixedTypes="0" containsString="0" containsNumber="1" containsInteger="1" minValue="100" maxValue="100"/>
    </cacheField>
    <cacheField name="Factor de calidad" numFmtId="41">
      <sharedItems containsSemiMixedTypes="0" containsString="0" containsNumber="1" containsInteger="1" minValue="40" maxValue="40"/>
    </cacheField>
    <cacheField name="Trabajadores discapacidad" numFmtId="41">
      <sharedItems containsSemiMixedTypes="0" containsString="0" containsNumber="1" containsInteger="1" minValue="10" maxValue="10"/>
    </cacheField>
    <cacheField name="Total" numFmtId="169">
      <sharedItems containsSemiMixedTypes="0" containsString="0" containsNumber="1" minValue="967.81532799449838" maxValue="1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">
  <r>
    <x v="0"/>
    <s v="PROYECTOS Y DESARROLLOS VIALES DEL VALLE S.A.S. (PRODEVIVALLE)"/>
    <n v="1353304011058.5613"/>
    <x v="0"/>
    <x v="0"/>
  </r>
  <r>
    <x v="1"/>
    <s v="SACYR CONCESIONES COLOMBIA S.A.S"/>
    <n v="1250650377330.1357"/>
    <x v="0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">
  <r>
    <n v="1"/>
    <x v="0"/>
    <n v="767.81532799449838"/>
    <n v="50"/>
    <n v="100"/>
    <n v="40"/>
    <n v="10"/>
    <n v="967.81532799449838"/>
  </r>
  <r>
    <n v="2"/>
    <x v="1"/>
    <n v="800"/>
    <n v="50"/>
    <n v="100"/>
    <n v="40"/>
    <n v="10"/>
    <n v="1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A9D2A69-C84B-4551-AA1D-CFDC7E369492}" name="Tabla dinámica1" cacheId="2" applyNumberFormats="0" applyBorderFormats="0" applyFontFormats="0" applyPatternFormats="0" applyAlignmentFormats="0" applyWidthHeightFormats="1" dataCaption="Valores" updatedVersion="7" minRefreshableVersion="3" rowGrandTotals="0" colGrandTotals="0" itemPrintTitles="1" createdVersion="4" indent="0" outline="1" outlineData="1" multipleFieldFilters="0" rowHeaderCaption="Prop.">
  <location ref="C18:D20" firstHeaderRow="1" firstDataRow="1" firstDataCol="1" rowPageCount="1" colPageCount="1"/>
  <pivotFields count="5">
    <pivotField axis="axisRow" showAll="0" sortType="ascending" defaultSubtotal="0">
      <items count="7">
        <item x="0"/>
        <item x="1"/>
        <item m="1" x="5"/>
        <item m="1" x="6"/>
        <item m="1" x="2"/>
        <item m="1" x="3"/>
        <item m="1" x="4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numFmtId="165" showAll="0"/>
    <pivotField axis="axisPage" multipleItemSelectionAllowed="1" showAll="0">
      <items count="3">
        <item x="0"/>
        <item h="1" m="1" x="1"/>
        <item t="default"/>
      </items>
    </pivotField>
    <pivotField showAll="0"/>
  </pivotFields>
  <rowFields count="1">
    <field x="0"/>
  </rowFields>
  <rowItems count="2">
    <i>
      <x v="1"/>
    </i>
    <i>
      <x/>
    </i>
  </rowItems>
  <colItems count="1">
    <i/>
  </colItems>
  <pageFields count="1">
    <pageField fld="3" hier="-1"/>
  </pageFields>
  <dataFields count="1">
    <dataField name="Oferta" fld="2" subtotal="average" baseField="0" baseItem="0" numFmtId="167"/>
  </dataFields>
  <formats count="8">
    <format dxfId="12">
      <pivotArea collapsedLevelsAreSubtotals="1" fieldPosition="0">
        <references count="1">
          <reference field="0" count="1">
            <x v="1"/>
          </reference>
        </references>
      </pivotArea>
    </format>
    <format dxfId="11">
      <pivotArea type="all" dataOnly="0" outline="0" fieldPosition="0"/>
    </format>
    <format dxfId="10">
      <pivotArea type="all" dataOnly="0" outline="0" fieldPosition="0"/>
    </format>
    <format dxfId="9">
      <pivotArea dataOnly="0" labelOnly="1" outline="0" axis="axisValues" fieldPosition="0"/>
    </format>
    <format dxfId="8">
      <pivotArea type="all" dataOnly="0" outline="0" fieldPosition="0"/>
    </format>
    <format dxfId="7">
      <pivotArea outline="0" collapsedLevelsAreSubtotals="1" fieldPosition="0"/>
    </format>
    <format dxfId="6">
      <pivotArea type="all" dataOnly="0" outline="0" fieldPosition="0"/>
    </format>
    <format dxfId="5">
      <pivotArea collapsedLevelsAreSubtotals="1" fieldPosition="0">
        <references count="1">
          <reference field="0" count="1">
            <x v="1"/>
          </reference>
        </references>
      </pivotArea>
    </format>
  </formats>
  <pivotTableStyleInfo name="PivotStyleMedium7" showRowHeaders="1" showColHeaders="0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 dinámica1" cacheId="2" applyNumberFormats="0" applyBorderFormats="0" applyFontFormats="0" applyPatternFormats="0" applyAlignmentFormats="0" applyWidthHeightFormats="1" dataCaption="Valores" updatedVersion="7" minRefreshableVersion="3" useAutoFormatting="1" rowGrandTotals="0" colGrandTotals="0" itemPrintTitles="1" createdVersion="4" indent="0" outline="1" outlineData="1" multipleFieldFilters="0" rowHeaderCaption="Prop.">
  <location ref="B5:C7" firstHeaderRow="1" firstDataRow="1" firstDataCol="1" rowPageCount="1" colPageCount="1"/>
  <pivotFields count="5">
    <pivotField axis="axisRow" showAll="0" sortType="ascending" defaultSubtotal="0">
      <items count="7">
        <item x="0"/>
        <item x="1"/>
        <item m="1" x="5"/>
        <item m="1" x="6"/>
        <item m="1" x="2"/>
        <item m="1" x="3"/>
        <item m="1" x="4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numFmtId="165" showAll="0"/>
    <pivotField showAll="0" defaultSubtotal="0"/>
    <pivotField axis="axisPage" multipleItemSelectionAllowed="1" showAll="0" defaultSubtotal="0">
      <items count="3">
        <item m="1" x="2"/>
        <item x="0"/>
        <item h="1" m="1" x="1"/>
      </items>
    </pivotField>
  </pivotFields>
  <rowFields count="1">
    <field x="0"/>
  </rowFields>
  <rowItems count="2">
    <i>
      <x v="1"/>
    </i>
    <i>
      <x/>
    </i>
  </rowItems>
  <colItems count="1">
    <i/>
  </colItems>
  <pageFields count="1">
    <pageField fld="4" hier="-1"/>
  </pageFields>
  <dataFields count="1">
    <dataField name="Suma de Oferta Económica" fld="2" baseField="0" baseItem="0" numFmtId="167"/>
  </dataField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a dinámica1" cacheId="2" applyNumberFormats="0" applyBorderFormats="0" applyFontFormats="0" applyPatternFormats="0" applyAlignmentFormats="0" applyWidthHeightFormats="1" dataCaption="Valores" updatedVersion="7" minRefreshableVersion="3" useAutoFormatting="1" rowGrandTotals="0" colGrandTotals="0" itemPrintTitles="1" createdVersion="4" indent="0" outline="1" outlineData="1" multipleFieldFilters="0" rowHeaderCaption="Prop.">
  <location ref="B5:C7" firstHeaderRow="1" firstDataRow="1" firstDataCol="1" rowPageCount="1" colPageCount="1"/>
  <pivotFields count="5">
    <pivotField axis="axisRow" showAll="0" sortType="ascending" defaultSubtotal="0">
      <items count="7">
        <item x="0"/>
        <item x="1"/>
        <item m="1" x="5"/>
        <item m="1" x="6"/>
        <item m="1" x="2"/>
        <item m="1" x="3"/>
        <item m="1" x="4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numFmtId="165" showAll="0"/>
    <pivotField showAll="0" defaultSubtotal="0"/>
    <pivotField axis="axisPage" multipleItemSelectionAllowed="1" showAll="0" defaultSubtotal="0">
      <items count="3">
        <item m="1" x="2"/>
        <item x="0"/>
        <item h="1" m="1" x="1"/>
      </items>
    </pivotField>
  </pivotFields>
  <rowFields count="1">
    <field x="0"/>
  </rowFields>
  <rowItems count="2">
    <i>
      <x v="1"/>
    </i>
    <i>
      <x/>
    </i>
  </rowItems>
  <colItems count="1">
    <i/>
  </colItems>
  <pageFields count="1">
    <pageField fld="4" hier="-1"/>
  </pageFields>
  <dataFields count="1">
    <dataField name="Oferta Econ." fld="2" baseField="0" baseItem="0" numFmtId="167"/>
  </dataField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la dinámica1" cacheId="2" applyNumberFormats="0" applyBorderFormats="0" applyFontFormats="0" applyPatternFormats="0" applyAlignmentFormats="0" applyWidthHeightFormats="1" dataCaption="Valores" updatedVersion="7" minRefreshableVersion="3" useAutoFormatting="1" rowGrandTotals="0" colGrandTotals="0" itemPrintTitles="1" createdVersion="4" indent="0" outline="1" outlineData="1" multipleFieldFilters="0">
  <location ref="B5:C7" firstHeaderRow="1" firstDataRow="1" firstDataCol="1" rowPageCount="1" colPageCount="1"/>
  <pivotFields count="5">
    <pivotField axis="axisRow" showAll="0" sortType="ascending" defaultSubtotal="0">
      <items count="7">
        <item x="0"/>
        <item x="1"/>
        <item m="1" x="5"/>
        <item m="1" x="6"/>
        <item m="1" x="2"/>
        <item m="1" x="3"/>
        <item m="1" x="4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numFmtId="165" showAll="0"/>
    <pivotField showAll="0" defaultSubtotal="0"/>
    <pivotField axis="axisPage" multipleItemSelectionAllowed="1" showAll="0" defaultSubtotal="0">
      <items count="3">
        <item m="1" x="2"/>
        <item x="0"/>
        <item h="1" m="1" x="1"/>
      </items>
    </pivotField>
  </pivotFields>
  <rowFields count="1">
    <field x="0"/>
  </rowFields>
  <rowItems count="2">
    <i>
      <x v="1"/>
    </i>
    <i>
      <x/>
    </i>
  </rowItems>
  <colItems count="1">
    <i/>
  </colItems>
  <pageFields count="1">
    <pageField fld="4" hier="-1"/>
  </pageFields>
  <dataFields count="1">
    <dataField name="Oferta Econ." fld="2" baseField="0" baseItem="0" numFmtId="167"/>
  </dataField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Tabla dinámica1" cacheId="2" applyNumberFormats="0" applyBorderFormats="0" applyFontFormats="0" applyPatternFormats="0" applyAlignmentFormats="0" applyWidthHeightFormats="1" dataCaption="Valores" updatedVersion="7" minRefreshableVersion="3" useAutoFormatting="1" rowGrandTotals="0" colGrandTotals="0" itemPrintTitles="1" createdVersion="4" indent="0" outline="1" outlineData="1" multipleFieldFilters="0">
  <location ref="B5:C7" firstHeaderRow="1" firstDataRow="1" firstDataCol="1" rowPageCount="1" colPageCount="1"/>
  <pivotFields count="5">
    <pivotField axis="axisRow" showAll="0" sortType="ascending" defaultSubtotal="0">
      <items count="7">
        <item x="0"/>
        <item x="1"/>
        <item m="1" x="5"/>
        <item m="1" x="6"/>
        <item m="1" x="2"/>
        <item m="1" x="3"/>
        <item m="1" x="4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numFmtId="165" showAll="0"/>
    <pivotField showAll="0" defaultSubtotal="0"/>
    <pivotField axis="axisPage" multipleItemSelectionAllowed="1" showAll="0" defaultSubtotal="0">
      <items count="3">
        <item m="1" x="2"/>
        <item x="0"/>
        <item h="1" m="1" x="1"/>
      </items>
    </pivotField>
  </pivotFields>
  <rowFields count="1">
    <field x="0"/>
  </rowFields>
  <rowItems count="2">
    <i>
      <x v="1"/>
    </i>
    <i>
      <x/>
    </i>
  </rowItems>
  <colItems count="1">
    <i/>
  </colItems>
  <pageFields count="1">
    <pageField fld="4" hier="-1"/>
  </pageFields>
  <dataFields count="1">
    <dataField name="Oferta Econ." fld="2" baseField="0" baseItem="0" numFmtId="167"/>
  </dataField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Tabla dinámica1" cacheId="3" applyNumberFormats="0" applyBorderFormats="0" applyFontFormats="0" applyPatternFormats="0" applyAlignmentFormats="0" applyWidthHeightFormats="1" dataCaption="Valores" updatedVersion="7" minRefreshableVersion="3" useAutoFormatting="1" rowGrandTotals="0" colGrandTotals="0" itemPrintTitles="1" createdVersion="4" indent="0" outline="1" outlineData="1" multipleFieldFilters="0" rowHeaderCaption="Nombre">
  <location ref="C13:D15" firstHeaderRow="1" firstDataRow="1" firstDataCol="1"/>
  <pivotFields count="8">
    <pivotField showAll="0"/>
    <pivotField axis="axisRow" showAll="0" sortType="descending">
      <items count="14">
        <item x="1"/>
        <item m="1" x="3"/>
        <item m="1" x="10"/>
        <item m="1" x="4"/>
        <item m="1" x="6"/>
        <item m="1" x="9"/>
        <item m="1" x="11"/>
        <item m="1" x="7"/>
        <item m="1" x="8"/>
        <item m="1" x="2"/>
        <item m="1" x="5"/>
        <item m="1" x="12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numFmtId="169" showAll="0"/>
    <pivotField numFmtId="168" showAll="0"/>
    <pivotField numFmtId="168" showAll="0"/>
    <pivotField numFmtId="168" showAll="0"/>
    <pivotField numFmtId="168" showAll="0"/>
    <pivotField dataField="1" numFmtId="169" showAll="0"/>
  </pivotFields>
  <rowFields count="1">
    <field x="1"/>
  </rowFields>
  <rowItems count="2">
    <i>
      <x/>
    </i>
    <i>
      <x v="12"/>
    </i>
  </rowItems>
  <colItems count="1">
    <i/>
  </colItems>
  <dataFields count="1">
    <dataField name="Puntaje Total" fld="7" baseField="0" baseItem="0" numFmtId="169"/>
  </dataFields>
  <formats count="5">
    <format dxfId="4">
      <pivotArea type="all" dataOnly="0" outline="0" fieldPosition="0"/>
    </format>
    <format dxfId="3">
      <pivotArea outline="0" collapsedLevelsAreSubtotals="1" fieldPosition="0"/>
    </format>
    <format dxfId="2">
      <pivotArea type="all" dataOnly="0" outline="0" fieldPosition="0"/>
    </format>
    <format dxfId="1">
      <pivotArea outline="0" collapsedLevelsAreSubtotals="1" fieldPosition="0"/>
    </format>
    <format dxfId="0">
      <pivotArea dataOnly="0" labelOnly="1" fieldPosition="0">
        <references count="1">
          <reference field="1" count="0"/>
        </references>
      </pivotArea>
    </format>
  </formats>
  <pivotTableStyleInfo name="PivotStyleMedium10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www.superfinanciera.gov.co/inicio/informes-y-cifras/cifras/establecimientos-de-credito/informacion-periodica/diaria/tasa-de-cambio-representativa-del-mercado-trm-60819" TargetMode="Externa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DFC88-23FB-43CD-8D17-69FE1510B358}">
  <dimension ref="B3:H64"/>
  <sheetViews>
    <sheetView showGridLines="0" tabSelected="1" topLeftCell="A26" zoomScale="120" zoomScaleNormal="120" workbookViewId="0">
      <selection activeCell="G39" sqref="G39"/>
    </sheetView>
  </sheetViews>
  <sheetFormatPr baseColWidth="10" defaultRowHeight="15.75" x14ac:dyDescent="0.25"/>
  <cols>
    <col min="1" max="1" width="3.375" customWidth="1"/>
    <col min="2" max="2" width="14.25" customWidth="1"/>
    <col min="3" max="3" width="21.125" customWidth="1"/>
    <col min="4" max="4" width="3.75" customWidth="1"/>
    <col min="5" max="5" width="19.5" customWidth="1"/>
    <col min="6" max="6" width="18.125" customWidth="1"/>
    <col min="7" max="7" width="17.375" bestFit="1" customWidth="1"/>
    <col min="8" max="8" width="19" bestFit="1" customWidth="1"/>
  </cols>
  <sheetData>
    <row r="3" spans="2:6" x14ac:dyDescent="0.25">
      <c r="B3" s="6" t="s">
        <v>59</v>
      </c>
    </row>
    <row r="4" spans="2:6" x14ac:dyDescent="0.25">
      <c r="B4" s="70" t="s">
        <v>79</v>
      </c>
      <c r="F4" s="61"/>
    </row>
    <row r="5" spans="2:6" x14ac:dyDescent="0.25">
      <c r="B5" s="70" t="s">
        <v>80</v>
      </c>
      <c r="F5" s="61"/>
    </row>
    <row r="6" spans="2:6" x14ac:dyDescent="0.25">
      <c r="E6" s="61"/>
      <c r="F6" s="61"/>
    </row>
    <row r="7" spans="2:6" x14ac:dyDescent="0.25">
      <c r="B7" s="58" t="s">
        <v>71</v>
      </c>
      <c r="C7" s="58" t="s">
        <v>72</v>
      </c>
      <c r="E7" s="58" t="s">
        <v>73</v>
      </c>
      <c r="F7" s="58" t="s">
        <v>74</v>
      </c>
    </row>
    <row r="8" spans="2:6" x14ac:dyDescent="0.25">
      <c r="B8" s="59">
        <v>2025</v>
      </c>
      <c r="C8" s="60">
        <v>276553846154</v>
      </c>
      <c r="E8" s="60">
        <v>276553846154</v>
      </c>
      <c r="F8" s="60">
        <v>276553846154</v>
      </c>
    </row>
    <row r="9" spans="2:6" x14ac:dyDescent="0.25">
      <c r="B9" s="59">
        <f t="shared" ref="B9:B33" si="0">+B8+1</f>
        <v>2026</v>
      </c>
      <c r="C9" s="60">
        <v>168697846154</v>
      </c>
      <c r="E9" s="60">
        <v>168697846154</v>
      </c>
      <c r="F9" s="60">
        <v>168697846154</v>
      </c>
    </row>
    <row r="10" spans="2:6" x14ac:dyDescent="0.25">
      <c r="B10" s="59">
        <f t="shared" si="0"/>
        <v>2027</v>
      </c>
      <c r="C10" s="60">
        <v>168697846154</v>
      </c>
      <c r="E10" s="60">
        <v>168697846154</v>
      </c>
      <c r="F10" s="60">
        <v>168697846154</v>
      </c>
    </row>
    <row r="11" spans="2:6" x14ac:dyDescent="0.25">
      <c r="B11" s="59">
        <f t="shared" si="0"/>
        <v>2028</v>
      </c>
      <c r="C11" s="60">
        <v>168697846154</v>
      </c>
      <c r="E11" s="60">
        <v>168697846154</v>
      </c>
      <c r="F11" s="60">
        <v>168697846154</v>
      </c>
    </row>
    <row r="12" spans="2:6" x14ac:dyDescent="0.25">
      <c r="B12" s="59">
        <f t="shared" si="0"/>
        <v>2029</v>
      </c>
      <c r="C12" s="60">
        <v>168697846154</v>
      </c>
      <c r="E12" s="60">
        <v>168697846154</v>
      </c>
      <c r="F12" s="60">
        <v>168697846154</v>
      </c>
    </row>
    <row r="13" spans="2:6" x14ac:dyDescent="0.25">
      <c r="B13" s="59">
        <f t="shared" si="0"/>
        <v>2030</v>
      </c>
      <c r="C13" s="60">
        <v>168697846154</v>
      </c>
      <c r="E13" s="60">
        <v>168697846154</v>
      </c>
      <c r="F13" s="60">
        <v>168697846154</v>
      </c>
    </row>
    <row r="14" spans="2:6" x14ac:dyDescent="0.25">
      <c r="B14" s="59">
        <f t="shared" si="0"/>
        <v>2031</v>
      </c>
      <c r="C14" s="60">
        <v>168697846154</v>
      </c>
      <c r="E14" s="60">
        <v>168697846154</v>
      </c>
      <c r="F14" s="60">
        <v>168697846154</v>
      </c>
    </row>
    <row r="15" spans="2:6" x14ac:dyDescent="0.25">
      <c r="B15" s="59">
        <f t="shared" si="0"/>
        <v>2032</v>
      </c>
      <c r="C15" s="60">
        <v>168697846154</v>
      </c>
      <c r="E15" s="60">
        <v>168697846154</v>
      </c>
      <c r="F15" s="60">
        <v>168697846154</v>
      </c>
    </row>
    <row r="16" spans="2:6" x14ac:dyDescent="0.25">
      <c r="B16" s="59">
        <f t="shared" si="0"/>
        <v>2033</v>
      </c>
      <c r="C16" s="60">
        <v>168697846154</v>
      </c>
      <c r="E16" s="60">
        <v>168697846154</v>
      </c>
      <c r="F16" s="60">
        <v>168697846154</v>
      </c>
    </row>
    <row r="17" spans="2:6" x14ac:dyDescent="0.25">
      <c r="B17" s="59">
        <f t="shared" si="0"/>
        <v>2034</v>
      </c>
      <c r="C17" s="60">
        <v>168697846154</v>
      </c>
      <c r="E17" s="60">
        <v>168697846154</v>
      </c>
      <c r="F17" s="60">
        <v>168697846154</v>
      </c>
    </row>
    <row r="18" spans="2:6" x14ac:dyDescent="0.25">
      <c r="B18" s="59">
        <f t="shared" si="0"/>
        <v>2035</v>
      </c>
      <c r="C18" s="60">
        <v>168697846154</v>
      </c>
      <c r="E18" s="60">
        <v>168697846154</v>
      </c>
      <c r="F18" s="60">
        <v>168697846154</v>
      </c>
    </row>
    <row r="19" spans="2:6" x14ac:dyDescent="0.25">
      <c r="B19" s="59">
        <f t="shared" si="0"/>
        <v>2036</v>
      </c>
      <c r="C19" s="60">
        <v>168697846154</v>
      </c>
      <c r="E19" s="60">
        <v>168697846154</v>
      </c>
      <c r="F19" s="60">
        <v>168697846154</v>
      </c>
    </row>
    <row r="20" spans="2:6" x14ac:dyDescent="0.25">
      <c r="B20" s="59">
        <f t="shared" si="0"/>
        <v>2037</v>
      </c>
      <c r="C20" s="60">
        <v>168697846154</v>
      </c>
      <c r="E20" s="60">
        <v>168697846154</v>
      </c>
      <c r="F20" s="60">
        <v>168697846154</v>
      </c>
    </row>
    <row r="21" spans="2:6" x14ac:dyDescent="0.25">
      <c r="B21" s="59">
        <f t="shared" si="0"/>
        <v>2038</v>
      </c>
      <c r="C21" s="60">
        <v>168697846154</v>
      </c>
      <c r="E21" s="60">
        <v>168697846154</v>
      </c>
      <c r="F21" s="60">
        <v>168697846154</v>
      </c>
    </row>
    <row r="22" spans="2:6" x14ac:dyDescent="0.25">
      <c r="B22" s="59">
        <f t="shared" si="0"/>
        <v>2039</v>
      </c>
      <c r="C22" s="60">
        <v>168697846154</v>
      </c>
      <c r="E22" s="60">
        <v>168697846154</v>
      </c>
      <c r="F22" s="60">
        <v>168697846154</v>
      </c>
    </row>
    <row r="23" spans="2:6" x14ac:dyDescent="0.25">
      <c r="B23" s="59">
        <f t="shared" si="0"/>
        <v>2040</v>
      </c>
      <c r="C23" s="60">
        <v>168697846154</v>
      </c>
      <c r="E23" s="60">
        <v>168697846154</v>
      </c>
      <c r="F23" s="60">
        <v>82755910276</v>
      </c>
    </row>
    <row r="24" spans="2:6" x14ac:dyDescent="0.25">
      <c r="B24" s="59">
        <f t="shared" si="0"/>
        <v>2041</v>
      </c>
      <c r="C24" s="60">
        <v>168697846154</v>
      </c>
      <c r="E24" s="60">
        <v>168697846154</v>
      </c>
      <c r="F24" s="60">
        <v>0</v>
      </c>
    </row>
    <row r="25" spans="2:6" x14ac:dyDescent="0.25">
      <c r="B25" s="59">
        <f t="shared" si="0"/>
        <v>2042</v>
      </c>
      <c r="C25" s="60">
        <v>168697846154</v>
      </c>
      <c r="E25" s="60">
        <v>168697846154</v>
      </c>
      <c r="F25" s="60">
        <v>0</v>
      </c>
    </row>
    <row r="26" spans="2:6" x14ac:dyDescent="0.25">
      <c r="B26" s="59">
        <f t="shared" si="0"/>
        <v>2043</v>
      </c>
      <c r="C26" s="60">
        <v>168697846154</v>
      </c>
      <c r="E26" s="60">
        <v>23347106373</v>
      </c>
      <c r="F26" s="60">
        <v>0</v>
      </c>
    </row>
    <row r="27" spans="2:6" x14ac:dyDescent="0.25">
      <c r="B27" s="59">
        <f t="shared" si="0"/>
        <v>2044</v>
      </c>
      <c r="C27" s="60">
        <v>168697846154</v>
      </c>
      <c r="E27" s="60">
        <v>0</v>
      </c>
      <c r="F27" s="60">
        <v>0</v>
      </c>
    </row>
    <row r="28" spans="2:6" x14ac:dyDescent="0.25">
      <c r="B28" s="59">
        <f t="shared" si="0"/>
        <v>2045</v>
      </c>
      <c r="C28" s="60">
        <v>168697846154</v>
      </c>
      <c r="E28" s="60">
        <v>0</v>
      </c>
      <c r="F28" s="60">
        <v>0</v>
      </c>
    </row>
    <row r="29" spans="2:6" x14ac:dyDescent="0.25">
      <c r="B29" s="59">
        <f t="shared" si="0"/>
        <v>2046</v>
      </c>
      <c r="C29" s="60">
        <v>168697846154</v>
      </c>
      <c r="E29" s="60">
        <v>0</v>
      </c>
      <c r="F29" s="60">
        <v>0</v>
      </c>
    </row>
    <row r="30" spans="2:6" x14ac:dyDescent="0.25">
      <c r="B30" s="59">
        <f t="shared" si="0"/>
        <v>2047</v>
      </c>
      <c r="C30" s="60">
        <v>168697846154</v>
      </c>
      <c r="E30" s="60">
        <v>0</v>
      </c>
      <c r="F30" s="60">
        <v>0</v>
      </c>
    </row>
    <row r="31" spans="2:6" x14ac:dyDescent="0.25">
      <c r="B31" s="59">
        <f t="shared" si="0"/>
        <v>2048</v>
      </c>
      <c r="C31" s="60">
        <v>168697846154</v>
      </c>
      <c r="E31" s="60">
        <v>0</v>
      </c>
      <c r="F31" s="60">
        <v>0</v>
      </c>
    </row>
    <row r="32" spans="2:6" x14ac:dyDescent="0.25">
      <c r="B32" s="59">
        <f t="shared" si="0"/>
        <v>2049</v>
      </c>
      <c r="C32" s="60">
        <v>168697846154</v>
      </c>
      <c r="E32" s="60">
        <v>0</v>
      </c>
      <c r="F32" s="60">
        <v>0</v>
      </c>
    </row>
    <row r="33" spans="2:8" x14ac:dyDescent="0.25">
      <c r="B33" s="59">
        <f t="shared" si="0"/>
        <v>2050</v>
      </c>
      <c r="C33" s="60">
        <v>168697846154</v>
      </c>
      <c r="E33" s="60">
        <v>0</v>
      </c>
      <c r="F33" s="60">
        <v>0</v>
      </c>
    </row>
    <row r="35" spans="2:8" x14ac:dyDescent="0.25">
      <c r="B35" s="59" t="s">
        <v>75</v>
      </c>
      <c r="C35" s="60">
        <f>(NPV((1+0.5779%)^12-1,C8:C33)/((1+0.5779%)^48))</f>
        <v>1567231049286.3308</v>
      </c>
      <c r="E35" s="75">
        <f>(NPV((1+0.5779%)^12-1,E8:E33)/((1+0.5779%)^48))</f>
        <v>1353304011058.5613</v>
      </c>
      <c r="F35" s="60">
        <f>(NPV((1+0.5779%)^12-1,F8:F33)/((1+0.5779%)^48))</f>
        <v>1250650377330.1357</v>
      </c>
      <c r="G35" s="21"/>
      <c r="H35" s="21"/>
    </row>
    <row r="36" spans="2:8" x14ac:dyDescent="0.25">
      <c r="B36" s="59" t="s">
        <v>76</v>
      </c>
      <c r="C36" s="60"/>
      <c r="E36" s="60" t="str">
        <f>IF(SUM(E39:E64)=0,"SI","NO")</f>
        <v>SI</v>
      </c>
      <c r="F36" s="60" t="str">
        <f>IF(SUM(F39:F64)=0,"SI","NO")</f>
        <v>SI</v>
      </c>
    </row>
    <row r="38" spans="2:8" x14ac:dyDescent="0.25">
      <c r="B38" s="58" t="s">
        <v>71</v>
      </c>
      <c r="E38" s="58" t="s">
        <v>73</v>
      </c>
      <c r="F38" s="58" t="s">
        <v>74</v>
      </c>
    </row>
    <row r="39" spans="2:8" x14ac:dyDescent="0.25">
      <c r="B39" s="59">
        <v>2025</v>
      </c>
      <c r="E39" s="62">
        <f t="shared" ref="E39:F50" si="1">IF(E8&gt;$C8,1,0)</f>
        <v>0</v>
      </c>
      <c r="F39" s="62">
        <f t="shared" si="1"/>
        <v>0</v>
      </c>
    </row>
    <row r="40" spans="2:8" x14ac:dyDescent="0.25">
      <c r="B40" s="59">
        <f t="shared" ref="B40:B64" si="2">+B39+1</f>
        <v>2026</v>
      </c>
      <c r="E40" s="62">
        <f t="shared" si="1"/>
        <v>0</v>
      </c>
      <c r="F40" s="62">
        <f t="shared" si="1"/>
        <v>0</v>
      </c>
    </row>
    <row r="41" spans="2:8" x14ac:dyDescent="0.25">
      <c r="B41" s="59">
        <f t="shared" si="2"/>
        <v>2027</v>
      </c>
      <c r="E41" s="62">
        <f t="shared" si="1"/>
        <v>0</v>
      </c>
      <c r="F41" s="62">
        <f t="shared" si="1"/>
        <v>0</v>
      </c>
    </row>
    <row r="42" spans="2:8" x14ac:dyDescent="0.25">
      <c r="B42" s="59">
        <f t="shared" si="2"/>
        <v>2028</v>
      </c>
      <c r="E42" s="62">
        <f t="shared" si="1"/>
        <v>0</v>
      </c>
      <c r="F42" s="62">
        <f t="shared" si="1"/>
        <v>0</v>
      </c>
    </row>
    <row r="43" spans="2:8" x14ac:dyDescent="0.25">
      <c r="B43" s="59">
        <f t="shared" si="2"/>
        <v>2029</v>
      </c>
      <c r="E43" s="62">
        <f t="shared" si="1"/>
        <v>0</v>
      </c>
      <c r="F43" s="62">
        <f t="shared" si="1"/>
        <v>0</v>
      </c>
    </row>
    <row r="44" spans="2:8" x14ac:dyDescent="0.25">
      <c r="B44" s="59">
        <f t="shared" si="2"/>
        <v>2030</v>
      </c>
      <c r="E44" s="62">
        <f t="shared" si="1"/>
        <v>0</v>
      </c>
      <c r="F44" s="62">
        <f t="shared" si="1"/>
        <v>0</v>
      </c>
    </row>
    <row r="45" spans="2:8" x14ac:dyDescent="0.25">
      <c r="B45" s="59">
        <f t="shared" si="2"/>
        <v>2031</v>
      </c>
      <c r="E45" s="62">
        <f t="shared" si="1"/>
        <v>0</v>
      </c>
      <c r="F45" s="62">
        <f t="shared" si="1"/>
        <v>0</v>
      </c>
    </row>
    <row r="46" spans="2:8" x14ac:dyDescent="0.25">
      <c r="B46" s="59">
        <f t="shared" si="2"/>
        <v>2032</v>
      </c>
      <c r="E46" s="62">
        <f t="shared" si="1"/>
        <v>0</v>
      </c>
      <c r="F46" s="62">
        <f t="shared" si="1"/>
        <v>0</v>
      </c>
    </row>
    <row r="47" spans="2:8" x14ac:dyDescent="0.25">
      <c r="B47" s="59">
        <f t="shared" si="2"/>
        <v>2033</v>
      </c>
      <c r="E47" s="62">
        <f t="shared" si="1"/>
        <v>0</v>
      </c>
      <c r="F47" s="62">
        <f t="shared" si="1"/>
        <v>0</v>
      </c>
    </row>
    <row r="48" spans="2:8" x14ac:dyDescent="0.25">
      <c r="B48" s="59">
        <f t="shared" si="2"/>
        <v>2034</v>
      </c>
      <c r="E48" s="62">
        <f t="shared" si="1"/>
        <v>0</v>
      </c>
      <c r="F48" s="62">
        <f t="shared" si="1"/>
        <v>0</v>
      </c>
    </row>
    <row r="49" spans="2:6" x14ac:dyDescent="0.25">
      <c r="B49" s="59">
        <f t="shared" si="2"/>
        <v>2035</v>
      </c>
      <c r="E49" s="62">
        <f t="shared" si="1"/>
        <v>0</v>
      </c>
      <c r="F49" s="62">
        <f t="shared" si="1"/>
        <v>0</v>
      </c>
    </row>
    <row r="50" spans="2:6" x14ac:dyDescent="0.25">
      <c r="B50" s="59">
        <f t="shared" si="2"/>
        <v>2036</v>
      </c>
      <c r="E50" s="62">
        <f t="shared" si="1"/>
        <v>0</v>
      </c>
      <c r="F50" s="62">
        <f t="shared" si="1"/>
        <v>0</v>
      </c>
    </row>
    <row r="51" spans="2:6" x14ac:dyDescent="0.25">
      <c r="B51" s="59">
        <f t="shared" si="2"/>
        <v>2037</v>
      </c>
      <c r="E51" s="62">
        <f t="shared" ref="E51:F51" si="3">IF(E20&gt;$C20,1,0)</f>
        <v>0</v>
      </c>
      <c r="F51" s="62">
        <f t="shared" si="3"/>
        <v>0</v>
      </c>
    </row>
    <row r="52" spans="2:6" x14ac:dyDescent="0.25">
      <c r="B52" s="59">
        <f t="shared" si="2"/>
        <v>2038</v>
      </c>
      <c r="E52" s="62">
        <f t="shared" ref="E52:F52" si="4">IF(E21&gt;$C21,1,0)</f>
        <v>0</v>
      </c>
      <c r="F52" s="62">
        <f t="shared" si="4"/>
        <v>0</v>
      </c>
    </row>
    <row r="53" spans="2:6" x14ac:dyDescent="0.25">
      <c r="B53" s="59">
        <f t="shared" si="2"/>
        <v>2039</v>
      </c>
      <c r="E53" s="62">
        <f t="shared" ref="E53:F53" si="5">IF(E22&gt;$C22,1,0)</f>
        <v>0</v>
      </c>
      <c r="F53" s="62">
        <f t="shared" si="5"/>
        <v>0</v>
      </c>
    </row>
    <row r="54" spans="2:6" x14ac:dyDescent="0.25">
      <c r="B54" s="59">
        <f t="shared" si="2"/>
        <v>2040</v>
      </c>
      <c r="E54" s="62">
        <f t="shared" ref="E54:F54" si="6">IF(E23&gt;$C23,1,0)</f>
        <v>0</v>
      </c>
      <c r="F54" s="62">
        <f t="shared" si="6"/>
        <v>0</v>
      </c>
    </row>
    <row r="55" spans="2:6" x14ac:dyDescent="0.25">
      <c r="B55" s="59">
        <f t="shared" si="2"/>
        <v>2041</v>
      </c>
      <c r="E55" s="62">
        <f t="shared" ref="E55:F55" si="7">IF(E24&gt;$C24,1,0)</f>
        <v>0</v>
      </c>
      <c r="F55" s="62">
        <f t="shared" si="7"/>
        <v>0</v>
      </c>
    </row>
    <row r="56" spans="2:6" x14ac:dyDescent="0.25">
      <c r="B56" s="59">
        <f t="shared" si="2"/>
        <v>2042</v>
      </c>
      <c r="E56" s="62">
        <f t="shared" ref="E56:F56" si="8">IF(E25&gt;$C25,1,0)</f>
        <v>0</v>
      </c>
      <c r="F56" s="62">
        <f t="shared" si="8"/>
        <v>0</v>
      </c>
    </row>
    <row r="57" spans="2:6" x14ac:dyDescent="0.25">
      <c r="B57" s="59">
        <f t="shared" si="2"/>
        <v>2043</v>
      </c>
      <c r="E57" s="62">
        <f t="shared" ref="E57:F57" si="9">IF(E26&gt;$C26,1,0)</f>
        <v>0</v>
      </c>
      <c r="F57" s="62">
        <f t="shared" si="9"/>
        <v>0</v>
      </c>
    </row>
    <row r="58" spans="2:6" x14ac:dyDescent="0.25">
      <c r="B58" s="59">
        <f t="shared" si="2"/>
        <v>2044</v>
      </c>
      <c r="E58" s="62">
        <f t="shared" ref="E58:F58" si="10">IF(E27&gt;$C27,1,0)</f>
        <v>0</v>
      </c>
      <c r="F58" s="62">
        <f t="shared" si="10"/>
        <v>0</v>
      </c>
    </row>
    <row r="59" spans="2:6" x14ac:dyDescent="0.25">
      <c r="B59" s="59">
        <f t="shared" si="2"/>
        <v>2045</v>
      </c>
      <c r="E59" s="62">
        <f t="shared" ref="E59:F59" si="11">IF(E28&gt;$C28,1,0)</f>
        <v>0</v>
      </c>
      <c r="F59" s="62">
        <f t="shared" si="11"/>
        <v>0</v>
      </c>
    </row>
    <row r="60" spans="2:6" x14ac:dyDescent="0.25">
      <c r="B60" s="59">
        <f t="shared" si="2"/>
        <v>2046</v>
      </c>
      <c r="E60" s="62">
        <f t="shared" ref="E60:F60" si="12">IF(E29&gt;$C29,1,0)</f>
        <v>0</v>
      </c>
      <c r="F60" s="62">
        <f t="shared" si="12"/>
        <v>0</v>
      </c>
    </row>
    <row r="61" spans="2:6" x14ac:dyDescent="0.25">
      <c r="B61" s="59">
        <f t="shared" si="2"/>
        <v>2047</v>
      </c>
      <c r="E61" s="62">
        <f t="shared" ref="E61:F61" si="13">IF(E30&gt;$C30,1,0)</f>
        <v>0</v>
      </c>
      <c r="F61" s="62">
        <f t="shared" si="13"/>
        <v>0</v>
      </c>
    </row>
    <row r="62" spans="2:6" x14ac:dyDescent="0.25">
      <c r="B62" s="59">
        <f t="shared" si="2"/>
        <v>2048</v>
      </c>
      <c r="E62" s="62">
        <f t="shared" ref="E62:F62" si="14">IF(E31&gt;$C31,1,0)</f>
        <v>0</v>
      </c>
      <c r="F62" s="62">
        <f t="shared" si="14"/>
        <v>0</v>
      </c>
    </row>
    <row r="63" spans="2:6" x14ac:dyDescent="0.25">
      <c r="B63" s="59">
        <f t="shared" si="2"/>
        <v>2049</v>
      </c>
      <c r="E63" s="62">
        <f t="shared" ref="E63:F63" si="15">IF(E32&gt;$C32,1,0)</f>
        <v>0</v>
      </c>
      <c r="F63" s="62">
        <f t="shared" si="15"/>
        <v>0</v>
      </c>
    </row>
    <row r="64" spans="2:6" x14ac:dyDescent="0.25">
      <c r="B64" s="59">
        <f t="shared" si="2"/>
        <v>2050</v>
      </c>
      <c r="E64" s="62">
        <f t="shared" ref="E64:F64" si="16">IF(E33&gt;$C33,1,0)</f>
        <v>0</v>
      </c>
      <c r="F64" s="62">
        <f t="shared" si="16"/>
        <v>0</v>
      </c>
    </row>
  </sheetData>
  <phoneticPr fontId="17" type="noConversion"/>
  <conditionalFormatting sqref="E39:F64">
    <cfRule type="cellIs" dxfId="20" priority="5" operator="equal">
      <formula>1</formula>
    </cfRule>
  </conditionalFormatting>
  <conditionalFormatting sqref="E36:F36">
    <cfRule type="cellIs" dxfId="19" priority="4" operator="equal">
      <formula>"NO"</formula>
    </cfRule>
  </conditionalFormatting>
  <conditionalFormatting sqref="E8:E33">
    <cfRule type="cellIs" dxfId="18" priority="2" operator="greaterThan">
      <formula>$C8</formula>
    </cfRule>
  </conditionalFormatting>
  <conditionalFormatting sqref="F23:F33">
    <cfRule type="cellIs" dxfId="17" priority="1" operator="greaterThan">
      <formula>$C23</formula>
    </cfRule>
  </conditionalFormatting>
  <pageMargins left="0.7" right="0.7" top="0.75" bottom="0.75" header="0.3" footer="0.3"/>
  <pageSetup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J36"/>
  <sheetViews>
    <sheetView showGridLines="0" topLeftCell="A7" zoomScale="80" zoomScaleNormal="80" zoomScalePageLayoutView="120" workbookViewId="0">
      <selection activeCell="C19" sqref="C19"/>
    </sheetView>
  </sheetViews>
  <sheetFormatPr baseColWidth="10" defaultRowHeight="15.75" x14ac:dyDescent="0.25"/>
  <cols>
    <col min="2" max="2" width="7.125" customWidth="1"/>
    <col min="3" max="3" width="63.25" customWidth="1"/>
    <col min="4" max="4" width="24.5" bestFit="1" customWidth="1"/>
    <col min="5" max="5" width="5.5" bestFit="1" customWidth="1"/>
    <col min="6" max="6" width="13" customWidth="1"/>
    <col min="7" max="7" width="17.25" hidden="1" customWidth="1"/>
    <col min="8" max="8" width="17.25" customWidth="1"/>
    <col min="9" max="10" width="17.25" hidden="1" customWidth="1"/>
  </cols>
  <sheetData>
    <row r="4" spans="2:10" x14ac:dyDescent="0.25">
      <c r="B4" s="6" t="s">
        <v>59</v>
      </c>
    </row>
    <row r="5" spans="2:10" x14ac:dyDescent="0.25">
      <c r="B5" s="16" t="str">
        <f>Hoja1!B4</f>
        <v>Licitación Pública No.  VJ-VE-APP-IPB-004-2021</v>
      </c>
      <c r="F5" s="66" t="s">
        <v>77</v>
      </c>
      <c r="G5" s="66"/>
      <c r="H5" s="74">
        <v>4268.3</v>
      </c>
    </row>
    <row r="6" spans="2:10" x14ac:dyDescent="0.25">
      <c r="B6" s="16" t="str">
        <f>Hoja1!B5</f>
        <v xml:space="preserve">“BUENAVENTURA - LOBOGUERRERO - BUGA” </v>
      </c>
      <c r="F6" s="71"/>
      <c r="G6" s="71"/>
    </row>
    <row r="7" spans="2:10" x14ac:dyDescent="0.25">
      <c r="B7" s="16"/>
      <c r="D7" s="48"/>
    </row>
    <row r="8" spans="2:10" ht="21" x14ac:dyDescent="0.35">
      <c r="B8" s="6"/>
      <c r="C8" s="15" t="s">
        <v>46</v>
      </c>
      <c r="D8" s="19">
        <f>Hoja1!C35</f>
        <v>1567231049286.3308</v>
      </c>
      <c r="E8" s="20"/>
      <c r="F8" s="20"/>
    </row>
    <row r="9" spans="2:10" ht="21" x14ac:dyDescent="0.35">
      <c r="C9" s="69" t="str">
        <f>C27</f>
        <v>LÍMITE INFERIOR (90%)</v>
      </c>
      <c r="D9" s="68">
        <f>D27</f>
        <v>1171779474774.9138</v>
      </c>
      <c r="G9" s="23" t="s">
        <v>31</v>
      </c>
      <c r="H9" s="13" t="s">
        <v>32</v>
      </c>
      <c r="I9" s="13" t="s">
        <v>33</v>
      </c>
      <c r="J9" s="23" t="s">
        <v>34</v>
      </c>
    </row>
    <row r="10" spans="2:10" ht="31.5" x14ac:dyDescent="0.25">
      <c r="G10" s="18" t="s">
        <v>3</v>
      </c>
      <c r="H10" s="14" t="s">
        <v>4</v>
      </c>
      <c r="I10" s="14" t="s">
        <v>5</v>
      </c>
      <c r="J10" s="18" t="s">
        <v>6</v>
      </c>
    </row>
    <row r="11" spans="2:10" ht="31.5" x14ac:dyDescent="0.25">
      <c r="B11" s="15" t="s">
        <v>35</v>
      </c>
      <c r="C11" s="15" t="s">
        <v>0</v>
      </c>
      <c r="D11" s="15" t="s">
        <v>1</v>
      </c>
      <c r="E11" s="18" t="s">
        <v>50</v>
      </c>
      <c r="F11" s="18" t="s">
        <v>49</v>
      </c>
      <c r="G11" s="23" t="s">
        <v>2</v>
      </c>
      <c r="H11" s="13" t="s">
        <v>7</v>
      </c>
      <c r="I11" s="13" t="s">
        <v>8</v>
      </c>
      <c r="J11" s="23" t="s">
        <v>9</v>
      </c>
    </row>
    <row r="12" spans="2:10" ht="20.100000000000001" customHeight="1" x14ac:dyDescent="0.25">
      <c r="B12" s="73">
        <v>1</v>
      </c>
      <c r="C12" s="51" t="s">
        <v>81</v>
      </c>
      <c r="D12" s="57">
        <f>IF(Hoja1!E36="SI",Hoja1!E35,"Rechazada")</f>
        <v>1353304011058.5613</v>
      </c>
      <c r="E12" s="53" t="str">
        <f>IF(D12&lt;=D$8, "SI","NO")</f>
        <v>SI</v>
      </c>
      <c r="F12" s="53" t="str">
        <f>IF(E12="NO","NO",(IF(D12&gt;=D$27,"SI","NO")))</f>
        <v>SI</v>
      </c>
      <c r="G12" s="54">
        <f>IF(OR($E12="NO",$F12="NO"),0,VLOOKUP($B12,'M1'!$B$6:$D$7,3,FALSE))</f>
        <v>734.33583959886948</v>
      </c>
      <c r="H12" s="55">
        <f>IF(OR($E12="NO",$F12="NO"),0,VLOOKUP(B12,'M2'!B$6:D$7,3,FALSE))</f>
        <v>767.81532799449838</v>
      </c>
      <c r="I12" s="55">
        <f>IF(OR($E12="NO",$F12="NO"),0,VLOOKUP(B12,'M3'!B$6:D$7,3,FALSE))</f>
        <v>751.74213353789719</v>
      </c>
      <c r="J12" s="54">
        <f>IF(OR($E12="NO",$F12="NO"),0,VLOOKUP(B12,'M4'!B$6:D$7,3,FALSE))</f>
        <v>739.31673422108349</v>
      </c>
    </row>
    <row r="13" spans="2:10" ht="20.100000000000001" customHeight="1" x14ac:dyDescent="0.25">
      <c r="B13" s="73">
        <v>2</v>
      </c>
      <c r="C13" s="51" t="s">
        <v>78</v>
      </c>
      <c r="D13" s="52">
        <f>IF(Hoja1!F36="SI",Hoja1!F35,"Rechazada")</f>
        <v>1250650377330.1357</v>
      </c>
      <c r="E13" s="53" t="str">
        <f>IF(D13&lt;=D$8, "SI","NO")</f>
        <v>SI</v>
      </c>
      <c r="F13" s="53" t="str">
        <f>IF(E13="NO","NO",(IF(D13&gt;=D$27,"SI","NO")))</f>
        <v>SI</v>
      </c>
      <c r="G13" s="54">
        <f>IF(OR($E13="NO",$F13="NO"),0,VLOOKUP($B13,'M1'!$B$6:$D$7,3,FALSE))</f>
        <v>800</v>
      </c>
      <c r="H13" s="55">
        <f>IF(OR($E13="NO",$F13="NO"),0,VLOOKUP(B13,'M2'!B$6:D$7,3,FALSE))</f>
        <v>800</v>
      </c>
      <c r="I13" s="55">
        <f>IF(OR($E13="NO",$F13="NO"),0,VLOOKUP(B13,'M3'!B$6:D$7,3,FALSE))</f>
        <v>800</v>
      </c>
      <c r="J13" s="54">
        <f>IF(OR($E13="NO",$F13="NO"),0,VLOOKUP(B13,'M4'!B$6:D$7,3,FALSE))</f>
        <v>800</v>
      </c>
    </row>
    <row r="14" spans="2:10" ht="21" customHeight="1" x14ac:dyDescent="0.25">
      <c r="B14" s="35"/>
      <c r="C14" s="35"/>
      <c r="D14" s="30"/>
      <c r="E14" s="31"/>
      <c r="F14" s="31"/>
      <c r="G14" s="32"/>
      <c r="H14" s="33"/>
      <c r="I14" s="33"/>
      <c r="J14" s="32"/>
    </row>
    <row r="15" spans="2:10" ht="21" customHeight="1" x14ac:dyDescent="0.25">
      <c r="G15" s="32"/>
      <c r="H15" s="33"/>
      <c r="I15" s="33"/>
      <c r="J15" s="32"/>
    </row>
    <row r="16" spans="2:10" x14ac:dyDescent="0.25">
      <c r="C16" s="37" t="s">
        <v>50</v>
      </c>
      <c r="D16" s="37" t="s">
        <v>61</v>
      </c>
      <c r="G16" s="32"/>
      <c r="H16" s="33"/>
      <c r="I16" s="33"/>
      <c r="J16" s="32"/>
    </row>
    <row r="17" spans="2:10" ht="21" customHeight="1" x14ac:dyDescent="0.25">
      <c r="G17" s="32"/>
      <c r="H17" s="33"/>
      <c r="I17" s="33"/>
      <c r="J17" s="32"/>
    </row>
    <row r="18" spans="2:10" x14ac:dyDescent="0.25">
      <c r="C18" s="37" t="s">
        <v>27</v>
      </c>
      <c r="D18" s="37" t="s">
        <v>63</v>
      </c>
      <c r="G18" s="32"/>
      <c r="H18" s="33"/>
      <c r="I18" s="33"/>
      <c r="J18" s="32"/>
    </row>
    <row r="19" spans="2:10" x14ac:dyDescent="0.25">
      <c r="C19" s="38">
        <v>2</v>
      </c>
      <c r="D19" s="39">
        <v>1250650377330.1357</v>
      </c>
      <c r="G19" s="32"/>
      <c r="H19" s="33"/>
      <c r="I19" s="33"/>
      <c r="J19" s="32"/>
    </row>
    <row r="20" spans="2:10" x14ac:dyDescent="0.25">
      <c r="C20" s="38">
        <v>1</v>
      </c>
      <c r="D20" s="39">
        <v>1353304011058.5613</v>
      </c>
      <c r="G20" s="32"/>
      <c r="H20" s="33"/>
      <c r="I20" s="33"/>
      <c r="J20" s="32"/>
    </row>
    <row r="24" spans="2:10" x14ac:dyDescent="0.25">
      <c r="C24" s="22" t="s">
        <v>62</v>
      </c>
      <c r="D24" s="64">
        <f>AVERAGE(D19:D20)</f>
        <v>1301977194194.3486</v>
      </c>
    </row>
    <row r="25" spans="2:10" x14ac:dyDescent="0.25">
      <c r="C25" s="22" t="s">
        <v>47</v>
      </c>
      <c r="D25" s="64">
        <f>MEDIAN(D19:D20)</f>
        <v>1301977194194.3486</v>
      </c>
      <c r="F25" s="21"/>
    </row>
    <row r="26" spans="2:10" x14ac:dyDescent="0.25">
      <c r="C26" s="22" t="s">
        <v>48</v>
      </c>
      <c r="D26" s="64">
        <f>(D24+D25)/2</f>
        <v>1301977194194.3486</v>
      </c>
      <c r="F26" s="29"/>
    </row>
    <row r="27" spans="2:10" x14ac:dyDescent="0.25">
      <c r="C27" s="56" t="s">
        <v>64</v>
      </c>
      <c r="D27" s="65">
        <f>D26*90%</f>
        <v>1171779474774.9138</v>
      </c>
    </row>
    <row r="28" spans="2:10" x14ac:dyDescent="0.25">
      <c r="C28" s="49"/>
      <c r="D28" s="50"/>
    </row>
    <row r="30" spans="2:10" x14ac:dyDescent="0.25">
      <c r="B30" s="17" t="s">
        <v>41</v>
      </c>
      <c r="D30" s="2"/>
      <c r="E30" s="2"/>
      <c r="F30" s="2"/>
      <c r="G30" s="8"/>
    </row>
    <row r="31" spans="2:10" x14ac:dyDescent="0.25">
      <c r="D31" s="2"/>
      <c r="E31" s="2"/>
      <c r="F31" s="2"/>
    </row>
    <row r="32" spans="2:10" x14ac:dyDescent="0.25">
      <c r="C32" s="1"/>
      <c r="D32" s="2"/>
      <c r="E32" s="2"/>
      <c r="F32" s="2"/>
    </row>
    <row r="33" spans="4:7" x14ac:dyDescent="0.25">
      <c r="D33" s="2"/>
      <c r="E33" s="2"/>
      <c r="F33" s="2"/>
    </row>
    <row r="35" spans="4:7" x14ac:dyDescent="0.25">
      <c r="F35" s="1"/>
      <c r="G35" s="1"/>
    </row>
    <row r="36" spans="4:7" x14ac:dyDescent="0.25">
      <c r="F36" s="1"/>
      <c r="G36" s="1"/>
    </row>
  </sheetData>
  <sortState xmlns:xlrd2="http://schemas.microsoft.com/office/spreadsheetml/2017/richdata2" ref="B15:D18">
    <sortCondition descending="1" ref="D15:D18"/>
  </sortState>
  <conditionalFormatting sqref="F12 F14">
    <cfRule type="cellIs" dxfId="16" priority="12" operator="equal">
      <formula>"no"</formula>
    </cfRule>
  </conditionalFormatting>
  <conditionalFormatting sqref="E12">
    <cfRule type="cellIs" dxfId="15" priority="11" operator="equal">
      <formula>"no"</formula>
    </cfRule>
  </conditionalFormatting>
  <conditionalFormatting sqref="F13">
    <cfRule type="cellIs" dxfId="14" priority="10" operator="equal">
      <formula>"no"</formula>
    </cfRule>
  </conditionalFormatting>
  <conditionalFormatting sqref="E13">
    <cfRule type="cellIs" dxfId="13" priority="9" operator="equal">
      <formula>"no"</formula>
    </cfRule>
  </conditionalFormatting>
  <hyperlinks>
    <hyperlink ref="B30" r:id="rId2" xr:uid="{00000000-0004-0000-0000-000000000000}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14"/>
  <sheetViews>
    <sheetView zoomScale="110" zoomScaleNormal="110" zoomScalePageLayoutView="130" workbookViewId="0">
      <selection activeCell="D7" sqref="D7"/>
    </sheetView>
  </sheetViews>
  <sheetFormatPr baseColWidth="10" defaultRowHeight="15.75" x14ac:dyDescent="0.25"/>
  <cols>
    <col min="1" max="1" width="17.5" bestFit="1" customWidth="1"/>
    <col min="2" max="2" width="23.25" bestFit="1" customWidth="1"/>
    <col min="3" max="3" width="23.875" bestFit="1" customWidth="1"/>
    <col min="4" max="4" width="13.125" bestFit="1" customWidth="1"/>
    <col min="5" max="5" width="6.875" customWidth="1"/>
    <col min="6" max="6" width="24" bestFit="1" customWidth="1"/>
  </cols>
  <sheetData>
    <row r="3" spans="1:6" x14ac:dyDescent="0.25">
      <c r="B3" s="3" t="s">
        <v>49</v>
      </c>
      <c r="C3" t="s">
        <v>61</v>
      </c>
      <c r="F3" s="6" t="s">
        <v>26</v>
      </c>
    </row>
    <row r="5" spans="1:6" x14ac:dyDescent="0.25">
      <c r="A5" s="11" t="s">
        <v>66</v>
      </c>
      <c r="B5" s="3" t="s">
        <v>27</v>
      </c>
      <c r="C5" t="s">
        <v>36</v>
      </c>
      <c r="F5" t="s">
        <v>11</v>
      </c>
    </row>
    <row r="6" spans="1:6" x14ac:dyDescent="0.25">
      <c r="A6" s="40">
        <f>C6</f>
        <v>1250650377330.1357</v>
      </c>
      <c r="B6" s="4">
        <v>2</v>
      </c>
      <c r="C6" s="5">
        <v>1250650377330.1357</v>
      </c>
      <c r="D6" s="24">
        <f>IF(B6=C$14,800,((1-ABS(C$12-C6)/C$12)*800))</f>
        <v>800</v>
      </c>
      <c r="F6" t="s">
        <v>12</v>
      </c>
    </row>
    <row r="7" spans="1:6" x14ac:dyDescent="0.25">
      <c r="A7" s="40">
        <f t="shared" ref="A7" si="0">C7</f>
        <v>1353304011058.5613</v>
      </c>
      <c r="B7" s="4">
        <v>1</v>
      </c>
      <c r="C7" s="5">
        <v>1353304011058.5613</v>
      </c>
      <c r="D7" s="24">
        <f>IF(B7=C$14,800,((1-ABS(C$12-C7)/C$12)*800))</f>
        <v>734.33583959886948</v>
      </c>
      <c r="F7" t="s">
        <v>10</v>
      </c>
    </row>
    <row r="8" spans="1:6" x14ac:dyDescent="0.25">
      <c r="A8" s="40"/>
      <c r="B8" s="4"/>
      <c r="C8" s="5"/>
      <c r="D8" s="24"/>
      <c r="F8" t="s">
        <v>65</v>
      </c>
    </row>
    <row r="9" spans="1:6" x14ac:dyDescent="0.25">
      <c r="B9">
        <f>COUNT(B6:B7)</f>
        <v>2</v>
      </c>
      <c r="F9" t="s">
        <v>54</v>
      </c>
    </row>
    <row r="10" spans="1:6" hidden="1" x14ac:dyDescent="0.25">
      <c r="B10" s="6" t="s">
        <v>67</v>
      </c>
      <c r="C10" s="7">
        <f>MEDIAN(C6:C7)</f>
        <v>1301977194194.3486</v>
      </c>
    </row>
    <row r="11" spans="1:6" x14ac:dyDescent="0.25">
      <c r="B11" t="s">
        <v>68</v>
      </c>
      <c r="C11" s="41">
        <f>AVERAGE(C6,C7)</f>
        <v>1301977194194.3486</v>
      </c>
    </row>
    <row r="12" spans="1:6" x14ac:dyDescent="0.25">
      <c r="B12" t="s">
        <v>15</v>
      </c>
      <c r="C12" s="72">
        <f>MIN(C6:C7)</f>
        <v>1250650377330.1357</v>
      </c>
    </row>
    <row r="14" spans="1:6" x14ac:dyDescent="0.25">
      <c r="B14" t="s">
        <v>52</v>
      </c>
      <c r="C14">
        <f>VLOOKUP(C12,A6:B7,2,FALSE)</f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F13"/>
  <sheetViews>
    <sheetView topLeftCell="A3" zoomScale="120" zoomScaleNormal="120" zoomScalePageLayoutView="120" workbookViewId="0">
      <selection activeCell="B6" sqref="B6"/>
    </sheetView>
  </sheetViews>
  <sheetFormatPr baseColWidth="10" defaultRowHeight="15.75" x14ac:dyDescent="0.25"/>
  <cols>
    <col min="1" max="1" width="17.625" bestFit="1" customWidth="1"/>
    <col min="2" max="2" width="22.75" bestFit="1" customWidth="1"/>
    <col min="3" max="3" width="17.75" bestFit="1" customWidth="1"/>
    <col min="4" max="4" width="17.375" customWidth="1"/>
    <col min="5" max="5" width="16" bestFit="1" customWidth="1"/>
    <col min="6" max="6" width="24" bestFit="1" customWidth="1"/>
  </cols>
  <sheetData>
    <row r="3" spans="1:6" x14ac:dyDescent="0.25">
      <c r="B3" s="3" t="s">
        <v>49</v>
      </c>
      <c r="C3" t="s">
        <v>61</v>
      </c>
      <c r="F3" s="6" t="s">
        <v>28</v>
      </c>
    </row>
    <row r="5" spans="1:6" x14ac:dyDescent="0.25">
      <c r="A5" s="11" t="s">
        <v>25</v>
      </c>
      <c r="B5" s="3" t="s">
        <v>27</v>
      </c>
      <c r="C5" t="s">
        <v>14</v>
      </c>
      <c r="F5" t="s">
        <v>11</v>
      </c>
    </row>
    <row r="6" spans="1:6" x14ac:dyDescent="0.25">
      <c r="A6" s="12">
        <f>ABS(C$10-C6)</f>
        <v>50314715234.90918</v>
      </c>
      <c r="B6" s="4">
        <v>2</v>
      </c>
      <c r="C6" s="5">
        <v>1250650377330.1357</v>
      </c>
      <c r="D6" s="24">
        <f>IF(B6=C$13,800,((1-ABS(C$10-C6)/C$10)*800))</f>
        <v>800</v>
      </c>
      <c r="F6" t="s">
        <v>17</v>
      </c>
    </row>
    <row r="7" spans="1:6" x14ac:dyDescent="0.25">
      <c r="A7" s="12">
        <f>ABS(C$10-C7)</f>
        <v>52338918493.516357</v>
      </c>
      <c r="B7" s="4">
        <v>1</v>
      </c>
      <c r="C7" s="5">
        <v>1353304011058.5613</v>
      </c>
      <c r="D7" s="24">
        <f>IF(B7=C$13,800,((1-ABS(C$10-C7)/C$10)*800))</f>
        <v>767.81532799449838</v>
      </c>
      <c r="F7" t="s">
        <v>24</v>
      </c>
    </row>
    <row r="8" spans="1:6" x14ac:dyDescent="0.25">
      <c r="F8" t="s">
        <v>55</v>
      </c>
    </row>
    <row r="9" spans="1:6" x14ac:dyDescent="0.25">
      <c r="B9" s="6" t="s">
        <v>18</v>
      </c>
      <c r="C9" s="7">
        <f>GEOMEAN(C6:C7)</f>
        <v>1300965092565.0449</v>
      </c>
    </row>
    <row r="10" spans="1:6" x14ac:dyDescent="0.25">
      <c r="B10" t="s">
        <v>16</v>
      </c>
      <c r="C10" s="9">
        <f>C9</f>
        <v>1300965092565.0449</v>
      </c>
    </row>
    <row r="12" spans="1:6" x14ac:dyDescent="0.25">
      <c r="B12" t="s">
        <v>38</v>
      </c>
      <c r="C12" s="10">
        <f>MIN(A6:A7)</f>
        <v>50314715234.90918</v>
      </c>
    </row>
    <row r="13" spans="1:6" x14ac:dyDescent="0.25">
      <c r="B13" t="s">
        <v>39</v>
      </c>
      <c r="C13">
        <f>VLOOKUP(C12,A6:B7,2,FALSE)</f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F15"/>
  <sheetViews>
    <sheetView zoomScale="120" zoomScaleNormal="120" zoomScalePageLayoutView="120" workbookViewId="0">
      <selection activeCell="D7" sqref="D7"/>
    </sheetView>
  </sheetViews>
  <sheetFormatPr baseColWidth="10" defaultRowHeight="15.75" x14ac:dyDescent="0.25"/>
  <cols>
    <col min="1" max="1" width="16.125" bestFit="1" customWidth="1"/>
    <col min="2" max="2" width="22.75" bestFit="1" customWidth="1"/>
    <col min="3" max="3" width="17.75" bestFit="1" customWidth="1"/>
    <col min="4" max="4" width="13.875" customWidth="1"/>
    <col min="5" max="5" width="16" bestFit="1" customWidth="1"/>
    <col min="6" max="6" width="24" bestFit="1" customWidth="1"/>
  </cols>
  <sheetData>
    <row r="3" spans="1:6" x14ac:dyDescent="0.25">
      <c r="B3" s="3" t="s">
        <v>49</v>
      </c>
      <c r="C3" t="s">
        <v>61</v>
      </c>
      <c r="F3" s="6" t="s">
        <v>29</v>
      </c>
    </row>
    <row r="5" spans="1:6" x14ac:dyDescent="0.25">
      <c r="A5" s="11" t="s">
        <v>25</v>
      </c>
      <c r="B5" s="3" t="s">
        <v>13</v>
      </c>
      <c r="C5" t="s">
        <v>14</v>
      </c>
      <c r="F5" t="s">
        <v>11</v>
      </c>
    </row>
    <row r="6" spans="1:6" x14ac:dyDescent="0.25">
      <c r="A6" s="12">
        <f>ABS(C$12-C6)</f>
        <v>25663408432.106445</v>
      </c>
      <c r="B6" s="4">
        <v>2</v>
      </c>
      <c r="C6" s="5">
        <v>1250650377330.1357</v>
      </c>
      <c r="D6" s="24">
        <f>IF(B6=C$15,800,((1-ABS(C$12-C6)/C$12)*800))</f>
        <v>800</v>
      </c>
      <c r="F6" t="s">
        <v>22</v>
      </c>
    </row>
    <row r="7" spans="1:6" x14ac:dyDescent="0.25">
      <c r="A7" s="12">
        <f>ABS(C$12-C7)</f>
        <v>76990225296.319092</v>
      </c>
      <c r="B7" s="4">
        <v>1</v>
      </c>
      <c r="C7" s="5">
        <v>1353304011058.5613</v>
      </c>
      <c r="D7" s="24">
        <f>IF(B7=C$15,800,((1-ABS(C$12-C7)/C$12)*800))</f>
        <v>751.74213353789719</v>
      </c>
      <c r="F7" t="s">
        <v>23</v>
      </c>
    </row>
    <row r="8" spans="1:6" x14ac:dyDescent="0.25">
      <c r="B8" s="4"/>
      <c r="C8" s="5"/>
      <c r="F8" t="s">
        <v>37</v>
      </c>
    </row>
    <row r="9" spans="1:6" x14ac:dyDescent="0.25">
      <c r="B9" s="4"/>
      <c r="C9" s="5"/>
      <c r="F9" t="s">
        <v>56</v>
      </c>
    </row>
    <row r="10" spans="1:6" x14ac:dyDescent="0.25">
      <c r="B10" s="6" t="s">
        <v>19</v>
      </c>
      <c r="C10" s="7">
        <f>MIN(C6:C7)</f>
        <v>1250650377330.1357</v>
      </c>
    </row>
    <row r="11" spans="1:6" x14ac:dyDescent="0.25">
      <c r="B11" t="s">
        <v>20</v>
      </c>
      <c r="C11" s="5">
        <f>AVERAGE(C6:C7)</f>
        <v>1301977194194.3486</v>
      </c>
    </row>
    <row r="12" spans="1:6" x14ac:dyDescent="0.25">
      <c r="B12" t="s">
        <v>21</v>
      </c>
      <c r="C12" s="9">
        <f>(C10+C11)/2</f>
        <v>1276313785762.2422</v>
      </c>
    </row>
    <row r="14" spans="1:6" x14ac:dyDescent="0.25">
      <c r="B14" t="s">
        <v>38</v>
      </c>
      <c r="C14" s="10">
        <f>MIN(A6:A7)</f>
        <v>25663408432.106445</v>
      </c>
    </row>
    <row r="15" spans="1:6" x14ac:dyDescent="0.25">
      <c r="B15" t="s">
        <v>39</v>
      </c>
      <c r="C15">
        <f>VLOOKUP(C14,A6:B7,2,FALSE)</f>
        <v>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F12"/>
  <sheetViews>
    <sheetView zoomScale="120" zoomScaleNormal="120" zoomScalePageLayoutView="120" workbookViewId="0">
      <selection activeCell="D10" sqref="D10"/>
    </sheetView>
  </sheetViews>
  <sheetFormatPr baseColWidth="10" defaultRowHeight="15.75" x14ac:dyDescent="0.25"/>
  <cols>
    <col min="1" max="1" width="16.125" bestFit="1" customWidth="1"/>
    <col min="2" max="2" width="22.75" bestFit="1" customWidth="1"/>
    <col min="3" max="3" width="17.75" bestFit="1" customWidth="1"/>
    <col min="4" max="4" width="18.875" customWidth="1"/>
    <col min="5" max="5" width="11" customWidth="1"/>
    <col min="6" max="6" width="24" bestFit="1" customWidth="1"/>
  </cols>
  <sheetData>
    <row r="3" spans="1:6" x14ac:dyDescent="0.25">
      <c r="B3" s="3" t="s">
        <v>49</v>
      </c>
      <c r="C3" t="s">
        <v>61</v>
      </c>
      <c r="F3" s="6" t="s">
        <v>30</v>
      </c>
    </row>
    <row r="5" spans="1:6" x14ac:dyDescent="0.25">
      <c r="A5" s="11" t="s">
        <v>25</v>
      </c>
      <c r="B5" s="3" t="s">
        <v>13</v>
      </c>
      <c r="C5" t="s">
        <v>14</v>
      </c>
      <c r="F5" t="s">
        <v>11</v>
      </c>
    </row>
    <row r="6" spans="1:6" x14ac:dyDescent="0.25">
      <c r="A6" s="12">
        <f>ABS(C$10-C6)</f>
        <v>0</v>
      </c>
      <c r="B6" s="4">
        <v>2</v>
      </c>
      <c r="C6" s="5">
        <v>1250650377330.1357</v>
      </c>
      <c r="D6" s="24">
        <f>IF(B6=C$12,800,((800*C$10/C6)))</f>
        <v>800</v>
      </c>
      <c r="F6" t="s">
        <v>57</v>
      </c>
    </row>
    <row r="7" spans="1:6" x14ac:dyDescent="0.25">
      <c r="A7" s="12">
        <f>ABS(C$10-C7)</f>
        <v>102653633728.42554</v>
      </c>
      <c r="B7" s="4">
        <v>1</v>
      </c>
      <c r="C7" s="5">
        <v>1353304011058.5613</v>
      </c>
      <c r="D7" s="24">
        <f>IF(B7=C$12,800,((800*C$10/C7)))</f>
        <v>739.31673422108349</v>
      </c>
      <c r="F7" t="s">
        <v>58</v>
      </c>
    </row>
    <row r="8" spans="1:6" x14ac:dyDescent="0.25">
      <c r="B8" s="6"/>
      <c r="C8" s="7"/>
    </row>
    <row r="9" spans="1:6" x14ac:dyDescent="0.25">
      <c r="C9" s="5"/>
    </row>
    <row r="10" spans="1:6" ht="23.25" x14ac:dyDescent="0.35">
      <c r="B10" t="s">
        <v>40</v>
      </c>
      <c r="C10" s="9">
        <f>MIN(C6:C7)</f>
        <v>1250650377330.1357</v>
      </c>
      <c r="F10" s="25"/>
    </row>
    <row r="11" spans="1:6" x14ac:dyDescent="0.25">
      <c r="B11" t="s">
        <v>38</v>
      </c>
      <c r="C11" s="10">
        <f>MIN(A6:A7)</f>
        <v>0</v>
      </c>
    </row>
    <row r="12" spans="1:6" x14ac:dyDescent="0.25">
      <c r="B12" t="s">
        <v>39</v>
      </c>
      <c r="C12">
        <f>VLOOKUP(C11,A6:B7,2,FALSE)</f>
        <v>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4:I15"/>
  <sheetViews>
    <sheetView showGridLines="0" topLeftCell="A5" zoomScaleNormal="100" zoomScalePageLayoutView="130" workbookViewId="0">
      <selection activeCell="G13" sqref="G13"/>
    </sheetView>
  </sheetViews>
  <sheetFormatPr baseColWidth="10" defaultRowHeight="15.75" x14ac:dyDescent="0.25"/>
  <cols>
    <col min="1" max="1" width="5.125" customWidth="1"/>
    <col min="2" max="2" width="6.875" customWidth="1"/>
    <col min="3" max="3" width="59.875" bestFit="1" customWidth="1"/>
    <col min="4" max="4" width="14.125" bestFit="1" customWidth="1"/>
    <col min="5" max="7" width="10.375" customWidth="1"/>
    <col min="8" max="8" width="12.125" customWidth="1"/>
    <col min="9" max="9" width="15.25" bestFit="1" customWidth="1"/>
    <col min="10" max="10" width="10.375" customWidth="1"/>
  </cols>
  <sheetData>
    <row r="4" spans="2:9" x14ac:dyDescent="0.25">
      <c r="B4" s="6" t="s">
        <v>60</v>
      </c>
    </row>
    <row r="5" spans="2:9" x14ac:dyDescent="0.25">
      <c r="B5" s="16" t="str">
        <f>'Ev. economica'!B5</f>
        <v>Licitación Pública No.  VJ-VE-APP-IPB-004-2021</v>
      </c>
    </row>
    <row r="6" spans="2:9" x14ac:dyDescent="0.25">
      <c r="B6" s="16" t="str">
        <f>'Ev. economica'!B6</f>
        <v xml:space="preserve">“BUENAVENTURA - LOBOGUERRERO - BUGA” </v>
      </c>
    </row>
    <row r="8" spans="2:9" ht="47.25" x14ac:dyDescent="0.25">
      <c r="B8" s="15" t="s">
        <v>35</v>
      </c>
      <c r="C8" s="15" t="s">
        <v>0</v>
      </c>
      <c r="D8" s="27" t="s">
        <v>42</v>
      </c>
      <c r="E8" s="28" t="s">
        <v>51</v>
      </c>
      <c r="F8" s="28" t="s">
        <v>44</v>
      </c>
      <c r="G8" s="28" t="s">
        <v>43</v>
      </c>
      <c r="H8" s="28" t="s">
        <v>53</v>
      </c>
      <c r="I8" s="27" t="s">
        <v>45</v>
      </c>
    </row>
    <row r="9" spans="2:9" x14ac:dyDescent="0.25">
      <c r="B9" s="34">
        <f>'Ev. economica'!B12</f>
        <v>1</v>
      </c>
      <c r="C9" s="34" t="str">
        <f>'Ev. economica'!C12</f>
        <v>PROYECTOS Y DESARROLLOS VIALES DEL VALLE S.A.S. (PRODEVIVALLE)</v>
      </c>
      <c r="D9" s="26">
        <f>'Ev. economica'!H12</f>
        <v>767.81532799449838</v>
      </c>
      <c r="E9" s="67">
        <v>50</v>
      </c>
      <c r="F9" s="67">
        <v>100</v>
      </c>
      <c r="G9" s="67">
        <v>40</v>
      </c>
      <c r="H9" s="67">
        <v>10</v>
      </c>
      <c r="I9" s="36">
        <f>SUM(D9:H9)</f>
        <v>967.81532799449838</v>
      </c>
    </row>
    <row r="10" spans="2:9" x14ac:dyDescent="0.25">
      <c r="B10" s="34">
        <f>'Ev. economica'!B13</f>
        <v>2</v>
      </c>
      <c r="C10" s="34" t="str">
        <f>'Ev. economica'!C13</f>
        <v>SACYR CONCESIONES COLOMBIA S.A.S</v>
      </c>
      <c r="D10" s="26">
        <f>'Ev. economica'!H13</f>
        <v>800</v>
      </c>
      <c r="E10" s="67">
        <v>50</v>
      </c>
      <c r="F10" s="67">
        <v>100</v>
      </c>
      <c r="G10" s="67">
        <v>40</v>
      </c>
      <c r="H10" s="67">
        <v>10</v>
      </c>
      <c r="I10" s="36">
        <f t="shared" ref="I10" si="0">SUM(D10:H10)</f>
        <v>1000</v>
      </c>
    </row>
    <row r="12" spans="2:9" x14ac:dyDescent="0.25">
      <c r="B12" s="6" t="s">
        <v>70</v>
      </c>
    </row>
    <row r="13" spans="2:9" s="42" customFormat="1" ht="21" customHeight="1" x14ac:dyDescent="0.25">
      <c r="C13" s="43" t="s">
        <v>0</v>
      </c>
      <c r="D13" s="44" t="s">
        <v>69</v>
      </c>
    </row>
    <row r="14" spans="2:9" s="42" customFormat="1" ht="21" customHeight="1" x14ac:dyDescent="0.25">
      <c r="C14" s="45" t="s">
        <v>78</v>
      </c>
      <c r="D14" s="46">
        <v>1000</v>
      </c>
      <c r="E14" s="63">
        <v>1</v>
      </c>
    </row>
    <row r="15" spans="2:9" s="42" customFormat="1" ht="21" customHeight="1" x14ac:dyDescent="0.25">
      <c r="C15" s="45" t="s">
        <v>81</v>
      </c>
      <c r="D15" s="46">
        <v>967.81532799449838</v>
      </c>
      <c r="E15" s="47">
        <v>2</v>
      </c>
    </row>
  </sheetData>
  <pageMargins left="0.7" right="0.7" top="0.75" bottom="0.75" header="0.3" footer="0.3"/>
  <pageSetup orientation="portrait" horizontalDpi="360" verticalDpi="36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Ev. economica</vt:lpstr>
      <vt:lpstr>M1</vt:lpstr>
      <vt:lpstr>M2</vt:lpstr>
      <vt:lpstr>M3</vt:lpstr>
      <vt:lpstr>M4</vt:lpstr>
      <vt:lpstr>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Maria Arenas Franco</dc:creator>
  <cp:lastModifiedBy>Olga Maria Arenas Franco</cp:lastModifiedBy>
  <dcterms:created xsi:type="dcterms:W3CDTF">2021-06-16T16:49:04Z</dcterms:created>
  <dcterms:modified xsi:type="dcterms:W3CDTF">2022-08-05T16:52:03Z</dcterms:modified>
</cp:coreProperties>
</file>