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folarte\Documents\Monica\Monica G\SELECCIÓN ABREVIADA DE MENOR CUANTÍA\PROCESO ADECUACIÓN OFICINAS\EVALUACIÓN\"/>
    </mc:Choice>
  </mc:AlternateContent>
  <bookViews>
    <workbookView xWindow="240" yWindow="75" windowWidth="18855" windowHeight="11640"/>
  </bookViews>
  <sheets>
    <sheet name="Verificacion Oferta Economica" sheetId="2" r:id="rId1"/>
    <sheet name="Vr. Propuestas" sheetId="3" r:id="rId2"/>
    <sheet name="Media Geometrica" sheetId="5" r:id="rId3"/>
    <sheet name="Evaluacion Puntaje Propuestas" sheetId="4" r:id="rId4"/>
  </sheets>
  <calcPr calcId="152511"/>
</workbook>
</file>

<file path=xl/calcChain.xml><?xml version="1.0" encoding="utf-8"?>
<calcChain xmlns="http://schemas.openxmlformats.org/spreadsheetml/2006/main">
  <c r="C10" i="4" l="1"/>
  <c r="B10" i="4"/>
  <c r="K45" i="2"/>
  <c r="L45" i="2" s="1"/>
  <c r="M45" i="2" s="1"/>
  <c r="K40" i="2"/>
  <c r="K39" i="2"/>
  <c r="K38" i="2"/>
  <c r="K37" i="2"/>
  <c r="L37" i="2" s="1"/>
  <c r="M37" i="2" s="1"/>
  <c r="K35" i="2"/>
  <c r="K33" i="2"/>
  <c r="K30" i="2"/>
  <c r="K29" i="2"/>
  <c r="K28" i="2"/>
  <c r="K27" i="2"/>
  <c r="K26" i="2"/>
  <c r="K24" i="2"/>
  <c r="K23" i="2"/>
  <c r="K22" i="2"/>
  <c r="K21" i="2"/>
  <c r="K20" i="2"/>
  <c r="K19" i="2"/>
  <c r="K18" i="2"/>
  <c r="K17" i="2"/>
  <c r="K16" i="2"/>
  <c r="K15" i="2"/>
  <c r="K14" i="2"/>
  <c r="K13" i="2"/>
  <c r="K12" i="2"/>
  <c r="K11" i="2"/>
  <c r="K10" i="2"/>
  <c r="K8" i="2"/>
  <c r="J37" i="2"/>
  <c r="R45" i="2"/>
  <c r="R44" i="2"/>
  <c r="R43" i="2"/>
  <c r="R42" i="2"/>
  <c r="R41" i="2"/>
  <c r="R40" i="2"/>
  <c r="R39" i="2"/>
  <c r="R38" i="2"/>
  <c r="R37" i="2"/>
  <c r="R36" i="2"/>
  <c r="R35" i="2"/>
  <c r="R34" i="2"/>
  <c r="R33" i="2"/>
  <c r="R32" i="2"/>
  <c r="R31" i="2"/>
  <c r="R28" i="2"/>
  <c r="R27" i="2"/>
  <c r="R26" i="2"/>
  <c r="R25" i="2"/>
  <c r="R24" i="2"/>
  <c r="R23" i="2"/>
  <c r="R19" i="2"/>
  <c r="R18" i="2"/>
  <c r="R16" i="2"/>
  <c r="R9" i="2"/>
  <c r="R8" i="2"/>
  <c r="R7" i="2"/>
  <c r="R6" i="2"/>
  <c r="O45" i="2"/>
  <c r="O44" i="2"/>
  <c r="O43" i="2"/>
  <c r="O42" i="2"/>
  <c r="O41" i="2"/>
  <c r="O40" i="2"/>
  <c r="O39" i="2"/>
  <c r="O38" i="2"/>
  <c r="O37" i="2"/>
  <c r="O36" i="2"/>
  <c r="O35" i="2"/>
  <c r="O34" i="2"/>
  <c r="O33" i="2"/>
  <c r="O32" i="2"/>
  <c r="O31" i="2"/>
  <c r="O28" i="2"/>
  <c r="O27" i="2"/>
  <c r="O26" i="2"/>
  <c r="O25" i="2"/>
  <c r="O24" i="2"/>
  <c r="O23" i="2"/>
  <c r="O19" i="2"/>
  <c r="O18" i="2"/>
  <c r="O16" i="2"/>
  <c r="O9" i="2"/>
  <c r="O8" i="2"/>
  <c r="O7" i="2"/>
  <c r="O6" i="2"/>
  <c r="L44" i="2"/>
  <c r="L43" i="2"/>
  <c r="L42" i="2"/>
  <c r="L41" i="2"/>
  <c r="L40" i="2"/>
  <c r="L39" i="2"/>
  <c r="L38" i="2"/>
  <c r="L36" i="2"/>
  <c r="L35" i="2"/>
  <c r="L34" i="2"/>
  <c r="L33" i="2"/>
  <c r="L32" i="2"/>
  <c r="L31" i="2"/>
  <c r="L28" i="2"/>
  <c r="L27" i="2"/>
  <c r="L26" i="2"/>
  <c r="L25" i="2"/>
  <c r="L24" i="2"/>
  <c r="L23" i="2"/>
  <c r="L19" i="2"/>
  <c r="L18" i="2"/>
  <c r="L16" i="2"/>
  <c r="L9" i="2"/>
  <c r="L8" i="2"/>
  <c r="L7" i="2"/>
  <c r="L6" i="2"/>
  <c r="I45" i="2"/>
  <c r="I44" i="2"/>
  <c r="I43" i="2"/>
  <c r="I42" i="2"/>
  <c r="I41" i="2"/>
  <c r="I40" i="2"/>
  <c r="I39" i="2"/>
  <c r="I38" i="2"/>
  <c r="I37" i="2"/>
  <c r="I36" i="2"/>
  <c r="I35" i="2"/>
  <c r="I34" i="2"/>
  <c r="I33" i="2"/>
  <c r="I32" i="2"/>
  <c r="I31" i="2"/>
  <c r="I28" i="2"/>
  <c r="I27" i="2"/>
  <c r="I26" i="2"/>
  <c r="I25" i="2"/>
  <c r="I24" i="2"/>
  <c r="I23" i="2"/>
  <c r="I19" i="2"/>
  <c r="I18" i="2"/>
  <c r="J18" i="2" s="1"/>
  <c r="I16" i="2"/>
  <c r="I9" i="2"/>
  <c r="I8" i="2"/>
  <c r="I7" i="2"/>
  <c r="I6" i="2"/>
  <c r="F45" i="2"/>
  <c r="F44" i="2"/>
  <c r="F43" i="2"/>
  <c r="F42" i="2"/>
  <c r="F41" i="2"/>
  <c r="F40" i="2"/>
  <c r="F39" i="2"/>
  <c r="F38" i="2"/>
  <c r="F37" i="2"/>
  <c r="F36" i="2"/>
  <c r="F35" i="2"/>
  <c r="F34" i="2"/>
  <c r="F33" i="2"/>
  <c r="F32" i="2"/>
  <c r="F31" i="2"/>
  <c r="F28" i="2"/>
  <c r="F27" i="2"/>
  <c r="F26" i="2"/>
  <c r="F25" i="2"/>
  <c r="F24" i="2"/>
  <c r="F23" i="2"/>
  <c r="F19" i="2"/>
  <c r="F18" i="2"/>
  <c r="F16" i="2"/>
  <c r="F9" i="2"/>
  <c r="F8" i="2"/>
  <c r="F7" i="2"/>
  <c r="F6" i="2"/>
  <c r="J16" i="2" l="1"/>
  <c r="J28" i="2"/>
  <c r="J40" i="2"/>
  <c r="M16" i="2"/>
  <c r="M32" i="2"/>
  <c r="M44" i="2"/>
  <c r="P16" i="2"/>
  <c r="P32" i="2"/>
  <c r="S8" i="2"/>
  <c r="S24" i="2"/>
  <c r="S36" i="2"/>
  <c r="S44" i="2"/>
  <c r="J9" i="2"/>
  <c r="J45" i="2"/>
  <c r="M33" i="2"/>
  <c r="J6" i="2"/>
  <c r="J26" i="2"/>
  <c r="J34" i="2"/>
  <c r="J38" i="2"/>
  <c r="J42" i="2"/>
  <c r="M6" i="2"/>
  <c r="M18" i="2"/>
  <c r="M26" i="2"/>
  <c r="M34" i="2"/>
  <c r="M38" i="2"/>
  <c r="M42" i="2"/>
  <c r="P6" i="2"/>
  <c r="P18" i="2"/>
  <c r="P26" i="2"/>
  <c r="P34" i="2"/>
  <c r="P38" i="2"/>
  <c r="P42" i="2"/>
  <c r="S6" i="2"/>
  <c r="S18" i="2"/>
  <c r="S26" i="2"/>
  <c r="S34" i="2"/>
  <c r="S38" i="2"/>
  <c r="S42" i="2"/>
  <c r="J8" i="2"/>
  <c r="J24" i="2"/>
  <c r="J36" i="2"/>
  <c r="M8" i="2"/>
  <c r="M24" i="2"/>
  <c r="M36" i="2"/>
  <c r="P8" i="2"/>
  <c r="P24" i="2"/>
  <c r="P36" i="2"/>
  <c r="P44" i="2"/>
  <c r="S28" i="2"/>
  <c r="S40" i="2"/>
  <c r="J33" i="2"/>
  <c r="J41" i="2"/>
  <c r="J7" i="2"/>
  <c r="J19" i="2"/>
  <c r="J23" i="2"/>
  <c r="J27" i="2"/>
  <c r="J31" i="2"/>
  <c r="J35" i="2"/>
  <c r="J39" i="2"/>
  <c r="J43" i="2"/>
  <c r="M7" i="2"/>
  <c r="M19" i="2"/>
  <c r="M23" i="2"/>
  <c r="M27" i="2"/>
  <c r="M31" i="2"/>
  <c r="M35" i="2"/>
  <c r="M39" i="2"/>
  <c r="M43" i="2"/>
  <c r="P7" i="2"/>
  <c r="P19" i="2"/>
  <c r="P23" i="2"/>
  <c r="P27" i="2"/>
  <c r="P31" i="2"/>
  <c r="P35" i="2"/>
  <c r="P39" i="2"/>
  <c r="P43" i="2"/>
  <c r="S7" i="2"/>
  <c r="S19" i="2"/>
  <c r="S23" i="2"/>
  <c r="S27" i="2"/>
  <c r="S31" i="2"/>
  <c r="S35" i="2"/>
  <c r="S39" i="2"/>
  <c r="S43" i="2"/>
  <c r="J32" i="2"/>
  <c r="J44" i="2"/>
  <c r="M28" i="2"/>
  <c r="M40" i="2"/>
  <c r="P28" i="2"/>
  <c r="P40" i="2"/>
  <c r="S16" i="2"/>
  <c r="S32" i="2"/>
  <c r="J25" i="2"/>
  <c r="M9" i="2"/>
  <c r="M25" i="2"/>
  <c r="M41" i="2"/>
  <c r="P9" i="2"/>
  <c r="P25" i="2"/>
  <c r="P33" i="2"/>
  <c r="P37" i="2"/>
  <c r="P41" i="2"/>
  <c r="P45" i="2"/>
  <c r="S9" i="2"/>
  <c r="S25" i="2"/>
  <c r="S33" i="2"/>
  <c r="S37" i="2"/>
  <c r="S41" i="2"/>
  <c r="S45" i="2"/>
  <c r="D30" i="2"/>
  <c r="D29" i="2"/>
  <c r="D22" i="2"/>
  <c r="D21" i="2"/>
  <c r="D20" i="2"/>
  <c r="D17" i="2"/>
  <c r="D15" i="2"/>
  <c r="D14" i="2"/>
  <c r="D13" i="2"/>
  <c r="D12" i="2"/>
  <c r="D11" i="2"/>
  <c r="D10" i="2"/>
  <c r="R30" i="2" l="1"/>
  <c r="O30" i="2"/>
  <c r="L30" i="2"/>
  <c r="I30" i="2"/>
  <c r="F30" i="2"/>
  <c r="R10" i="2"/>
  <c r="O10" i="2"/>
  <c r="L10" i="2"/>
  <c r="I10" i="2"/>
  <c r="F10" i="2"/>
  <c r="R14" i="2"/>
  <c r="O14" i="2"/>
  <c r="L14" i="2"/>
  <c r="I14" i="2"/>
  <c r="F14" i="2"/>
  <c r="R21" i="2"/>
  <c r="O21" i="2"/>
  <c r="P21" i="2" s="1"/>
  <c r="L21" i="2"/>
  <c r="M21" i="2" s="1"/>
  <c r="I21" i="2"/>
  <c r="J21" i="2" s="1"/>
  <c r="F21" i="2"/>
  <c r="I20" i="2"/>
  <c r="R20" i="2"/>
  <c r="O20" i="2"/>
  <c r="L20" i="2"/>
  <c r="F20" i="2"/>
  <c r="R15" i="2"/>
  <c r="O15" i="2"/>
  <c r="P15" i="2" s="1"/>
  <c r="L15" i="2"/>
  <c r="I15" i="2"/>
  <c r="J15" i="2" s="1"/>
  <c r="F15" i="2"/>
  <c r="R13" i="2"/>
  <c r="O13" i="2"/>
  <c r="L13" i="2"/>
  <c r="I13" i="2"/>
  <c r="F13" i="2"/>
  <c r="R11" i="2"/>
  <c r="O11" i="2"/>
  <c r="P11" i="2" s="1"/>
  <c r="L11" i="2"/>
  <c r="M11" i="2" s="1"/>
  <c r="I11" i="2"/>
  <c r="J11" i="2" s="1"/>
  <c r="F11" i="2"/>
  <c r="R22" i="2"/>
  <c r="O22" i="2"/>
  <c r="L22" i="2"/>
  <c r="I22" i="2"/>
  <c r="F22" i="2"/>
  <c r="O12" i="2"/>
  <c r="L12" i="2"/>
  <c r="M12" i="2" s="1"/>
  <c r="I12" i="2"/>
  <c r="R12" i="2"/>
  <c r="S12" i="2" s="1"/>
  <c r="F12" i="2"/>
  <c r="R17" i="2"/>
  <c r="O17" i="2"/>
  <c r="L17" i="2"/>
  <c r="I17" i="2"/>
  <c r="F17" i="2"/>
  <c r="R29" i="2"/>
  <c r="O29" i="2"/>
  <c r="L29" i="2"/>
  <c r="F29" i="2"/>
  <c r="I29" i="2"/>
  <c r="S17" i="2" l="1"/>
  <c r="M22" i="2"/>
  <c r="S13" i="2"/>
  <c r="P20" i="2"/>
  <c r="S14" i="2"/>
  <c r="P10" i="2"/>
  <c r="O46" i="2"/>
  <c r="M30" i="2"/>
  <c r="M29" i="2"/>
  <c r="J17" i="2"/>
  <c r="P12" i="2"/>
  <c r="P22" i="2"/>
  <c r="J13" i="2"/>
  <c r="S15" i="2"/>
  <c r="S20" i="2"/>
  <c r="J14" i="2"/>
  <c r="F46" i="2"/>
  <c r="S10" i="2"/>
  <c r="S46" i="2" s="1"/>
  <c r="R46" i="2"/>
  <c r="P30" i="2"/>
  <c r="P29" i="2"/>
  <c r="M17" i="2"/>
  <c r="S22" i="2"/>
  <c r="M13" i="2"/>
  <c r="J20" i="2"/>
  <c r="M14" i="2"/>
  <c r="J10" i="2"/>
  <c r="I46" i="2"/>
  <c r="S30" i="2"/>
  <c r="J29" i="2"/>
  <c r="S29" i="2"/>
  <c r="P17" i="2"/>
  <c r="J12" i="2"/>
  <c r="J22" i="2"/>
  <c r="S11" i="2"/>
  <c r="P13" i="2"/>
  <c r="M15" i="2"/>
  <c r="M20" i="2"/>
  <c r="S21" i="2"/>
  <c r="P14" i="2"/>
  <c r="M10" i="2"/>
  <c r="L46" i="2"/>
  <c r="J30" i="2"/>
  <c r="I49" i="2" l="1"/>
  <c r="I50" i="2" s="1"/>
  <c r="I48" i="2"/>
  <c r="I47" i="2"/>
  <c r="J46" i="2"/>
  <c r="R47" i="2"/>
  <c r="R48" i="2"/>
  <c r="R49" i="2"/>
  <c r="R50" i="2" s="1"/>
  <c r="R51" i="2" s="1"/>
  <c r="R52" i="2" s="1"/>
  <c r="O47" i="2"/>
  <c r="O48" i="2"/>
  <c r="O49" i="2"/>
  <c r="O50" i="2" s="1"/>
  <c r="L47" i="2"/>
  <c r="L48" i="2"/>
  <c r="L49" i="2"/>
  <c r="L50" i="2" s="1"/>
  <c r="P46" i="2"/>
  <c r="M46" i="2"/>
  <c r="F48" i="2"/>
  <c r="F47" i="2"/>
  <c r="F51" i="2" s="1"/>
  <c r="F52" i="2" s="1"/>
  <c r="F49" i="2"/>
  <c r="F50" i="2" s="1"/>
  <c r="I51" i="2" l="1"/>
  <c r="I52" i="2" s="1"/>
  <c r="L51" i="2"/>
  <c r="L52" i="2" s="1"/>
  <c r="O51" i="2"/>
  <c r="O52" i="2" s="1"/>
</calcChain>
</file>

<file path=xl/sharedStrings.xml><?xml version="1.0" encoding="utf-8"?>
<sst xmlns="http://schemas.openxmlformats.org/spreadsheetml/2006/main" count="160" uniqueCount="94">
  <si>
    <t>Ítem</t>
  </si>
  <si>
    <t>Descripción</t>
  </si>
  <si>
    <t>Medidas</t>
  </si>
  <si>
    <t>Cantidad</t>
  </si>
  <si>
    <t>Fabricar e instalar mueble archivador hojas de vida</t>
  </si>
  <si>
    <t>1.80x0.40x2.40</t>
  </si>
  <si>
    <t>Fabricar e instalar mueble archivador tesorería</t>
  </si>
  <si>
    <t>1.60x0.60x2.40</t>
  </si>
  <si>
    <t>Fabricar e instalar mueble cuarto de aseo</t>
  </si>
  <si>
    <t>1.00x1.00x0.50</t>
  </si>
  <si>
    <t xml:space="preserve">Fabricar e instalar mueble archivo centro copiado </t>
  </si>
  <si>
    <t>3.00x2.50x0.50</t>
  </si>
  <si>
    <t>Suministro e instalación cielo raso oficinas cerradas</t>
  </si>
  <si>
    <r>
      <t>10 m</t>
    </r>
    <r>
      <rPr>
        <vertAlign val="superscript"/>
        <sz val="12"/>
        <color theme="1"/>
        <rFont val="Arial Narrow"/>
        <family val="2"/>
      </rPr>
      <t>2</t>
    </r>
  </si>
  <si>
    <t xml:space="preserve">Adecuación y suministro cerramiento al 70%  del filtro de ventilación  </t>
  </si>
  <si>
    <r>
      <t>1000 m</t>
    </r>
    <r>
      <rPr>
        <vertAlign val="superscript"/>
        <sz val="12"/>
        <color theme="1"/>
        <rFont val="Arial Narrow"/>
        <family val="2"/>
      </rPr>
      <t>2</t>
    </r>
  </si>
  <si>
    <t xml:space="preserve">Suministro e instalación cielo raso salas de reuniones </t>
  </si>
  <si>
    <t>Insonorizar Data Center (techos y paredes)</t>
  </si>
  <si>
    <t xml:space="preserve">Traslado, reutilización y adecuación de cuatro (4) puestos de trabajo de la oficina de comunicaciones al área  donde está ubicada la oficina de control de interno, los trabajos deben incluir todo el complemento de los puestos de trabajo como son cajoneras, biblioteca, lockers, puntos de red y datos  </t>
  </si>
  <si>
    <t>Traslado y adecuación de diez (10) puestos de trabajo de la oficina de control interno al área  donde está ubicada la oficina de comunicaciones, los trabajos deben incluir todo el complemento de los puestos de trabajo, puntos de red y datos</t>
  </si>
  <si>
    <t>Suministro e instalación de tableros en vidrios de seguridad – templados para salas de reuniones y oficina</t>
  </si>
  <si>
    <t>1.50x1.50</t>
  </si>
  <si>
    <t xml:space="preserve">Pintura y enchape de salas </t>
  </si>
  <si>
    <r>
      <t>100 m</t>
    </r>
    <r>
      <rPr>
        <vertAlign val="superscript"/>
        <sz val="12"/>
        <color theme="1"/>
        <rFont val="Arial Narrow"/>
        <family val="2"/>
      </rPr>
      <t>2</t>
    </r>
  </si>
  <si>
    <t>Suministro e instalación de estufa de dos (2) hornillas</t>
  </si>
  <si>
    <t>Suministro e instalación brazos hidráulicos para puertas en vidrio y madera</t>
  </si>
  <si>
    <t>3.00 x 7.00</t>
  </si>
  <si>
    <t>Suministro e instalación dos (2) puntos de red y datos categoría 6A  centro de copiado</t>
  </si>
  <si>
    <t>Obra civil de readecuación lockers, enfermería y sala conductores</t>
  </si>
  <si>
    <r>
      <t>50 m</t>
    </r>
    <r>
      <rPr>
        <vertAlign val="superscript"/>
        <sz val="12"/>
        <color theme="1"/>
        <rFont val="Arial Narrow"/>
        <family val="2"/>
      </rPr>
      <t>2</t>
    </r>
  </si>
  <si>
    <t xml:space="preserve">Suministro, instalación y configuración switch 24G, capa 2 administrable web 24, 10/100/1000 4 sep no apilable no PoE, </t>
  </si>
  <si>
    <t xml:space="preserve">Suministro, instalación y configuración cámaras para CCTV alta resolución, color, verifocal </t>
  </si>
  <si>
    <t>DVR16CH formato de grabación H246 240 fps por cámara en tiempo real VGA LAN acceso remoto, disco duro conexión sata</t>
  </si>
  <si>
    <t xml:space="preserve">Mantenimiento puertas baños hombres – mujeres,  </t>
  </si>
  <si>
    <t xml:space="preserve">Adecuación, reutilización y suministro para seis (6) puestos de trabajo de la Vicepresidencia de Gestión Contractual, los trabajos deben incluir todo el complemento de los puestos de trabajo como son cajoneras, biblioteca, lockers, puntos de red y datos  </t>
  </si>
  <si>
    <t xml:space="preserve">Adecuación, reutilización y suministro para cuatro (4) puestos de trabajo de la Vicepresidencia Jurídica, los trabajos deben incluir todo el complemento de los puestos de trabajo como son cajoneras, biblioteca, lockers, puntos de red y datos  </t>
  </si>
  <si>
    <t xml:space="preserve">Obra civil de adecuación, reutilización y suministro para oficina de la Vicepresidencia Ejecutiva, los trabajos deben incluir todo el complemento en iguales condiciones a las oficinas de las actuales vicepresidencias al igual que puntos de red y datos   </t>
  </si>
  <si>
    <r>
      <t>30 m</t>
    </r>
    <r>
      <rPr>
        <vertAlign val="superscript"/>
        <sz val="12"/>
        <color theme="1"/>
        <rFont val="Arial Narrow"/>
        <family val="2"/>
      </rPr>
      <t>2</t>
    </r>
  </si>
  <si>
    <t xml:space="preserve">Suministro e instalación de mobiliario y enseres escritorio ejecutivo    </t>
  </si>
  <si>
    <t xml:space="preserve">Suministro e instalación de mobiliario y enseres silla ejecutiva   </t>
  </si>
  <si>
    <t xml:space="preserve">Suministro e instalación de mobiliario y enseres  mesa de juntas   </t>
  </si>
  <si>
    <t xml:space="preserve">Suministro e instalación de mobiliario y enseres sillas interlocutoras   </t>
  </si>
  <si>
    <t xml:space="preserve">Suministro e instalación de mobiliario y enseres mueble auxiliar   </t>
  </si>
  <si>
    <t xml:space="preserve">Obra civil de adecuación, reutilización y suministro para las oficinas de Gerentes, los trabajos deben incluir todo el complemento en iguales condiciones a las oficinas de las actuales de los gerentes al igual que puntos de red y datos  </t>
  </si>
  <si>
    <t>Suministro e instalación de señalización de oficinas</t>
  </si>
  <si>
    <t xml:space="preserve">Suministro e instalación de ocho (8) puestos de trabajo de la Vicepresidencia de Planeación Riesgos y Entorno, los trabajos deben incluir todo el complemento de los puestos de trabajo como son cajoneras, biblioteca, lockers, puntos de red y datos  </t>
  </si>
  <si>
    <t>Suministro e instalación de  mesas para salas de reuniones, diseño adecuado con los espacios de las salas</t>
  </si>
  <si>
    <t>Suministro e instalación juego citofonos</t>
  </si>
  <si>
    <t>Adecuación de dos (2) salas de reuniones en una sala múltiple con división en madera</t>
  </si>
  <si>
    <t>6.00 x 3.00</t>
  </si>
  <si>
    <t>Suministro y adecuación de mesa de reuniones para sala múltiple de doce personas</t>
  </si>
  <si>
    <t>Suministro e instalación lámparas led</t>
  </si>
  <si>
    <t>Obra civil desmonte e instalacion pared en drywall oficina de correspondencia</t>
  </si>
  <si>
    <t>Retapizado de sillas operativas salas de reuniones</t>
  </si>
  <si>
    <t>Suministro de Sillas Operativas Ergonómicas de siete (7) posiciones           ( según muestra)</t>
  </si>
  <si>
    <t>AGENCIA NACIONAL DE INFRAESTRUCTURA</t>
  </si>
  <si>
    <t>PROCESO DE SELECCIÓN ABREVIADA VJ-VAF-SA-006-2013</t>
  </si>
  <si>
    <t xml:space="preserve">ANEXO 5 OFERTA ECONOMICA </t>
  </si>
  <si>
    <t>IVA</t>
  </si>
  <si>
    <t xml:space="preserve">Aire Acondicionado  Salas de Reuniones Pisos 6 y 7 </t>
  </si>
  <si>
    <t>Subtotal</t>
  </si>
  <si>
    <t>Administracion</t>
  </si>
  <si>
    <t>Imprevistos</t>
  </si>
  <si>
    <t>Utilidad</t>
  </si>
  <si>
    <t>Total</t>
  </si>
  <si>
    <t>MINISTERIO DE TRANSPORTE</t>
  </si>
  <si>
    <t xml:space="preserve">AGENCIA NACIONAL DE INFRAESTRUCTURA </t>
  </si>
  <si>
    <t>PROCESO DE SELECCIÓN  ABREVIADA DE MENOR CUANTIA VJ-VPRE-SA-006-2013</t>
  </si>
  <si>
    <t>RESUMEN EVALUACION FINANCIERA</t>
  </si>
  <si>
    <t>No.</t>
  </si>
  <si>
    <t>Proponente</t>
  </si>
  <si>
    <t>CONSULTORIA E IMAGEN S.A.A</t>
  </si>
  <si>
    <t>UNION TEMPORAL CAJ</t>
  </si>
  <si>
    <t>CONSORCIO CONECTIVA - MODERLINE 2013</t>
  </si>
  <si>
    <t>FAMOC DEPANEL</t>
  </si>
  <si>
    <t>Valor</t>
  </si>
  <si>
    <t>Valor Total + IVA Inluido</t>
  </si>
  <si>
    <t>Valor Unitario + IVA incluido</t>
  </si>
  <si>
    <t>CONSULTORIA E IMAGEN S.A.</t>
  </si>
  <si>
    <t>Diferencia</t>
  </si>
  <si>
    <t xml:space="preserve"> </t>
  </si>
  <si>
    <t>RESUMEN EVALUACION TECNICA Y ECONOMICA</t>
  </si>
  <si>
    <t xml:space="preserve">CRITERIOS DE PONDERACION </t>
  </si>
  <si>
    <t>EVALUACION ECONOMICA</t>
  </si>
  <si>
    <t>EVALUACION TECNICA</t>
  </si>
  <si>
    <t>OFERTA NACIONAL</t>
  </si>
  <si>
    <t>PUNTAJE TOTAL</t>
  </si>
  <si>
    <t>SELECCIÓN ABREVIADA VJ-VPRE-SA-006-2013</t>
  </si>
  <si>
    <t>Numero de Propuestas habilitadas</t>
  </si>
  <si>
    <t>VLR TOTAL DE LA PROPUESTA</t>
  </si>
  <si>
    <t>PUNTAJE</t>
  </si>
  <si>
    <t xml:space="preserve">VALOR ABSOLUTO DE LA DIFERENCIA </t>
  </si>
  <si>
    <t>PUNTAJES ANTES DEL DESCARTE DEL 85% Y 115%</t>
  </si>
  <si>
    <t>MEDIA GEOMETRICA MG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</si>
</sst>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 _P_t_s_-;\-* #,##0\ _P_t_s_-;_-* &quot;-&quot;??\ _P_t_s_-;_-@_-"/>
  </numFmts>
  <fonts count="11" x14ac:knownFonts="1">
    <font>
      <sz val="11"/>
      <color theme="1"/>
      <name val="Calibri"/>
      <family val="2"/>
      <scheme val="minor"/>
    </font>
    <font>
      <sz val="12"/>
      <color theme="1"/>
      <name val="Arial Narrow"/>
      <family val="2"/>
    </font>
    <font>
      <b/>
      <sz val="12"/>
      <color theme="1"/>
      <name val="Arial Narrow"/>
      <family val="2"/>
    </font>
    <font>
      <vertAlign val="superscript"/>
      <sz val="12"/>
      <color theme="1"/>
      <name val="Arial Narrow"/>
      <family val="2"/>
    </font>
    <font>
      <sz val="11"/>
      <color theme="1"/>
      <name val="Calibri"/>
      <family val="2"/>
      <scheme val="minor"/>
    </font>
    <font>
      <b/>
      <sz val="14"/>
      <color theme="1"/>
      <name val="Calibri"/>
      <family val="2"/>
      <scheme val="minor"/>
    </font>
    <font>
      <sz val="10"/>
      <color theme="1"/>
      <name val="Calibri"/>
      <family val="2"/>
      <scheme val="minor"/>
    </font>
    <font>
      <sz val="10"/>
      <color theme="1"/>
      <name val="Arial Narrow"/>
      <family val="2"/>
    </font>
    <font>
      <b/>
      <sz val="10"/>
      <color theme="1"/>
      <name val="Arial Narrow"/>
      <family val="2"/>
    </font>
    <font>
      <b/>
      <sz val="11"/>
      <color theme="1"/>
      <name val="Calibri"/>
      <family val="2"/>
      <scheme val="minor"/>
    </font>
    <font>
      <b/>
      <sz val="10"/>
      <name val="Arial"/>
      <family val="2"/>
    </font>
  </fonts>
  <fills count="3">
    <fill>
      <patternFill patternType="none"/>
    </fill>
    <fill>
      <patternFill patternType="gray125"/>
    </fill>
    <fill>
      <patternFill patternType="solid">
        <fgColor indexed="22"/>
        <bgColor indexed="64"/>
      </patternFill>
    </fill>
  </fills>
  <borders count="26">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164" fontId="4" fillId="0" borderId="0" applyFont="0" applyFill="0" applyBorder="0" applyAlignment="0" applyProtection="0"/>
  </cellStyleXfs>
  <cellXfs count="101">
    <xf numFmtId="0" fontId="0" fillId="0" borderId="0" xfId="0"/>
    <xf numFmtId="0" fontId="1" fillId="0" borderId="0" xfId="0" applyFont="1"/>
    <xf numFmtId="0" fontId="1" fillId="0" borderId="2" xfId="0" applyFont="1" applyBorder="1" applyAlignment="1">
      <alignment horizontal="justify" vertical="top" wrapText="1"/>
    </xf>
    <xf numFmtId="0" fontId="1" fillId="0" borderId="2" xfId="0" applyFont="1" applyBorder="1" applyAlignment="1">
      <alignment vertical="top" wrapText="1"/>
    </xf>
    <xf numFmtId="0" fontId="1" fillId="0" borderId="2" xfId="0" applyFont="1" applyBorder="1" applyAlignment="1">
      <alignment horizontal="center" wrapText="1"/>
    </xf>
    <xf numFmtId="0" fontId="1" fillId="0" borderId="2" xfId="0" applyFont="1" applyBorder="1" applyAlignment="1">
      <alignment wrapText="1"/>
    </xf>
    <xf numFmtId="0" fontId="1" fillId="0" borderId="5" xfId="0" applyFont="1" applyBorder="1" applyAlignment="1">
      <alignment horizontal="justify" vertical="top" wrapText="1"/>
    </xf>
    <xf numFmtId="0" fontId="1" fillId="0" borderId="9" xfId="0" applyFont="1" applyBorder="1" applyAlignment="1">
      <alignment horizontal="justify" vertical="top" wrapText="1"/>
    </xf>
    <xf numFmtId="0" fontId="1" fillId="0" borderId="0" xfId="0" applyFont="1" applyFill="1"/>
    <xf numFmtId="0" fontId="1" fillId="0" borderId="4" xfId="0" applyFont="1" applyFill="1" applyBorder="1" applyAlignment="1">
      <alignment horizontal="center" vertical="top" wrapText="1"/>
    </xf>
    <xf numFmtId="0" fontId="1" fillId="0" borderId="7"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Border="1" applyAlignment="1">
      <alignment horizontal="center" vertical="top" wrapText="1"/>
    </xf>
    <xf numFmtId="0" fontId="1" fillId="0" borderId="2" xfId="0" applyFont="1" applyBorder="1" applyAlignment="1">
      <alignment horizontal="center" vertical="center" wrapText="1"/>
    </xf>
    <xf numFmtId="0" fontId="1" fillId="0" borderId="2" xfId="0" applyFont="1" applyBorder="1"/>
    <xf numFmtId="0" fontId="1" fillId="0" borderId="5" xfId="0" applyFont="1" applyBorder="1" applyAlignment="1">
      <alignment horizontal="center" vertical="top" wrapText="1"/>
    </xf>
    <xf numFmtId="0" fontId="1" fillId="0" borderId="9" xfId="0" applyFont="1" applyBorder="1" applyAlignment="1">
      <alignment horizontal="center" vertical="center" wrapText="1"/>
    </xf>
    <xf numFmtId="164" fontId="2" fillId="0" borderId="2" xfId="1" applyFont="1" applyBorder="1"/>
    <xf numFmtId="164" fontId="1" fillId="0" borderId="2" xfId="0" applyNumberFormat="1" applyFont="1" applyBorder="1"/>
    <xf numFmtId="164" fontId="2" fillId="0" borderId="2" xfId="0" applyNumberFormat="1" applyFont="1" applyBorder="1"/>
    <xf numFmtId="0" fontId="2" fillId="0" borderId="2" xfId="0" applyFont="1" applyBorder="1" applyAlignment="1">
      <alignment horizontal="center"/>
    </xf>
    <xf numFmtId="0" fontId="6"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6" fillId="0" borderId="0" xfId="0" applyFont="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xf>
    <xf numFmtId="0" fontId="7" fillId="0" borderId="2" xfId="0" applyFont="1" applyBorder="1" applyAlignment="1">
      <alignment horizontal="left" vertical="center" wrapText="1"/>
    </xf>
    <xf numFmtId="0" fontId="1" fillId="0" borderId="0" xfId="0" applyFont="1" applyAlignment="1">
      <alignment horizontal="center"/>
    </xf>
    <xf numFmtId="164" fontId="1" fillId="0" borderId="2" xfId="1" applyFont="1" applyBorder="1" applyAlignment="1">
      <alignment horizontal="center" vertical="center"/>
    </xf>
    <xf numFmtId="3" fontId="1" fillId="0" borderId="6" xfId="0" applyNumberFormat="1" applyFont="1" applyBorder="1" applyAlignment="1">
      <alignment horizontal="center" vertical="top" wrapText="1"/>
    </xf>
    <xf numFmtId="3" fontId="1" fillId="0" borderId="8" xfId="0" applyNumberFormat="1" applyFont="1" applyBorder="1" applyAlignment="1">
      <alignment horizontal="center" vertical="top" wrapText="1"/>
    </xf>
    <xf numFmtId="3" fontId="1" fillId="0" borderId="2" xfId="0" applyNumberFormat="1" applyFont="1" applyBorder="1" applyAlignment="1">
      <alignment horizontal="center" wrapText="1"/>
    </xf>
    <xf numFmtId="3" fontId="1" fillId="0" borderId="9" xfId="1" applyNumberFormat="1" applyFont="1" applyBorder="1" applyAlignment="1">
      <alignment horizontal="center" vertical="center" wrapText="1"/>
    </xf>
    <xf numFmtId="3" fontId="1" fillId="0" borderId="5" xfId="0" applyNumberFormat="1" applyFont="1" applyBorder="1" applyAlignment="1">
      <alignment horizontal="center" vertical="top" wrapText="1"/>
    </xf>
    <xf numFmtId="3" fontId="1" fillId="0" borderId="2" xfId="0" applyNumberFormat="1" applyFont="1" applyBorder="1" applyAlignment="1">
      <alignment horizontal="center" vertical="top" wrapText="1"/>
    </xf>
    <xf numFmtId="3" fontId="1" fillId="0" borderId="10" xfId="0" applyNumberFormat="1" applyFont="1" applyBorder="1" applyAlignment="1">
      <alignment horizontal="center"/>
    </xf>
    <xf numFmtId="9" fontId="1" fillId="0" borderId="0" xfId="0" applyNumberFormat="1" applyFont="1"/>
    <xf numFmtId="0" fontId="2" fillId="0" borderId="1" xfId="0" applyFont="1" applyBorder="1" applyAlignment="1">
      <alignment horizontal="center" vertical="center" wrapText="1"/>
    </xf>
    <xf numFmtId="3" fontId="1" fillId="0" borderId="4" xfId="0" applyNumberFormat="1" applyFont="1" applyBorder="1" applyAlignment="1">
      <alignment horizontal="center" vertical="top" wrapText="1"/>
    </xf>
    <xf numFmtId="3" fontId="1" fillId="0" borderId="7" xfId="0" applyNumberFormat="1" applyFont="1" applyBorder="1" applyAlignment="1">
      <alignment horizontal="center" vertical="top" wrapText="1"/>
    </xf>
    <xf numFmtId="3" fontId="1" fillId="0" borderId="7" xfId="0" applyNumberFormat="1" applyFont="1" applyBorder="1" applyAlignment="1">
      <alignment horizontal="center" wrapText="1"/>
    </xf>
    <xf numFmtId="3" fontId="1" fillId="0" borderId="11" xfId="1" applyNumberFormat="1" applyFont="1" applyBorder="1" applyAlignment="1">
      <alignment horizontal="center" vertical="center" wrapText="1"/>
    </xf>
    <xf numFmtId="0" fontId="2" fillId="0" borderId="7" xfId="0" applyFont="1" applyBorder="1" applyAlignment="1">
      <alignment horizontal="center"/>
    </xf>
    <xf numFmtId="164" fontId="2" fillId="0" borderId="8" xfId="1" applyFont="1" applyBorder="1"/>
    <xf numFmtId="0" fontId="1" fillId="0" borderId="7" xfId="0" applyFont="1" applyBorder="1"/>
    <xf numFmtId="164" fontId="1" fillId="0" borderId="8" xfId="0" applyNumberFormat="1" applyFont="1" applyBorder="1"/>
    <xf numFmtId="164" fontId="2" fillId="0" borderId="8" xfId="0" applyNumberFormat="1" applyFont="1" applyBorder="1"/>
    <xf numFmtId="0" fontId="2" fillId="0" borderId="11" xfId="0" applyFont="1" applyBorder="1" applyAlignment="1">
      <alignment horizontal="center"/>
    </xf>
    <xf numFmtId="164" fontId="2" fillId="0" borderId="10" xfId="0" applyNumberFormat="1" applyFont="1" applyBorder="1"/>
    <xf numFmtId="0" fontId="2" fillId="0" borderId="14" xfId="0" applyFont="1" applyBorder="1" applyAlignment="1">
      <alignment horizontal="center" vertical="center" wrapText="1"/>
    </xf>
    <xf numFmtId="3" fontId="1" fillId="0" borderId="0" xfId="0" applyNumberFormat="1" applyFont="1"/>
    <xf numFmtId="0" fontId="2" fillId="0" borderId="0" xfId="0" applyFont="1" applyAlignment="1">
      <alignment horizontal="center"/>
    </xf>
    <xf numFmtId="0" fontId="1" fillId="0" borderId="7" xfId="0" applyFont="1" applyFill="1" applyBorder="1" applyAlignment="1">
      <alignment horizontal="center" vertical="center" wrapText="1"/>
    </xf>
    <xf numFmtId="0" fontId="1" fillId="0" borderId="0" xfId="0" applyFont="1" applyFill="1" applyAlignment="1">
      <alignment horizontal="center" vertical="center" wrapText="1"/>
    </xf>
    <xf numFmtId="3" fontId="1" fillId="0" borderId="2" xfId="0" applyNumberFormat="1" applyFont="1" applyBorder="1" applyAlignment="1">
      <alignment horizontal="center" vertical="center" wrapText="1"/>
    </xf>
    <xf numFmtId="3" fontId="1" fillId="0" borderId="8"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0" fontId="1" fillId="0" borderId="2" xfId="0" applyFont="1" applyBorder="1" applyAlignment="1">
      <alignment horizontal="center"/>
    </xf>
    <xf numFmtId="0" fontId="2" fillId="0" borderId="7" xfId="0" applyFont="1" applyBorder="1" applyAlignment="1">
      <alignment horizontal="left"/>
    </xf>
    <xf numFmtId="0" fontId="1" fillId="0" borderId="8" xfId="0" applyFont="1" applyBorder="1" applyAlignment="1">
      <alignment horizontal="center"/>
    </xf>
    <xf numFmtId="0" fontId="2" fillId="0" borderId="17" xfId="0" applyFont="1" applyBorder="1" applyAlignment="1">
      <alignment horizontal="left"/>
    </xf>
    <xf numFmtId="0" fontId="1" fillId="0" borderId="18" xfId="0" applyFont="1" applyBorder="1" applyAlignment="1">
      <alignment horizontal="center"/>
    </xf>
    <xf numFmtId="0" fontId="1" fillId="0" borderId="19" xfId="0" applyFont="1" applyBorder="1" applyAlignment="1">
      <alignment horizontal="center"/>
    </xf>
    <xf numFmtId="0" fontId="2" fillId="0" borderId="20" xfId="0" applyFont="1" applyBorder="1" applyAlignment="1">
      <alignment horizontal="center"/>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2" fillId="0" borderId="23" xfId="0" applyFont="1" applyBorder="1" applyAlignment="1">
      <alignment horizontal="left"/>
    </xf>
    <xf numFmtId="0" fontId="1" fillId="0" borderId="24" xfId="0" applyFont="1" applyBorder="1" applyAlignment="1">
      <alignment horizontal="center"/>
    </xf>
    <xf numFmtId="0" fontId="1" fillId="0" borderId="25" xfId="0" applyFont="1" applyBorder="1" applyAlignment="1">
      <alignment horizontal="center"/>
    </xf>
    <xf numFmtId="0" fontId="2" fillId="0" borderId="21" xfId="0" applyFont="1" applyBorder="1" applyAlignment="1">
      <alignment horizontal="center"/>
    </xf>
    <xf numFmtId="164" fontId="1" fillId="0" borderId="0" xfId="1" applyFont="1"/>
    <xf numFmtId="164" fontId="1" fillId="0" borderId="0" xfId="0" applyNumberFormat="1" applyFont="1"/>
    <xf numFmtId="0" fontId="10" fillId="0" borderId="0" xfId="0" applyFont="1"/>
    <xf numFmtId="0" fontId="10" fillId="2" borderId="0" xfId="0" applyFont="1" applyFill="1"/>
    <xf numFmtId="0" fontId="0" fillId="0" borderId="20" xfId="0" applyBorder="1"/>
    <xf numFmtId="0" fontId="10" fillId="0" borderId="21" xfId="0" applyFont="1" applyBorder="1" applyAlignment="1">
      <alignment horizontal="center" wrapText="1"/>
    </xf>
    <xf numFmtId="0" fontId="10" fillId="0" borderId="22" xfId="0" applyFont="1" applyBorder="1" applyAlignment="1">
      <alignment horizontal="center" wrapText="1"/>
    </xf>
    <xf numFmtId="165" fontId="0" fillId="0" borderId="2" xfId="1" applyNumberFormat="1" applyFont="1" applyBorder="1" applyAlignment="1">
      <alignment horizontal="right"/>
    </xf>
    <xf numFmtId="2" fontId="0" fillId="0" borderId="2" xfId="0" applyNumberFormat="1" applyBorder="1"/>
    <xf numFmtId="165" fontId="0" fillId="0" borderId="2" xfId="0" applyNumberFormat="1" applyBorder="1"/>
    <xf numFmtId="2" fontId="0" fillId="0" borderId="8" xfId="0" applyNumberFormat="1" applyBorder="1"/>
    <xf numFmtId="0" fontId="10" fillId="0" borderId="0" xfId="0" applyFont="1" applyFill="1" applyBorder="1"/>
    <xf numFmtId="165" fontId="0" fillId="0" borderId="0" xfId="1" applyNumberFormat="1" applyFont="1" applyAlignment="1">
      <alignment horizontal="right"/>
    </xf>
    <xf numFmtId="2" fontId="0" fillId="0" borderId="0" xfId="0" applyNumberFormat="1" applyBorder="1"/>
    <xf numFmtId="165" fontId="0" fillId="0" borderId="0" xfId="0" applyNumberFormat="1"/>
    <xf numFmtId="2" fontId="0" fillId="0" borderId="0" xfId="0" applyNumberFormat="1"/>
    <xf numFmtId="164" fontId="9" fillId="0" borderId="0" xfId="1" applyFont="1"/>
    <xf numFmtId="0" fontId="10" fillId="0" borderId="21" xfId="0" applyFont="1" applyBorder="1" applyAlignment="1">
      <alignment wrapText="1"/>
    </xf>
    <xf numFmtId="0" fontId="10" fillId="0" borderId="21" xfId="0" applyFont="1" applyBorder="1" applyAlignment="1">
      <alignment horizont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0" xfId="0" applyFont="1" applyAlignment="1">
      <alignment horizontal="center"/>
    </xf>
    <xf numFmtId="0" fontId="5" fillId="0" borderId="0" xfId="0" applyFont="1" applyAlignment="1">
      <alignment horizontal="center"/>
    </xf>
    <xf numFmtId="0" fontId="10" fillId="0" borderId="0" xfId="0" applyFont="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tabSelected="1" topLeftCell="C19" workbookViewId="0">
      <selection activeCell="O51" sqref="O51"/>
    </sheetView>
  </sheetViews>
  <sheetFormatPr baseColWidth="10" defaultRowHeight="15.75" x14ac:dyDescent="0.25"/>
  <cols>
    <col min="1" max="1" width="4.85546875" style="8" bestFit="1" customWidth="1"/>
    <col min="2" max="2" width="65.42578125" style="1" customWidth="1"/>
    <col min="3" max="3" width="16.28515625" style="1" customWidth="1"/>
    <col min="4" max="4" width="8.85546875" style="1" bestFit="1" customWidth="1"/>
    <col min="5" max="5" width="13.42578125" style="1" bestFit="1" customWidth="1"/>
    <col min="6" max="6" width="16.28515625" style="1" bestFit="1" customWidth="1"/>
    <col min="7" max="7" width="1.5703125" style="1" customWidth="1"/>
    <col min="8" max="8" width="14" style="1" customWidth="1"/>
    <col min="9" max="9" width="14.85546875" style="1" bestFit="1" customWidth="1"/>
    <col min="10" max="10" width="15.42578125" style="1" bestFit="1" customWidth="1"/>
    <col min="11" max="11" width="11.42578125" style="1"/>
    <col min="12" max="12" width="14.85546875" style="1" bestFit="1" customWidth="1"/>
    <col min="13" max="13" width="15.42578125" style="1" bestFit="1" customWidth="1"/>
    <col min="14" max="14" width="11.42578125" style="1"/>
    <col min="15" max="15" width="14.85546875" style="1" bestFit="1" customWidth="1"/>
    <col min="16" max="16" width="15.42578125" style="1" bestFit="1" customWidth="1"/>
    <col min="17" max="17" width="11.42578125" style="1"/>
    <col min="18" max="18" width="14.85546875" style="1" bestFit="1" customWidth="1"/>
    <col min="19" max="19" width="15.42578125" style="1" bestFit="1" customWidth="1"/>
    <col min="20" max="16384" width="11.42578125" style="1"/>
  </cols>
  <sheetData>
    <row r="1" spans="1:19" x14ac:dyDescent="0.25">
      <c r="A1" s="98" t="s">
        <v>55</v>
      </c>
      <c r="B1" s="98"/>
      <c r="C1" s="98"/>
      <c r="D1" s="98"/>
      <c r="E1" s="98"/>
      <c r="F1" s="98"/>
    </row>
    <row r="2" spans="1:19" x14ac:dyDescent="0.25">
      <c r="A2" s="98" t="s">
        <v>56</v>
      </c>
      <c r="B2" s="98"/>
      <c r="C2" s="98"/>
      <c r="D2" s="98"/>
      <c r="E2" s="98"/>
      <c r="F2" s="98"/>
    </row>
    <row r="3" spans="1:19" ht="16.5" thickBot="1" x14ac:dyDescent="0.3">
      <c r="A3" s="98" t="s">
        <v>57</v>
      </c>
      <c r="B3" s="98"/>
      <c r="C3" s="98"/>
      <c r="D3" s="98"/>
      <c r="E3" s="98"/>
      <c r="F3" s="98"/>
    </row>
    <row r="4" spans="1:19" ht="39" customHeight="1" thickBot="1" x14ac:dyDescent="0.3">
      <c r="H4" s="96" t="s">
        <v>78</v>
      </c>
      <c r="I4" s="97"/>
      <c r="K4" s="96" t="s">
        <v>72</v>
      </c>
      <c r="L4" s="97"/>
      <c r="M4" s="1" t="s">
        <v>80</v>
      </c>
      <c r="N4" s="96" t="s">
        <v>73</v>
      </c>
      <c r="O4" s="97"/>
      <c r="P4" s="1" t="s">
        <v>80</v>
      </c>
      <c r="Q4" s="96" t="s">
        <v>74</v>
      </c>
      <c r="R4" s="97"/>
      <c r="S4" s="1" t="s">
        <v>80</v>
      </c>
    </row>
    <row r="5" spans="1:19" ht="63.75" thickBot="1" x14ac:dyDescent="0.3">
      <c r="A5" s="11" t="s">
        <v>0</v>
      </c>
      <c r="B5" s="12" t="s">
        <v>1</v>
      </c>
      <c r="C5" s="12" t="s">
        <v>2</v>
      </c>
      <c r="D5" s="12" t="s">
        <v>3</v>
      </c>
      <c r="E5" s="12" t="s">
        <v>77</v>
      </c>
      <c r="F5" s="12" t="s">
        <v>76</v>
      </c>
      <c r="H5" s="41" t="s">
        <v>77</v>
      </c>
      <c r="I5" s="12" t="s">
        <v>76</v>
      </c>
      <c r="J5" s="53" t="s">
        <v>79</v>
      </c>
      <c r="K5" s="41" t="s">
        <v>77</v>
      </c>
      <c r="L5" s="12" t="s">
        <v>76</v>
      </c>
      <c r="M5" s="53" t="s">
        <v>79</v>
      </c>
      <c r="N5" s="41" t="s">
        <v>77</v>
      </c>
      <c r="O5" s="12" t="s">
        <v>76</v>
      </c>
      <c r="P5" s="53" t="s">
        <v>79</v>
      </c>
      <c r="Q5" s="41" t="s">
        <v>77</v>
      </c>
      <c r="R5" s="12" t="s">
        <v>76</v>
      </c>
      <c r="S5" s="53" t="s">
        <v>79</v>
      </c>
    </row>
    <row r="6" spans="1:19" x14ac:dyDescent="0.25">
      <c r="A6" s="9">
        <v>1</v>
      </c>
      <c r="B6" s="6" t="s">
        <v>4</v>
      </c>
      <c r="C6" s="6" t="s">
        <v>5</v>
      </c>
      <c r="D6" s="17">
        <v>1</v>
      </c>
      <c r="E6" s="37">
        <v>1500000</v>
      </c>
      <c r="F6" s="33">
        <f>D6*E6</f>
        <v>1500000</v>
      </c>
      <c r="H6" s="42">
        <v>1500000</v>
      </c>
      <c r="I6" s="33">
        <f>D6*H6</f>
        <v>1500000</v>
      </c>
      <c r="J6" s="54">
        <f>I6-F6</f>
        <v>0</v>
      </c>
      <c r="K6" s="61">
        <v>1453500</v>
      </c>
      <c r="L6" s="62">
        <f>D6*K6</f>
        <v>1453500</v>
      </c>
      <c r="M6" s="54">
        <f>L6-F6</f>
        <v>-46500</v>
      </c>
      <c r="N6" s="61">
        <v>1444200</v>
      </c>
      <c r="O6" s="62">
        <f>D6*N6</f>
        <v>1444200</v>
      </c>
      <c r="P6" s="54">
        <f>O6-F6</f>
        <v>-55800</v>
      </c>
      <c r="Q6" s="61">
        <v>1499250</v>
      </c>
      <c r="R6" s="62">
        <f>D6*Q6</f>
        <v>1499250</v>
      </c>
      <c r="S6" s="54">
        <f>R6-F6</f>
        <v>-750</v>
      </c>
    </row>
    <row r="7" spans="1:19" x14ac:dyDescent="0.25">
      <c r="A7" s="10">
        <v>2</v>
      </c>
      <c r="B7" s="2" t="s">
        <v>6</v>
      </c>
      <c r="C7" s="2" t="s">
        <v>7</v>
      </c>
      <c r="D7" s="14">
        <v>1</v>
      </c>
      <c r="E7" s="38">
        <v>1500000</v>
      </c>
      <c r="F7" s="34">
        <f>D7*E7</f>
        <v>1500000</v>
      </c>
      <c r="H7" s="43">
        <v>1500000</v>
      </c>
      <c r="I7" s="34">
        <f>D7*H7</f>
        <v>1500000</v>
      </c>
      <c r="J7" s="54">
        <f>I7-F7</f>
        <v>0</v>
      </c>
      <c r="K7" s="60">
        <v>1453500</v>
      </c>
      <c r="L7" s="59">
        <f>D7*K7</f>
        <v>1453500</v>
      </c>
      <c r="M7" s="54">
        <f>L7-F7</f>
        <v>-46500</v>
      </c>
      <c r="N7" s="60">
        <v>1444200</v>
      </c>
      <c r="O7" s="59">
        <f>D7*N7</f>
        <v>1444200</v>
      </c>
      <c r="P7" s="54">
        <f>O7-F7</f>
        <v>-55800</v>
      </c>
      <c r="Q7" s="60">
        <v>1499250</v>
      </c>
      <c r="R7" s="59">
        <f>D7*Q7</f>
        <v>1499250</v>
      </c>
      <c r="S7" s="54">
        <f>R7-F7</f>
        <v>-750</v>
      </c>
    </row>
    <row r="8" spans="1:19" x14ac:dyDescent="0.25">
      <c r="A8" s="10">
        <v>3</v>
      </c>
      <c r="B8" s="2" t="s">
        <v>8</v>
      </c>
      <c r="C8" s="2" t="s">
        <v>9</v>
      </c>
      <c r="D8" s="14">
        <v>3</v>
      </c>
      <c r="E8" s="38">
        <v>1100000</v>
      </c>
      <c r="F8" s="34">
        <f t="shared" ref="F8:F44" si="0">D8*E8</f>
        <v>3300000</v>
      </c>
      <c r="H8" s="43">
        <v>1100000</v>
      </c>
      <c r="I8" s="34">
        <f t="shared" ref="I8:I44" si="1">D8*H8</f>
        <v>3300000</v>
      </c>
      <c r="J8" s="54">
        <f t="shared" ref="J8:J45" si="2">I8-F8</f>
        <v>0</v>
      </c>
      <c r="K8" s="60">
        <f>918879+147021</f>
        <v>1065900</v>
      </c>
      <c r="L8" s="59">
        <f t="shared" ref="L8:L44" si="3">D8*K8</f>
        <v>3197700</v>
      </c>
      <c r="M8" s="54">
        <f t="shared" ref="M8:M45" si="4">L8-F8</f>
        <v>-102300</v>
      </c>
      <c r="N8" s="60">
        <v>1059080</v>
      </c>
      <c r="O8" s="59">
        <f t="shared" ref="O8:O44" si="5">D8*N8</f>
        <v>3177240</v>
      </c>
      <c r="P8" s="54">
        <f t="shared" ref="P8:P45" si="6">O8-F8</f>
        <v>-122760</v>
      </c>
      <c r="Q8" s="60">
        <v>1099450</v>
      </c>
      <c r="R8" s="59">
        <f t="shared" ref="R8:R44" si="7">D8*Q8</f>
        <v>3298350</v>
      </c>
      <c r="S8" s="54">
        <f t="shared" ref="S8:S45" si="8">R8-F8</f>
        <v>-1650</v>
      </c>
    </row>
    <row r="9" spans="1:19" x14ac:dyDescent="0.25">
      <c r="A9" s="10">
        <v>4</v>
      </c>
      <c r="B9" s="2" t="s">
        <v>10</v>
      </c>
      <c r="C9" s="2" t="s">
        <v>11</v>
      </c>
      <c r="D9" s="14">
        <v>1</v>
      </c>
      <c r="E9" s="38">
        <v>3000000</v>
      </c>
      <c r="F9" s="34">
        <f t="shared" si="0"/>
        <v>3000000</v>
      </c>
      <c r="H9" s="43">
        <v>3000000</v>
      </c>
      <c r="I9" s="34">
        <f t="shared" si="1"/>
        <v>3000000</v>
      </c>
      <c r="J9" s="54">
        <f t="shared" si="2"/>
        <v>0</v>
      </c>
      <c r="K9" s="60">
        <v>2907000</v>
      </c>
      <c r="L9" s="59">
        <f t="shared" si="3"/>
        <v>2907000</v>
      </c>
      <c r="M9" s="54">
        <f t="shared" si="4"/>
        <v>-93000</v>
      </c>
      <c r="N9" s="60">
        <v>2888400</v>
      </c>
      <c r="O9" s="59">
        <f t="shared" si="5"/>
        <v>2888400</v>
      </c>
      <c r="P9" s="54">
        <f t="shared" si="6"/>
        <v>-111600</v>
      </c>
      <c r="Q9" s="60">
        <v>2998500</v>
      </c>
      <c r="R9" s="59">
        <f t="shared" si="7"/>
        <v>2998500</v>
      </c>
      <c r="S9" s="54">
        <f t="shared" si="8"/>
        <v>-1500</v>
      </c>
    </row>
    <row r="10" spans="1:19" ht="18.75" x14ac:dyDescent="0.25">
      <c r="A10" s="10">
        <v>5</v>
      </c>
      <c r="B10" s="2" t="s">
        <v>12</v>
      </c>
      <c r="C10" s="3" t="s">
        <v>13</v>
      </c>
      <c r="D10" s="14">
        <f>10*10</f>
        <v>100</v>
      </c>
      <c r="E10" s="38">
        <v>95000</v>
      </c>
      <c r="F10" s="34">
        <f t="shared" si="0"/>
        <v>9500000</v>
      </c>
      <c r="H10" s="43">
        <v>95000</v>
      </c>
      <c r="I10" s="34">
        <f t="shared" si="1"/>
        <v>9500000</v>
      </c>
      <c r="J10" s="54">
        <f t="shared" si="2"/>
        <v>0</v>
      </c>
      <c r="K10" s="60">
        <f>79358+12697</f>
        <v>92055</v>
      </c>
      <c r="L10" s="59">
        <f t="shared" si="3"/>
        <v>9205500</v>
      </c>
      <c r="M10" s="54">
        <f t="shared" si="4"/>
        <v>-294500</v>
      </c>
      <c r="N10" s="60">
        <v>91466</v>
      </c>
      <c r="O10" s="59">
        <f t="shared" si="5"/>
        <v>9146600</v>
      </c>
      <c r="P10" s="54">
        <f t="shared" si="6"/>
        <v>-353400</v>
      </c>
      <c r="Q10" s="60">
        <v>94953</v>
      </c>
      <c r="R10" s="59">
        <f t="shared" si="7"/>
        <v>9495300</v>
      </c>
      <c r="S10" s="54">
        <f t="shared" si="8"/>
        <v>-4700</v>
      </c>
    </row>
    <row r="11" spans="1:19" ht="18.75" x14ac:dyDescent="0.25">
      <c r="A11" s="10">
        <v>6</v>
      </c>
      <c r="B11" s="2" t="s">
        <v>14</v>
      </c>
      <c r="C11" s="3" t="s">
        <v>15</v>
      </c>
      <c r="D11" s="14">
        <f>1*100</f>
        <v>100</v>
      </c>
      <c r="E11" s="38">
        <v>102000</v>
      </c>
      <c r="F11" s="34">
        <f t="shared" si="0"/>
        <v>10200000</v>
      </c>
      <c r="H11" s="43">
        <v>102000</v>
      </c>
      <c r="I11" s="34">
        <f t="shared" si="1"/>
        <v>10200000</v>
      </c>
      <c r="J11" s="54">
        <f t="shared" si="2"/>
        <v>0</v>
      </c>
      <c r="K11" s="60">
        <f>85205+13633</f>
        <v>98838</v>
      </c>
      <c r="L11" s="59">
        <f t="shared" si="3"/>
        <v>9883800</v>
      </c>
      <c r="M11" s="54">
        <f t="shared" si="4"/>
        <v>-316200</v>
      </c>
      <c r="N11" s="60">
        <v>98206</v>
      </c>
      <c r="O11" s="59">
        <f t="shared" si="5"/>
        <v>9820600</v>
      </c>
      <c r="P11" s="54">
        <f t="shared" si="6"/>
        <v>-379400</v>
      </c>
      <c r="Q11" s="60">
        <v>101949</v>
      </c>
      <c r="R11" s="59">
        <f t="shared" si="7"/>
        <v>10194900</v>
      </c>
      <c r="S11" s="54">
        <f t="shared" si="8"/>
        <v>-5100</v>
      </c>
    </row>
    <row r="12" spans="1:19" ht="18.75" x14ac:dyDescent="0.25">
      <c r="A12" s="10">
        <v>7</v>
      </c>
      <c r="B12" s="2" t="s">
        <v>16</v>
      </c>
      <c r="C12" s="5" t="s">
        <v>13</v>
      </c>
      <c r="D12" s="4">
        <f>13*10</f>
        <v>130</v>
      </c>
      <c r="E12" s="35">
        <v>95000</v>
      </c>
      <c r="F12" s="34">
        <f t="shared" si="0"/>
        <v>12350000</v>
      </c>
      <c r="H12" s="44">
        <v>95000</v>
      </c>
      <c r="I12" s="34">
        <f t="shared" si="1"/>
        <v>12350000</v>
      </c>
      <c r="J12" s="54">
        <f t="shared" si="2"/>
        <v>0</v>
      </c>
      <c r="K12" s="60">
        <f>79358+12697</f>
        <v>92055</v>
      </c>
      <c r="L12" s="59">
        <f t="shared" si="3"/>
        <v>11967150</v>
      </c>
      <c r="M12" s="54">
        <f t="shared" si="4"/>
        <v>-382850</v>
      </c>
      <c r="N12" s="60">
        <v>91466</v>
      </c>
      <c r="O12" s="59">
        <f t="shared" si="5"/>
        <v>11890580</v>
      </c>
      <c r="P12" s="54">
        <f t="shared" si="6"/>
        <v>-459420</v>
      </c>
      <c r="Q12" s="60">
        <v>94953</v>
      </c>
      <c r="R12" s="59">
        <f t="shared" si="7"/>
        <v>12343890</v>
      </c>
      <c r="S12" s="54">
        <f t="shared" si="8"/>
        <v>-6110</v>
      </c>
    </row>
    <row r="13" spans="1:19" ht="18.75" x14ac:dyDescent="0.25">
      <c r="A13" s="10">
        <v>8</v>
      </c>
      <c r="B13" s="2" t="s">
        <v>17</v>
      </c>
      <c r="C13" s="3" t="s">
        <v>15</v>
      </c>
      <c r="D13" s="14">
        <f>1*100</f>
        <v>100</v>
      </c>
      <c r="E13" s="38">
        <v>70000</v>
      </c>
      <c r="F13" s="34">
        <f t="shared" si="0"/>
        <v>7000000</v>
      </c>
      <c r="H13" s="43">
        <v>70000</v>
      </c>
      <c r="I13" s="34">
        <f t="shared" si="1"/>
        <v>7000000</v>
      </c>
      <c r="J13" s="54">
        <f t="shared" si="2"/>
        <v>0</v>
      </c>
      <c r="K13" s="60">
        <f>58474+9356</f>
        <v>67830</v>
      </c>
      <c r="L13" s="59">
        <f t="shared" si="3"/>
        <v>6783000</v>
      </c>
      <c r="M13" s="54">
        <f t="shared" si="4"/>
        <v>-217000</v>
      </c>
      <c r="N13" s="60">
        <v>67396</v>
      </c>
      <c r="O13" s="59">
        <f t="shared" si="5"/>
        <v>6739600</v>
      </c>
      <c r="P13" s="54">
        <f t="shared" si="6"/>
        <v>-260400</v>
      </c>
      <c r="Q13" s="60">
        <v>69965</v>
      </c>
      <c r="R13" s="59">
        <f t="shared" si="7"/>
        <v>6996500</v>
      </c>
      <c r="S13" s="54">
        <f t="shared" si="8"/>
        <v>-3500</v>
      </c>
    </row>
    <row r="14" spans="1:19" ht="78.75" x14ac:dyDescent="0.25">
      <c r="A14" s="56">
        <v>9</v>
      </c>
      <c r="B14" s="2" t="s">
        <v>18</v>
      </c>
      <c r="C14" s="3"/>
      <c r="D14" s="15">
        <f>1*4</f>
        <v>4</v>
      </c>
      <c r="E14" s="58">
        <v>2500000</v>
      </c>
      <c r="F14" s="59">
        <f t="shared" si="0"/>
        <v>10000000</v>
      </c>
      <c r="H14" s="60">
        <v>2300000</v>
      </c>
      <c r="I14" s="59">
        <f t="shared" si="1"/>
        <v>9200000</v>
      </c>
      <c r="J14" s="54">
        <f t="shared" si="2"/>
        <v>-800000</v>
      </c>
      <c r="K14" s="60">
        <f>2088362+334138</f>
        <v>2422500</v>
      </c>
      <c r="L14" s="59">
        <f t="shared" si="3"/>
        <v>9690000</v>
      </c>
      <c r="M14" s="54">
        <f t="shared" si="4"/>
        <v>-310000</v>
      </c>
      <c r="N14" s="60">
        <v>2407000</v>
      </c>
      <c r="O14" s="59">
        <f t="shared" si="5"/>
        <v>9628000</v>
      </c>
      <c r="P14" s="54">
        <f t="shared" si="6"/>
        <v>-372000</v>
      </c>
      <c r="Q14" s="60">
        <v>2498750</v>
      </c>
      <c r="R14" s="59">
        <f t="shared" si="7"/>
        <v>9995000</v>
      </c>
      <c r="S14" s="54">
        <f t="shared" si="8"/>
        <v>-5000</v>
      </c>
    </row>
    <row r="15" spans="1:19" ht="63" x14ac:dyDescent="0.25">
      <c r="A15" s="56">
        <v>10</v>
      </c>
      <c r="B15" s="2" t="s">
        <v>19</v>
      </c>
      <c r="C15" s="3"/>
      <c r="D15" s="15">
        <f>1*10</f>
        <v>10</v>
      </c>
      <c r="E15" s="58">
        <v>2500000</v>
      </c>
      <c r="F15" s="59">
        <f t="shared" si="0"/>
        <v>25000000</v>
      </c>
      <c r="H15" s="60">
        <v>2300000</v>
      </c>
      <c r="I15" s="59">
        <f t="shared" si="1"/>
        <v>23000000</v>
      </c>
      <c r="J15" s="54">
        <f t="shared" si="2"/>
        <v>-2000000</v>
      </c>
      <c r="K15" s="60">
        <f>2088362+334138</f>
        <v>2422500</v>
      </c>
      <c r="L15" s="59">
        <f t="shared" si="3"/>
        <v>24225000</v>
      </c>
      <c r="M15" s="54">
        <f t="shared" si="4"/>
        <v>-775000</v>
      </c>
      <c r="N15" s="60">
        <v>2407000</v>
      </c>
      <c r="O15" s="59">
        <f t="shared" si="5"/>
        <v>24070000</v>
      </c>
      <c r="P15" s="54">
        <f t="shared" si="6"/>
        <v>-930000</v>
      </c>
      <c r="Q15" s="60">
        <v>2498750</v>
      </c>
      <c r="R15" s="59">
        <f t="shared" si="7"/>
        <v>24987500</v>
      </c>
      <c r="S15" s="54">
        <f t="shared" si="8"/>
        <v>-12500</v>
      </c>
    </row>
    <row r="16" spans="1:19" ht="31.5" x14ac:dyDescent="0.25">
      <c r="A16" s="56">
        <v>11</v>
      </c>
      <c r="B16" s="2" t="s">
        <v>20</v>
      </c>
      <c r="C16" s="15" t="s">
        <v>21</v>
      </c>
      <c r="D16" s="4">
        <v>21</v>
      </c>
      <c r="E16" s="58">
        <v>550000</v>
      </c>
      <c r="F16" s="34">
        <f t="shared" si="0"/>
        <v>11550000</v>
      </c>
      <c r="H16" s="60">
        <v>520000</v>
      </c>
      <c r="I16" s="59">
        <f t="shared" si="1"/>
        <v>10920000</v>
      </c>
      <c r="J16" s="54">
        <f t="shared" si="2"/>
        <v>-630000</v>
      </c>
      <c r="K16" s="60">
        <f>459440+73510</f>
        <v>532950</v>
      </c>
      <c r="L16" s="59">
        <f t="shared" si="3"/>
        <v>11191950</v>
      </c>
      <c r="M16" s="54">
        <f t="shared" si="4"/>
        <v>-358050</v>
      </c>
      <c r="N16" s="60">
        <v>529540</v>
      </c>
      <c r="O16" s="59">
        <f t="shared" si="5"/>
        <v>11120340</v>
      </c>
      <c r="P16" s="54">
        <f t="shared" si="6"/>
        <v>-429660</v>
      </c>
      <c r="Q16" s="60">
        <v>549725</v>
      </c>
      <c r="R16" s="59">
        <f t="shared" si="7"/>
        <v>11544225</v>
      </c>
      <c r="S16" s="54">
        <f t="shared" si="8"/>
        <v>-5775</v>
      </c>
    </row>
    <row r="17" spans="1:19" ht="18.75" x14ac:dyDescent="0.25">
      <c r="A17" s="56">
        <v>12</v>
      </c>
      <c r="B17" s="2" t="s">
        <v>22</v>
      </c>
      <c r="C17" s="4" t="s">
        <v>23</v>
      </c>
      <c r="D17" s="4">
        <f>13*100</f>
        <v>1300</v>
      </c>
      <c r="E17" s="58">
        <v>12950</v>
      </c>
      <c r="F17" s="34">
        <f t="shared" si="0"/>
        <v>16835000</v>
      </c>
      <c r="H17" s="44">
        <v>12500</v>
      </c>
      <c r="I17" s="34">
        <f t="shared" si="1"/>
        <v>16250000</v>
      </c>
      <c r="J17" s="54">
        <f t="shared" si="2"/>
        <v>-585000</v>
      </c>
      <c r="K17" s="60">
        <f>10818+1731</f>
        <v>12549</v>
      </c>
      <c r="L17" s="59">
        <f t="shared" si="3"/>
        <v>16313700</v>
      </c>
      <c r="M17" s="54">
        <f t="shared" si="4"/>
        <v>-521300</v>
      </c>
      <c r="N17" s="60">
        <v>12468</v>
      </c>
      <c r="O17" s="59">
        <f t="shared" si="5"/>
        <v>16208400</v>
      </c>
      <c r="P17" s="54">
        <f t="shared" si="6"/>
        <v>-626600</v>
      </c>
      <c r="Q17" s="60">
        <v>12944</v>
      </c>
      <c r="R17" s="59">
        <f t="shared" si="7"/>
        <v>16827200</v>
      </c>
      <c r="S17" s="54">
        <f t="shared" si="8"/>
        <v>-7800</v>
      </c>
    </row>
    <row r="18" spans="1:19" x14ac:dyDescent="0.25">
      <c r="A18" s="10">
        <v>13</v>
      </c>
      <c r="B18" s="2" t="s">
        <v>24</v>
      </c>
      <c r="C18" s="4"/>
      <c r="D18" s="4">
        <v>1</v>
      </c>
      <c r="E18" s="35">
        <v>200000</v>
      </c>
      <c r="F18" s="34">
        <f t="shared" si="0"/>
        <v>200000</v>
      </c>
      <c r="H18" s="44">
        <v>200000</v>
      </c>
      <c r="I18" s="34">
        <f t="shared" si="1"/>
        <v>200000</v>
      </c>
      <c r="J18" s="54">
        <f t="shared" si="2"/>
        <v>0</v>
      </c>
      <c r="K18" s="60">
        <f>16707+2673</f>
        <v>19380</v>
      </c>
      <c r="L18" s="59">
        <f t="shared" si="3"/>
        <v>19380</v>
      </c>
      <c r="M18" s="54">
        <f t="shared" si="4"/>
        <v>-180620</v>
      </c>
      <c r="N18" s="60">
        <v>192560</v>
      </c>
      <c r="O18" s="59">
        <f t="shared" si="5"/>
        <v>192560</v>
      </c>
      <c r="P18" s="54">
        <f t="shared" si="6"/>
        <v>-7440</v>
      </c>
      <c r="Q18" s="60">
        <v>199900</v>
      </c>
      <c r="R18" s="59">
        <f t="shared" si="7"/>
        <v>199900</v>
      </c>
      <c r="S18" s="54">
        <f t="shared" si="8"/>
        <v>-100</v>
      </c>
    </row>
    <row r="19" spans="1:19" ht="31.5" x14ac:dyDescent="0.25">
      <c r="A19" s="56">
        <v>14</v>
      </c>
      <c r="B19" s="2" t="s">
        <v>25</v>
      </c>
      <c r="C19" s="4"/>
      <c r="D19" s="4">
        <v>6</v>
      </c>
      <c r="E19" s="35">
        <v>250000</v>
      </c>
      <c r="F19" s="34">
        <f t="shared" si="0"/>
        <v>1500000</v>
      </c>
      <c r="H19" s="60">
        <v>250000</v>
      </c>
      <c r="I19" s="59">
        <f t="shared" si="1"/>
        <v>1500000</v>
      </c>
      <c r="J19" s="54">
        <f t="shared" si="2"/>
        <v>0</v>
      </c>
      <c r="K19" s="60">
        <f>208836+33414</f>
        <v>242250</v>
      </c>
      <c r="L19" s="59">
        <f t="shared" si="3"/>
        <v>1453500</v>
      </c>
      <c r="M19" s="54">
        <f t="shared" si="4"/>
        <v>-46500</v>
      </c>
      <c r="N19" s="60">
        <v>240700</v>
      </c>
      <c r="O19" s="59">
        <f t="shared" si="5"/>
        <v>1444200</v>
      </c>
      <c r="P19" s="54">
        <f t="shared" si="6"/>
        <v>-55800</v>
      </c>
      <c r="Q19" s="60">
        <v>249875</v>
      </c>
      <c r="R19" s="59">
        <f t="shared" si="7"/>
        <v>1499250</v>
      </c>
      <c r="S19" s="54">
        <f t="shared" si="8"/>
        <v>-750</v>
      </c>
    </row>
    <row r="20" spans="1:19" ht="31.5" x14ac:dyDescent="0.25">
      <c r="A20" s="56">
        <v>15</v>
      </c>
      <c r="B20" s="2" t="s">
        <v>52</v>
      </c>
      <c r="C20" s="15" t="s">
        <v>26</v>
      </c>
      <c r="D20" s="4">
        <f>1*21</f>
        <v>21</v>
      </c>
      <c r="E20" s="35">
        <v>350000</v>
      </c>
      <c r="F20" s="34">
        <f t="shared" si="0"/>
        <v>7350000</v>
      </c>
      <c r="H20" s="60">
        <v>310000</v>
      </c>
      <c r="I20" s="59">
        <f t="shared" si="1"/>
        <v>6510000</v>
      </c>
      <c r="J20" s="54">
        <f t="shared" si="2"/>
        <v>-840000</v>
      </c>
      <c r="K20" s="60">
        <f>292371+46779</f>
        <v>339150</v>
      </c>
      <c r="L20" s="59">
        <f t="shared" si="3"/>
        <v>7122150</v>
      </c>
      <c r="M20" s="54">
        <f t="shared" si="4"/>
        <v>-227850</v>
      </c>
      <c r="N20" s="60">
        <v>336980</v>
      </c>
      <c r="O20" s="59">
        <f t="shared" si="5"/>
        <v>7076580</v>
      </c>
      <c r="P20" s="54">
        <f t="shared" si="6"/>
        <v>-273420</v>
      </c>
      <c r="Q20" s="60">
        <v>349825</v>
      </c>
      <c r="R20" s="59">
        <f t="shared" si="7"/>
        <v>7346325</v>
      </c>
      <c r="S20" s="54">
        <f t="shared" si="8"/>
        <v>-3675</v>
      </c>
    </row>
    <row r="21" spans="1:19" ht="31.5" x14ac:dyDescent="0.25">
      <c r="A21" s="56">
        <v>16</v>
      </c>
      <c r="B21" s="2" t="s">
        <v>27</v>
      </c>
      <c r="C21" s="15"/>
      <c r="D21" s="4">
        <f>1*2</f>
        <v>2</v>
      </c>
      <c r="E21" s="35">
        <v>450000</v>
      </c>
      <c r="F21" s="34">
        <f t="shared" si="0"/>
        <v>900000</v>
      </c>
      <c r="H21" s="60">
        <v>450000</v>
      </c>
      <c r="I21" s="59">
        <f t="shared" si="1"/>
        <v>900000</v>
      </c>
      <c r="J21" s="54">
        <f t="shared" si="2"/>
        <v>0</v>
      </c>
      <c r="K21" s="60">
        <f>375905+60145</f>
        <v>436050</v>
      </c>
      <c r="L21" s="59">
        <f t="shared" si="3"/>
        <v>872100</v>
      </c>
      <c r="M21" s="54">
        <f t="shared" si="4"/>
        <v>-27900</v>
      </c>
      <c r="N21" s="60">
        <v>433260</v>
      </c>
      <c r="O21" s="59">
        <f t="shared" si="5"/>
        <v>866520</v>
      </c>
      <c r="P21" s="54">
        <f t="shared" si="6"/>
        <v>-33480</v>
      </c>
      <c r="Q21" s="60">
        <v>449775</v>
      </c>
      <c r="R21" s="59">
        <f t="shared" si="7"/>
        <v>899550</v>
      </c>
      <c r="S21" s="54">
        <f t="shared" si="8"/>
        <v>-450</v>
      </c>
    </row>
    <row r="22" spans="1:19" ht="18.75" x14ac:dyDescent="0.25">
      <c r="A22" s="56">
        <v>17</v>
      </c>
      <c r="B22" s="2" t="s">
        <v>28</v>
      </c>
      <c r="C22" s="15" t="s">
        <v>29</v>
      </c>
      <c r="D22" s="4">
        <f>1*50</f>
        <v>50</v>
      </c>
      <c r="E22" s="35">
        <v>112500</v>
      </c>
      <c r="F22" s="34">
        <f t="shared" si="0"/>
        <v>5625000</v>
      </c>
      <c r="H22" s="44">
        <v>110000</v>
      </c>
      <c r="I22" s="34">
        <f t="shared" si="1"/>
        <v>5500000</v>
      </c>
      <c r="J22" s="54">
        <f t="shared" si="2"/>
        <v>-125000</v>
      </c>
      <c r="K22" s="60">
        <f>93976+15036</f>
        <v>109012</v>
      </c>
      <c r="L22" s="59">
        <f t="shared" si="3"/>
        <v>5450600</v>
      </c>
      <c r="M22" s="54">
        <f t="shared" si="4"/>
        <v>-174400</v>
      </c>
      <c r="N22" s="60">
        <v>108315</v>
      </c>
      <c r="O22" s="59">
        <f t="shared" si="5"/>
        <v>5415750</v>
      </c>
      <c r="P22" s="54">
        <f t="shared" si="6"/>
        <v>-209250</v>
      </c>
      <c r="Q22" s="60">
        <v>112444</v>
      </c>
      <c r="R22" s="59">
        <f t="shared" si="7"/>
        <v>5622200</v>
      </c>
      <c r="S22" s="54">
        <f t="shared" si="8"/>
        <v>-2800</v>
      </c>
    </row>
    <row r="23" spans="1:19" ht="31.5" x14ac:dyDescent="0.25">
      <c r="A23" s="56">
        <v>18</v>
      </c>
      <c r="B23" s="2" t="s">
        <v>30</v>
      </c>
      <c r="C23" s="4"/>
      <c r="D23" s="4">
        <v>1</v>
      </c>
      <c r="E23" s="35">
        <v>6200000</v>
      </c>
      <c r="F23" s="34">
        <f t="shared" si="0"/>
        <v>6200000</v>
      </c>
      <c r="H23" s="44">
        <v>6200000</v>
      </c>
      <c r="I23" s="34">
        <f t="shared" si="1"/>
        <v>6200000</v>
      </c>
      <c r="J23" s="54">
        <f t="shared" si="2"/>
        <v>0</v>
      </c>
      <c r="K23" s="60">
        <f>6007800</f>
        <v>6007800</v>
      </c>
      <c r="L23" s="59">
        <f t="shared" si="3"/>
        <v>6007800</v>
      </c>
      <c r="M23" s="54">
        <f t="shared" si="4"/>
        <v>-192200</v>
      </c>
      <c r="N23" s="60">
        <v>5969360</v>
      </c>
      <c r="O23" s="59">
        <f t="shared" si="5"/>
        <v>5969360</v>
      </c>
      <c r="P23" s="54">
        <f t="shared" si="6"/>
        <v>-230640</v>
      </c>
      <c r="Q23" s="60">
        <v>6196900</v>
      </c>
      <c r="R23" s="59">
        <f t="shared" si="7"/>
        <v>6196900</v>
      </c>
      <c r="S23" s="54">
        <f t="shared" si="8"/>
        <v>-3100</v>
      </c>
    </row>
    <row r="24" spans="1:19" ht="31.5" x14ac:dyDescent="0.25">
      <c r="A24" s="56">
        <v>19</v>
      </c>
      <c r="B24" s="2" t="s">
        <v>31</v>
      </c>
      <c r="C24" s="4"/>
      <c r="D24" s="4">
        <v>11</v>
      </c>
      <c r="E24" s="35">
        <v>600000</v>
      </c>
      <c r="F24" s="34">
        <f t="shared" si="0"/>
        <v>6600000</v>
      </c>
      <c r="H24" s="60">
        <v>600000</v>
      </c>
      <c r="I24" s="34">
        <f t="shared" si="1"/>
        <v>6600000</v>
      </c>
      <c r="J24" s="54">
        <f t="shared" si="2"/>
        <v>0</v>
      </c>
      <c r="K24" s="60">
        <f>501207+80193</f>
        <v>581400</v>
      </c>
      <c r="L24" s="59">
        <f t="shared" si="3"/>
        <v>6395400</v>
      </c>
      <c r="M24" s="54">
        <f t="shared" si="4"/>
        <v>-204600</v>
      </c>
      <c r="N24" s="60">
        <v>577680</v>
      </c>
      <c r="O24" s="59">
        <f t="shared" si="5"/>
        <v>6354480</v>
      </c>
      <c r="P24" s="54">
        <f t="shared" si="6"/>
        <v>-245520</v>
      </c>
      <c r="Q24" s="60">
        <v>599700</v>
      </c>
      <c r="R24" s="59">
        <f t="shared" si="7"/>
        <v>6596700</v>
      </c>
      <c r="S24" s="54">
        <f t="shared" si="8"/>
        <v>-3300</v>
      </c>
    </row>
    <row r="25" spans="1:19" ht="31.5" x14ac:dyDescent="0.25">
      <c r="A25" s="56">
        <v>20</v>
      </c>
      <c r="B25" s="2" t="s">
        <v>32</v>
      </c>
      <c r="C25" s="4"/>
      <c r="D25" s="4">
        <v>1</v>
      </c>
      <c r="E25" s="35">
        <v>6000000</v>
      </c>
      <c r="F25" s="34">
        <f t="shared" si="0"/>
        <v>6000000</v>
      </c>
      <c r="H25" s="60">
        <v>6000000</v>
      </c>
      <c r="I25" s="34">
        <f t="shared" si="1"/>
        <v>6000000</v>
      </c>
      <c r="J25" s="54">
        <f t="shared" si="2"/>
        <v>0</v>
      </c>
      <c r="K25" s="60">
        <v>5814000</v>
      </c>
      <c r="L25" s="59">
        <f t="shared" si="3"/>
        <v>5814000</v>
      </c>
      <c r="M25" s="54">
        <f t="shared" si="4"/>
        <v>-186000</v>
      </c>
      <c r="N25" s="60">
        <v>5776800</v>
      </c>
      <c r="O25" s="59">
        <f t="shared" si="5"/>
        <v>5776800</v>
      </c>
      <c r="P25" s="54">
        <f t="shared" si="6"/>
        <v>-223200</v>
      </c>
      <c r="Q25" s="60">
        <v>5997000</v>
      </c>
      <c r="R25" s="59">
        <f t="shared" si="7"/>
        <v>5997000</v>
      </c>
      <c r="S25" s="54">
        <f t="shared" si="8"/>
        <v>-3000</v>
      </c>
    </row>
    <row r="26" spans="1:19" x14ac:dyDescent="0.25">
      <c r="A26" s="56">
        <v>21</v>
      </c>
      <c r="B26" s="2" t="s">
        <v>53</v>
      </c>
      <c r="C26" s="4"/>
      <c r="D26" s="4">
        <v>60</v>
      </c>
      <c r="E26" s="35">
        <v>140000</v>
      </c>
      <c r="F26" s="34">
        <f t="shared" si="0"/>
        <v>8400000</v>
      </c>
      <c r="H26" s="44">
        <v>140000</v>
      </c>
      <c r="I26" s="34">
        <f t="shared" si="1"/>
        <v>8400000</v>
      </c>
      <c r="J26" s="54">
        <f t="shared" si="2"/>
        <v>0</v>
      </c>
      <c r="K26" s="60">
        <f>116948+18712</f>
        <v>135660</v>
      </c>
      <c r="L26" s="59">
        <f t="shared" si="3"/>
        <v>8139600</v>
      </c>
      <c r="M26" s="54">
        <f t="shared" si="4"/>
        <v>-260400</v>
      </c>
      <c r="N26" s="60">
        <v>134792</v>
      </c>
      <c r="O26" s="59">
        <f t="shared" si="5"/>
        <v>8087520</v>
      </c>
      <c r="P26" s="54">
        <f t="shared" si="6"/>
        <v>-312480</v>
      </c>
      <c r="Q26" s="60">
        <v>139930</v>
      </c>
      <c r="R26" s="59">
        <f t="shared" si="7"/>
        <v>8395800</v>
      </c>
      <c r="S26" s="54">
        <f t="shared" si="8"/>
        <v>-4200</v>
      </c>
    </row>
    <row r="27" spans="1:19" x14ac:dyDescent="0.25">
      <c r="A27" s="56">
        <v>22</v>
      </c>
      <c r="B27" s="2" t="s">
        <v>33</v>
      </c>
      <c r="C27" s="4"/>
      <c r="D27" s="4">
        <v>6</v>
      </c>
      <c r="E27" s="35">
        <v>500000</v>
      </c>
      <c r="F27" s="34">
        <f t="shared" si="0"/>
        <v>3000000</v>
      </c>
      <c r="H27" s="44">
        <v>500000</v>
      </c>
      <c r="I27" s="34">
        <f t="shared" si="1"/>
        <v>3000000</v>
      </c>
      <c r="J27" s="54">
        <f t="shared" si="2"/>
        <v>0</v>
      </c>
      <c r="K27" s="60">
        <f>417672+66828</f>
        <v>484500</v>
      </c>
      <c r="L27" s="59">
        <f t="shared" si="3"/>
        <v>2907000</v>
      </c>
      <c r="M27" s="54">
        <f t="shared" si="4"/>
        <v>-93000</v>
      </c>
      <c r="N27" s="60">
        <v>481400</v>
      </c>
      <c r="O27" s="59">
        <f t="shared" si="5"/>
        <v>2888400</v>
      </c>
      <c r="P27" s="54">
        <f t="shared" si="6"/>
        <v>-111600</v>
      </c>
      <c r="Q27" s="60">
        <v>499750</v>
      </c>
      <c r="R27" s="59">
        <f t="shared" si="7"/>
        <v>2998500</v>
      </c>
      <c r="S27" s="54">
        <f t="shared" si="8"/>
        <v>-1500</v>
      </c>
    </row>
    <row r="28" spans="1:19" ht="31.5" x14ac:dyDescent="0.25">
      <c r="A28" s="56">
        <v>23</v>
      </c>
      <c r="B28" s="2" t="s">
        <v>54</v>
      </c>
      <c r="C28" s="4"/>
      <c r="D28" s="15">
        <v>60</v>
      </c>
      <c r="E28" s="35">
        <v>400000</v>
      </c>
      <c r="F28" s="59">
        <f t="shared" si="0"/>
        <v>24000000</v>
      </c>
      <c r="H28" s="44">
        <v>400000</v>
      </c>
      <c r="I28" s="34">
        <f t="shared" si="1"/>
        <v>24000000</v>
      </c>
      <c r="J28" s="54">
        <f t="shared" si="2"/>
        <v>0</v>
      </c>
      <c r="K28" s="60">
        <f>334138+53462</f>
        <v>387600</v>
      </c>
      <c r="L28" s="59">
        <f t="shared" si="3"/>
        <v>23256000</v>
      </c>
      <c r="M28" s="54">
        <f t="shared" si="4"/>
        <v>-744000</v>
      </c>
      <c r="N28" s="60">
        <v>385120</v>
      </c>
      <c r="O28" s="59">
        <f t="shared" si="5"/>
        <v>23107200</v>
      </c>
      <c r="P28" s="54">
        <f t="shared" si="6"/>
        <v>-892800</v>
      </c>
      <c r="Q28" s="60">
        <v>399800</v>
      </c>
      <c r="R28" s="59">
        <f t="shared" si="7"/>
        <v>23988000</v>
      </c>
      <c r="S28" s="54">
        <f t="shared" si="8"/>
        <v>-12000</v>
      </c>
    </row>
    <row r="29" spans="1:19" ht="63" x14ac:dyDescent="0.25">
      <c r="A29" s="56">
        <v>24</v>
      </c>
      <c r="B29" s="2" t="s">
        <v>34</v>
      </c>
      <c r="C29" s="3"/>
      <c r="D29" s="15">
        <f>1*6</f>
        <v>6</v>
      </c>
      <c r="E29" s="58">
        <v>2500000</v>
      </c>
      <c r="F29" s="59">
        <f t="shared" si="0"/>
        <v>15000000</v>
      </c>
      <c r="H29" s="60">
        <v>2500000</v>
      </c>
      <c r="I29" s="59">
        <f t="shared" si="1"/>
        <v>15000000</v>
      </c>
      <c r="J29" s="54">
        <f t="shared" si="2"/>
        <v>0</v>
      </c>
      <c r="K29" s="60">
        <f>2088362+334138</f>
        <v>2422500</v>
      </c>
      <c r="L29" s="59">
        <f t="shared" si="3"/>
        <v>14535000</v>
      </c>
      <c r="M29" s="54">
        <f t="shared" si="4"/>
        <v>-465000</v>
      </c>
      <c r="N29" s="60">
        <v>2407000</v>
      </c>
      <c r="O29" s="59">
        <f t="shared" si="5"/>
        <v>14442000</v>
      </c>
      <c r="P29" s="54">
        <f t="shared" si="6"/>
        <v>-558000</v>
      </c>
      <c r="Q29" s="60">
        <v>2498750</v>
      </c>
      <c r="R29" s="59">
        <f t="shared" si="7"/>
        <v>14992500</v>
      </c>
      <c r="S29" s="54">
        <f t="shared" si="8"/>
        <v>-7500</v>
      </c>
    </row>
    <row r="30" spans="1:19" ht="63" x14ac:dyDescent="0.25">
      <c r="A30" s="56">
        <v>25</v>
      </c>
      <c r="B30" s="2" t="s">
        <v>35</v>
      </c>
      <c r="C30" s="3"/>
      <c r="D30" s="15">
        <f>1*4</f>
        <v>4</v>
      </c>
      <c r="E30" s="58">
        <v>2500000</v>
      </c>
      <c r="F30" s="59">
        <f t="shared" si="0"/>
        <v>10000000</v>
      </c>
      <c r="H30" s="60">
        <v>2500000</v>
      </c>
      <c r="I30" s="59">
        <f t="shared" si="1"/>
        <v>10000000</v>
      </c>
      <c r="J30" s="54">
        <f t="shared" si="2"/>
        <v>0</v>
      </c>
      <c r="K30" s="60">
        <f>2088362+334138</f>
        <v>2422500</v>
      </c>
      <c r="L30" s="59">
        <f t="shared" si="3"/>
        <v>9690000</v>
      </c>
      <c r="M30" s="54">
        <f t="shared" si="4"/>
        <v>-310000</v>
      </c>
      <c r="N30" s="60">
        <v>2407000</v>
      </c>
      <c r="O30" s="59">
        <f t="shared" si="5"/>
        <v>9628000</v>
      </c>
      <c r="P30" s="54">
        <f t="shared" si="6"/>
        <v>-372000</v>
      </c>
      <c r="Q30" s="60">
        <v>2498750</v>
      </c>
      <c r="R30" s="59">
        <f t="shared" si="7"/>
        <v>9995000</v>
      </c>
      <c r="S30" s="54">
        <f t="shared" si="8"/>
        <v>-5000</v>
      </c>
    </row>
    <row r="31" spans="1:19" ht="63" x14ac:dyDescent="0.25">
      <c r="A31" s="56">
        <v>26</v>
      </c>
      <c r="B31" s="2" t="s">
        <v>36</v>
      </c>
      <c r="C31" s="5" t="s">
        <v>37</v>
      </c>
      <c r="D31" s="15">
        <v>1</v>
      </c>
      <c r="E31" s="58">
        <v>40000000</v>
      </c>
      <c r="F31" s="59">
        <f t="shared" si="0"/>
        <v>40000000</v>
      </c>
      <c r="H31" s="60">
        <v>38000000</v>
      </c>
      <c r="I31" s="59">
        <f t="shared" si="1"/>
        <v>38000000</v>
      </c>
      <c r="J31" s="54">
        <f t="shared" si="2"/>
        <v>-2000000</v>
      </c>
      <c r="K31" s="60">
        <v>38760000</v>
      </c>
      <c r="L31" s="59">
        <f t="shared" si="3"/>
        <v>38760000</v>
      </c>
      <c r="M31" s="54">
        <f t="shared" si="4"/>
        <v>-1240000</v>
      </c>
      <c r="N31" s="60">
        <v>38512000</v>
      </c>
      <c r="O31" s="59">
        <f t="shared" si="5"/>
        <v>38512000</v>
      </c>
      <c r="P31" s="54">
        <f t="shared" si="6"/>
        <v>-1488000</v>
      </c>
      <c r="Q31" s="60">
        <v>39980000</v>
      </c>
      <c r="R31" s="59">
        <f t="shared" si="7"/>
        <v>39980000</v>
      </c>
      <c r="S31" s="54">
        <f t="shared" si="8"/>
        <v>-20000</v>
      </c>
    </row>
    <row r="32" spans="1:19" x14ac:dyDescent="0.25">
      <c r="A32" s="56">
        <v>27</v>
      </c>
      <c r="B32" s="2" t="s">
        <v>38</v>
      </c>
      <c r="C32" s="4"/>
      <c r="D32" s="4">
        <v>1</v>
      </c>
      <c r="E32" s="58">
        <v>14000000</v>
      </c>
      <c r="F32" s="34">
        <f t="shared" si="0"/>
        <v>14000000</v>
      </c>
      <c r="H32" s="44">
        <v>13000000</v>
      </c>
      <c r="I32" s="34">
        <f t="shared" si="1"/>
        <v>13000000</v>
      </c>
      <c r="J32" s="54">
        <f t="shared" si="2"/>
        <v>-1000000</v>
      </c>
      <c r="K32" s="60">
        <v>13566000</v>
      </c>
      <c r="L32" s="59">
        <f t="shared" si="3"/>
        <v>13566000</v>
      </c>
      <c r="M32" s="54">
        <f t="shared" si="4"/>
        <v>-434000</v>
      </c>
      <c r="N32" s="60">
        <v>13479200</v>
      </c>
      <c r="O32" s="59">
        <f t="shared" si="5"/>
        <v>13479200</v>
      </c>
      <c r="P32" s="54">
        <f t="shared" si="6"/>
        <v>-520800</v>
      </c>
      <c r="Q32" s="60">
        <v>13993000</v>
      </c>
      <c r="R32" s="59">
        <f t="shared" si="7"/>
        <v>13993000</v>
      </c>
      <c r="S32" s="54">
        <f t="shared" si="8"/>
        <v>-7000</v>
      </c>
    </row>
    <row r="33" spans="1:19" x14ac:dyDescent="0.25">
      <c r="A33" s="56">
        <v>28</v>
      </c>
      <c r="B33" s="2" t="s">
        <v>39</v>
      </c>
      <c r="C33" s="4"/>
      <c r="D33" s="4">
        <v>4</v>
      </c>
      <c r="E33" s="35">
        <v>700000</v>
      </c>
      <c r="F33" s="34">
        <f t="shared" si="0"/>
        <v>2800000</v>
      </c>
      <c r="H33" s="44">
        <v>700000</v>
      </c>
      <c r="I33" s="34">
        <f t="shared" si="1"/>
        <v>2800000</v>
      </c>
      <c r="J33" s="54">
        <f t="shared" si="2"/>
        <v>0</v>
      </c>
      <c r="K33" s="60">
        <f>584741+93559</f>
        <v>678300</v>
      </c>
      <c r="L33" s="59">
        <f t="shared" si="3"/>
        <v>2713200</v>
      </c>
      <c r="M33" s="54">
        <f t="shared" si="4"/>
        <v>-86800</v>
      </c>
      <c r="N33" s="60">
        <v>673960</v>
      </c>
      <c r="O33" s="59">
        <f t="shared" si="5"/>
        <v>2695840</v>
      </c>
      <c r="P33" s="54">
        <f t="shared" si="6"/>
        <v>-104160</v>
      </c>
      <c r="Q33" s="60">
        <v>699650</v>
      </c>
      <c r="R33" s="59">
        <f t="shared" si="7"/>
        <v>2798600</v>
      </c>
      <c r="S33" s="54">
        <f t="shared" si="8"/>
        <v>-1400</v>
      </c>
    </row>
    <row r="34" spans="1:19" x14ac:dyDescent="0.25">
      <c r="A34" s="56">
        <v>29</v>
      </c>
      <c r="B34" s="2" t="s">
        <v>40</v>
      </c>
      <c r="C34" s="4"/>
      <c r="D34" s="4">
        <v>1</v>
      </c>
      <c r="E34" s="35">
        <v>1450000</v>
      </c>
      <c r="F34" s="34">
        <f t="shared" si="0"/>
        <v>1450000</v>
      </c>
      <c r="H34" s="44">
        <v>1450000</v>
      </c>
      <c r="I34" s="34">
        <f t="shared" si="1"/>
        <v>1450000</v>
      </c>
      <c r="J34" s="54">
        <f t="shared" si="2"/>
        <v>0</v>
      </c>
      <c r="K34" s="60">
        <v>1405050</v>
      </c>
      <c r="L34" s="59">
        <f t="shared" si="3"/>
        <v>1405050</v>
      </c>
      <c r="M34" s="54">
        <f t="shared" si="4"/>
        <v>-44950</v>
      </c>
      <c r="N34" s="60">
        <v>1396060</v>
      </c>
      <c r="O34" s="59">
        <f t="shared" si="5"/>
        <v>1396060</v>
      </c>
      <c r="P34" s="54">
        <f t="shared" si="6"/>
        <v>-53940</v>
      </c>
      <c r="Q34" s="60">
        <v>1449275</v>
      </c>
      <c r="R34" s="59">
        <f t="shared" si="7"/>
        <v>1449275</v>
      </c>
      <c r="S34" s="54">
        <f t="shared" si="8"/>
        <v>-725</v>
      </c>
    </row>
    <row r="35" spans="1:19" x14ac:dyDescent="0.25">
      <c r="A35" s="56">
        <v>30</v>
      </c>
      <c r="B35" s="2" t="s">
        <v>41</v>
      </c>
      <c r="C35" s="4"/>
      <c r="D35" s="4">
        <v>10</v>
      </c>
      <c r="E35" s="35">
        <v>400000</v>
      </c>
      <c r="F35" s="34">
        <f t="shared" si="0"/>
        <v>4000000</v>
      </c>
      <c r="H35" s="44">
        <v>400000</v>
      </c>
      <c r="I35" s="34">
        <f t="shared" si="1"/>
        <v>4000000</v>
      </c>
      <c r="J35" s="54">
        <f t="shared" si="2"/>
        <v>0</v>
      </c>
      <c r="K35" s="60">
        <f>334138+53462</f>
        <v>387600</v>
      </c>
      <c r="L35" s="59">
        <f t="shared" si="3"/>
        <v>3876000</v>
      </c>
      <c r="M35" s="54">
        <f t="shared" si="4"/>
        <v>-124000</v>
      </c>
      <c r="N35" s="60">
        <v>385120</v>
      </c>
      <c r="O35" s="59">
        <f t="shared" si="5"/>
        <v>3851200</v>
      </c>
      <c r="P35" s="54">
        <f t="shared" si="6"/>
        <v>-148800</v>
      </c>
      <c r="Q35" s="60">
        <v>399800</v>
      </c>
      <c r="R35" s="59">
        <f t="shared" si="7"/>
        <v>3998000</v>
      </c>
      <c r="S35" s="54">
        <f t="shared" si="8"/>
        <v>-2000</v>
      </c>
    </row>
    <row r="36" spans="1:19" x14ac:dyDescent="0.25">
      <c r="A36" s="56">
        <v>31</v>
      </c>
      <c r="B36" s="2" t="s">
        <v>42</v>
      </c>
      <c r="C36" s="4"/>
      <c r="D36" s="4">
        <v>1</v>
      </c>
      <c r="E36" s="58">
        <v>600000</v>
      </c>
      <c r="F36" s="34">
        <f t="shared" si="0"/>
        <v>600000</v>
      </c>
      <c r="H36" s="44">
        <v>600000</v>
      </c>
      <c r="I36" s="34">
        <f t="shared" si="1"/>
        <v>600000</v>
      </c>
      <c r="J36" s="54">
        <f t="shared" si="2"/>
        <v>0</v>
      </c>
      <c r="K36" s="60">
        <v>581400</v>
      </c>
      <c r="L36" s="59">
        <f t="shared" si="3"/>
        <v>581400</v>
      </c>
      <c r="M36" s="54">
        <f t="shared" si="4"/>
        <v>-18600</v>
      </c>
      <c r="N36" s="60">
        <v>577680</v>
      </c>
      <c r="O36" s="59">
        <f t="shared" si="5"/>
        <v>577680</v>
      </c>
      <c r="P36" s="54">
        <f t="shared" si="6"/>
        <v>-22320</v>
      </c>
      <c r="Q36" s="60">
        <v>599700</v>
      </c>
      <c r="R36" s="59">
        <f t="shared" si="7"/>
        <v>599700</v>
      </c>
      <c r="S36" s="54">
        <f t="shared" si="8"/>
        <v>-300</v>
      </c>
    </row>
    <row r="37" spans="1:19" ht="63" x14ac:dyDescent="0.25">
      <c r="A37" s="56">
        <v>32</v>
      </c>
      <c r="B37" s="2" t="s">
        <v>43</v>
      </c>
      <c r="C37" s="5" t="s">
        <v>37</v>
      </c>
      <c r="D37" s="15">
        <v>3</v>
      </c>
      <c r="E37" s="58">
        <v>5000000</v>
      </c>
      <c r="F37" s="59">
        <f t="shared" si="0"/>
        <v>15000000</v>
      </c>
      <c r="H37" s="60">
        <v>4500000</v>
      </c>
      <c r="I37" s="59">
        <f t="shared" si="1"/>
        <v>13500000</v>
      </c>
      <c r="J37" s="54">
        <f t="shared" si="2"/>
        <v>-1500000</v>
      </c>
      <c r="K37" s="60">
        <f>4176724+668276</f>
        <v>4845000</v>
      </c>
      <c r="L37" s="59">
        <f t="shared" si="3"/>
        <v>14535000</v>
      </c>
      <c r="M37" s="54">
        <f t="shared" si="4"/>
        <v>-465000</v>
      </c>
      <c r="N37" s="60">
        <v>4814000</v>
      </c>
      <c r="O37" s="59">
        <f t="shared" si="5"/>
        <v>14442000</v>
      </c>
      <c r="P37" s="54">
        <f t="shared" si="6"/>
        <v>-558000</v>
      </c>
      <c r="Q37" s="60">
        <v>4997500</v>
      </c>
      <c r="R37" s="59">
        <f t="shared" si="7"/>
        <v>14992500</v>
      </c>
      <c r="S37" s="54">
        <f t="shared" si="8"/>
        <v>-7500</v>
      </c>
    </row>
    <row r="38" spans="1:19" x14ac:dyDescent="0.25">
      <c r="A38" s="56">
        <v>33</v>
      </c>
      <c r="B38" s="2" t="s">
        <v>44</v>
      </c>
      <c r="C38" s="5"/>
      <c r="D38" s="15">
        <v>10</v>
      </c>
      <c r="E38" s="35">
        <v>200000</v>
      </c>
      <c r="F38" s="34">
        <f t="shared" si="0"/>
        <v>2000000</v>
      </c>
      <c r="H38" s="44">
        <v>200000</v>
      </c>
      <c r="I38" s="34">
        <f t="shared" si="1"/>
        <v>2000000</v>
      </c>
      <c r="J38" s="54">
        <f t="shared" si="2"/>
        <v>0</v>
      </c>
      <c r="K38" s="60">
        <f>167069+26731</f>
        <v>193800</v>
      </c>
      <c r="L38" s="59">
        <f t="shared" si="3"/>
        <v>1938000</v>
      </c>
      <c r="M38" s="54">
        <f t="shared" si="4"/>
        <v>-62000</v>
      </c>
      <c r="N38" s="60">
        <v>192500</v>
      </c>
      <c r="O38" s="59">
        <f t="shared" si="5"/>
        <v>1925000</v>
      </c>
      <c r="P38" s="54">
        <f t="shared" si="6"/>
        <v>-75000</v>
      </c>
      <c r="Q38" s="60">
        <v>199900</v>
      </c>
      <c r="R38" s="59">
        <f t="shared" si="7"/>
        <v>1999000</v>
      </c>
      <c r="S38" s="54">
        <f t="shared" si="8"/>
        <v>-1000</v>
      </c>
    </row>
    <row r="39" spans="1:19" ht="63" x14ac:dyDescent="0.25">
      <c r="A39" s="56">
        <v>34</v>
      </c>
      <c r="B39" s="2" t="s">
        <v>45</v>
      </c>
      <c r="C39" s="3"/>
      <c r="D39" s="15">
        <v>8</v>
      </c>
      <c r="E39" s="58">
        <v>2500000</v>
      </c>
      <c r="F39" s="59">
        <f t="shared" si="0"/>
        <v>20000000</v>
      </c>
      <c r="H39" s="60">
        <v>2300000</v>
      </c>
      <c r="I39" s="59">
        <f t="shared" si="1"/>
        <v>18400000</v>
      </c>
      <c r="J39" s="54">
        <f t="shared" si="2"/>
        <v>-1600000</v>
      </c>
      <c r="K39" s="60">
        <f>2088362+334138</f>
        <v>2422500</v>
      </c>
      <c r="L39" s="59">
        <f t="shared" si="3"/>
        <v>19380000</v>
      </c>
      <c r="M39" s="54">
        <f t="shared" si="4"/>
        <v>-620000</v>
      </c>
      <c r="N39" s="60">
        <v>2407000</v>
      </c>
      <c r="O39" s="59">
        <f t="shared" si="5"/>
        <v>19256000</v>
      </c>
      <c r="P39" s="54">
        <f t="shared" si="6"/>
        <v>-744000</v>
      </c>
      <c r="Q39" s="60">
        <v>2498750</v>
      </c>
      <c r="R39" s="59">
        <f t="shared" si="7"/>
        <v>19990000</v>
      </c>
      <c r="S39" s="54">
        <f t="shared" si="8"/>
        <v>-10000</v>
      </c>
    </row>
    <row r="40" spans="1:19" ht="31.5" x14ac:dyDescent="0.25">
      <c r="A40" s="56">
        <v>35</v>
      </c>
      <c r="B40" s="2" t="s">
        <v>46</v>
      </c>
      <c r="C40" s="4"/>
      <c r="D40" s="4">
        <v>4</v>
      </c>
      <c r="E40" s="58">
        <v>2850000</v>
      </c>
      <c r="F40" s="59">
        <f t="shared" si="0"/>
        <v>11400000</v>
      </c>
      <c r="H40" s="60">
        <v>2850000</v>
      </c>
      <c r="I40" s="59">
        <f t="shared" si="1"/>
        <v>11400000</v>
      </c>
      <c r="J40" s="54">
        <f t="shared" si="2"/>
        <v>0</v>
      </c>
      <c r="K40" s="60">
        <f>2380733+380917</f>
        <v>2761650</v>
      </c>
      <c r="L40" s="59">
        <f t="shared" si="3"/>
        <v>11046600</v>
      </c>
      <c r="M40" s="54">
        <f t="shared" si="4"/>
        <v>-353400</v>
      </c>
      <c r="N40" s="60">
        <v>2743980</v>
      </c>
      <c r="O40" s="59">
        <f t="shared" si="5"/>
        <v>10975920</v>
      </c>
      <c r="P40" s="54">
        <f t="shared" si="6"/>
        <v>-424080</v>
      </c>
      <c r="Q40" s="60">
        <v>2848575</v>
      </c>
      <c r="R40" s="59">
        <f t="shared" si="7"/>
        <v>11394300</v>
      </c>
      <c r="S40" s="54">
        <f t="shared" si="8"/>
        <v>-5700</v>
      </c>
    </row>
    <row r="41" spans="1:19" x14ac:dyDescent="0.25">
      <c r="A41" s="56">
        <v>36</v>
      </c>
      <c r="B41" s="2" t="s">
        <v>47</v>
      </c>
      <c r="C41" s="4"/>
      <c r="D41" s="4">
        <v>1</v>
      </c>
      <c r="E41" s="35">
        <v>350000</v>
      </c>
      <c r="F41" s="59">
        <f t="shared" si="0"/>
        <v>350000</v>
      </c>
      <c r="H41" s="44">
        <v>350000</v>
      </c>
      <c r="I41" s="34">
        <f t="shared" si="1"/>
        <v>350000</v>
      </c>
      <c r="J41" s="54">
        <f t="shared" si="2"/>
        <v>0</v>
      </c>
      <c r="K41" s="60">
        <v>339150</v>
      </c>
      <c r="L41" s="59">
        <f t="shared" si="3"/>
        <v>339150</v>
      </c>
      <c r="M41" s="54">
        <f t="shared" si="4"/>
        <v>-10850</v>
      </c>
      <c r="N41" s="60">
        <v>336980</v>
      </c>
      <c r="O41" s="59">
        <f t="shared" si="5"/>
        <v>336980</v>
      </c>
      <c r="P41" s="54">
        <f t="shared" si="6"/>
        <v>-13020</v>
      </c>
      <c r="Q41" s="60">
        <v>349825</v>
      </c>
      <c r="R41" s="59">
        <f t="shared" si="7"/>
        <v>349825</v>
      </c>
      <c r="S41" s="54">
        <f t="shared" si="8"/>
        <v>-175</v>
      </c>
    </row>
    <row r="42" spans="1:19" ht="31.5" x14ac:dyDescent="0.25">
      <c r="A42" s="56">
        <v>37</v>
      </c>
      <c r="B42" s="2" t="s">
        <v>48</v>
      </c>
      <c r="C42" s="2" t="s">
        <v>49</v>
      </c>
      <c r="D42" s="14">
        <v>1</v>
      </c>
      <c r="E42" s="38">
        <v>15000000</v>
      </c>
      <c r="F42" s="59">
        <f t="shared" si="0"/>
        <v>15000000</v>
      </c>
      <c r="H42" s="60">
        <v>15000000</v>
      </c>
      <c r="I42" s="59">
        <f t="shared" si="1"/>
        <v>15000000</v>
      </c>
      <c r="J42" s="54">
        <f t="shared" si="2"/>
        <v>0</v>
      </c>
      <c r="K42" s="60">
        <v>14535000</v>
      </c>
      <c r="L42" s="59">
        <f t="shared" si="3"/>
        <v>14535000</v>
      </c>
      <c r="M42" s="54">
        <f t="shared" si="4"/>
        <v>-465000</v>
      </c>
      <c r="N42" s="60">
        <v>14442000</v>
      </c>
      <c r="O42" s="59">
        <f t="shared" si="5"/>
        <v>14442000</v>
      </c>
      <c r="P42" s="54">
        <f t="shared" si="6"/>
        <v>-558000</v>
      </c>
      <c r="Q42" s="60">
        <v>14992500</v>
      </c>
      <c r="R42" s="59">
        <f t="shared" si="7"/>
        <v>14992500</v>
      </c>
      <c r="S42" s="54">
        <f t="shared" si="8"/>
        <v>-7500</v>
      </c>
    </row>
    <row r="43" spans="1:19" ht="31.5" x14ac:dyDescent="0.25">
      <c r="A43" s="56">
        <v>38</v>
      </c>
      <c r="B43" s="2" t="s">
        <v>50</v>
      </c>
      <c r="C43" s="2"/>
      <c r="D43" s="15">
        <v>1</v>
      </c>
      <c r="E43" s="38">
        <v>3500000</v>
      </c>
      <c r="F43" s="59">
        <f t="shared" si="0"/>
        <v>3500000</v>
      </c>
      <c r="H43" s="60">
        <v>3198010</v>
      </c>
      <c r="I43" s="59">
        <f t="shared" si="1"/>
        <v>3198010</v>
      </c>
      <c r="J43" s="54">
        <f t="shared" si="2"/>
        <v>-301990</v>
      </c>
      <c r="K43" s="60">
        <v>3391500</v>
      </c>
      <c r="L43" s="59">
        <f t="shared" si="3"/>
        <v>3391500</v>
      </c>
      <c r="M43" s="54">
        <f t="shared" si="4"/>
        <v>-108500</v>
      </c>
      <c r="N43" s="60">
        <v>3369800</v>
      </c>
      <c r="O43" s="59">
        <f t="shared" si="5"/>
        <v>3369800</v>
      </c>
      <c r="P43" s="54">
        <f t="shared" si="6"/>
        <v>-130200</v>
      </c>
      <c r="Q43" s="60">
        <v>3498250</v>
      </c>
      <c r="R43" s="59">
        <f t="shared" si="7"/>
        <v>3498250</v>
      </c>
      <c r="S43" s="54">
        <f t="shared" si="8"/>
        <v>-1750</v>
      </c>
    </row>
    <row r="44" spans="1:19" x14ac:dyDescent="0.25">
      <c r="A44" s="56">
        <v>39</v>
      </c>
      <c r="B44" s="2" t="s">
        <v>51</v>
      </c>
      <c r="C44" s="2"/>
      <c r="D44" s="14">
        <v>1</v>
      </c>
      <c r="E44" s="38">
        <v>900000</v>
      </c>
      <c r="F44" s="59">
        <f t="shared" si="0"/>
        <v>900000</v>
      </c>
      <c r="H44" s="44">
        <v>900000</v>
      </c>
      <c r="I44" s="34">
        <f t="shared" si="1"/>
        <v>900000</v>
      </c>
      <c r="J44" s="54">
        <f t="shared" si="2"/>
        <v>0</v>
      </c>
      <c r="K44" s="60">
        <v>872100</v>
      </c>
      <c r="L44" s="59">
        <f t="shared" si="3"/>
        <v>872100</v>
      </c>
      <c r="M44" s="54">
        <f t="shared" si="4"/>
        <v>-27900</v>
      </c>
      <c r="N44" s="60">
        <v>866520</v>
      </c>
      <c r="O44" s="59">
        <f t="shared" si="5"/>
        <v>866520</v>
      </c>
      <c r="P44" s="54">
        <f t="shared" si="6"/>
        <v>-33480</v>
      </c>
      <c r="Q44" s="60">
        <v>899550</v>
      </c>
      <c r="R44" s="59">
        <f t="shared" si="7"/>
        <v>899550</v>
      </c>
      <c r="S44" s="54">
        <f t="shared" si="8"/>
        <v>-450</v>
      </c>
    </row>
    <row r="45" spans="1:19" ht="16.5" thickBot="1" x14ac:dyDescent="0.3">
      <c r="A45" s="13">
        <v>40</v>
      </c>
      <c r="B45" s="7" t="s">
        <v>59</v>
      </c>
      <c r="C45" s="7"/>
      <c r="D45" s="18">
        <v>3</v>
      </c>
      <c r="E45" s="36">
        <v>26000000</v>
      </c>
      <c r="F45" s="39">
        <f>D45*E45</f>
        <v>78000000</v>
      </c>
      <c r="H45" s="45">
        <v>26000000</v>
      </c>
      <c r="I45" s="39">
        <f>D45*H45</f>
        <v>78000000</v>
      </c>
      <c r="J45" s="54">
        <f t="shared" si="2"/>
        <v>0</v>
      </c>
      <c r="K45" s="45">
        <f>21718966+3475034</f>
        <v>25194000</v>
      </c>
      <c r="L45" s="63">
        <f>D45*K45</f>
        <v>75582000</v>
      </c>
      <c r="M45" s="54">
        <f t="shared" si="4"/>
        <v>-2418000</v>
      </c>
      <c r="N45" s="45">
        <v>25032800</v>
      </c>
      <c r="O45" s="63">
        <f>D45*N45</f>
        <v>75098400</v>
      </c>
      <c r="P45" s="54">
        <f t="shared" si="6"/>
        <v>-2901600</v>
      </c>
      <c r="Q45" s="45">
        <v>25987000</v>
      </c>
      <c r="R45" s="63">
        <f>D45*Q45</f>
        <v>77961000</v>
      </c>
      <c r="S45" s="54">
        <f t="shared" si="8"/>
        <v>-39000</v>
      </c>
    </row>
    <row r="46" spans="1:19" x14ac:dyDescent="0.25">
      <c r="A46" s="57"/>
      <c r="E46" s="22" t="s">
        <v>60</v>
      </c>
      <c r="F46" s="19">
        <f>SUM(F6:F45)</f>
        <v>415510000</v>
      </c>
      <c r="H46" s="46" t="s">
        <v>60</v>
      </c>
      <c r="I46" s="47">
        <f>SUM(I6:I45)</f>
        <v>404128010</v>
      </c>
      <c r="J46" s="19">
        <f>SUM(J6:J45)</f>
        <v>-11381990</v>
      </c>
      <c r="K46" s="46" t="s">
        <v>60</v>
      </c>
      <c r="L46" s="47">
        <f>SUM(L6:L45)</f>
        <v>402455330</v>
      </c>
      <c r="M46" s="19">
        <f>SUM(M6:M45)</f>
        <v>-13054670</v>
      </c>
      <c r="N46" s="46" t="s">
        <v>60</v>
      </c>
      <c r="O46" s="47">
        <f>SUM(O6:O45)</f>
        <v>400052130</v>
      </c>
      <c r="P46" s="19">
        <f>SUM(P6:P45)</f>
        <v>-15457870</v>
      </c>
      <c r="Q46" s="46" t="s">
        <v>60</v>
      </c>
      <c r="R46" s="47">
        <f>SUM(R6:R45)</f>
        <v>415302990</v>
      </c>
      <c r="S46" s="19">
        <f>SUM(S6:S45)</f>
        <v>-207010</v>
      </c>
    </row>
    <row r="47" spans="1:19" x14ac:dyDescent="0.25">
      <c r="D47" s="40">
        <v>0.17</v>
      </c>
      <c r="E47" s="16" t="s">
        <v>61</v>
      </c>
      <c r="F47" s="20">
        <f>F46*17%</f>
        <v>70636700</v>
      </c>
      <c r="H47" s="48" t="s">
        <v>61</v>
      </c>
      <c r="I47" s="49">
        <f>I46*17%</f>
        <v>68701761.700000003</v>
      </c>
      <c r="K47" s="48" t="s">
        <v>61</v>
      </c>
      <c r="L47" s="49">
        <f>L46*17%</f>
        <v>68417406.100000009</v>
      </c>
      <c r="N47" s="48" t="s">
        <v>61</v>
      </c>
      <c r="O47" s="49">
        <f>O46*17%</f>
        <v>68008862.100000009</v>
      </c>
      <c r="Q47" s="48" t="s">
        <v>61</v>
      </c>
      <c r="R47" s="49">
        <f>R46*17%</f>
        <v>70601508.300000012</v>
      </c>
    </row>
    <row r="48" spans="1:19" x14ac:dyDescent="0.25">
      <c r="D48" s="40">
        <v>0.01</v>
      </c>
      <c r="E48" s="16" t="s">
        <v>62</v>
      </c>
      <c r="F48" s="20">
        <f>F46*1%</f>
        <v>4155100</v>
      </c>
      <c r="H48" s="48" t="s">
        <v>62</v>
      </c>
      <c r="I48" s="49">
        <f>I46*1%</f>
        <v>4041280.1</v>
      </c>
      <c r="K48" s="48" t="s">
        <v>62</v>
      </c>
      <c r="L48" s="49">
        <f>L46*1%</f>
        <v>4024553.3000000003</v>
      </c>
      <c r="N48" s="48" t="s">
        <v>62</v>
      </c>
      <c r="O48" s="49">
        <f>O46*1%</f>
        <v>4000521.3000000003</v>
      </c>
      <c r="Q48" s="48" t="s">
        <v>62</v>
      </c>
      <c r="R48" s="49">
        <f>R46*1%</f>
        <v>4153029.9</v>
      </c>
    </row>
    <row r="49" spans="4:18" x14ac:dyDescent="0.25">
      <c r="D49" s="40">
        <v>0.02</v>
      </c>
      <c r="E49" s="16" t="s">
        <v>63</v>
      </c>
      <c r="F49" s="20">
        <f>F46*2%</f>
        <v>8310200</v>
      </c>
      <c r="H49" s="48" t="s">
        <v>63</v>
      </c>
      <c r="I49" s="49">
        <f>I46*2%</f>
        <v>8082560.2000000002</v>
      </c>
      <c r="K49" s="48" t="s">
        <v>63</v>
      </c>
      <c r="L49" s="49">
        <f>L46*2%</f>
        <v>8049106.6000000006</v>
      </c>
      <c r="N49" s="48" t="s">
        <v>63</v>
      </c>
      <c r="O49" s="49">
        <f>O46*2%</f>
        <v>8001042.6000000006</v>
      </c>
      <c r="Q49" s="48" t="s">
        <v>63</v>
      </c>
      <c r="R49" s="49">
        <f>R46*2%</f>
        <v>8306059.7999999998</v>
      </c>
    </row>
    <row r="50" spans="4:18" x14ac:dyDescent="0.25">
      <c r="D50" s="40">
        <v>0.16</v>
      </c>
      <c r="E50" s="16" t="s">
        <v>58</v>
      </c>
      <c r="F50" s="20">
        <f>F49*16%</f>
        <v>1329632</v>
      </c>
      <c r="H50" s="48" t="s">
        <v>58</v>
      </c>
      <c r="I50" s="49">
        <f>I49*16%</f>
        <v>1293209.632</v>
      </c>
      <c r="K50" s="48" t="s">
        <v>58</v>
      </c>
      <c r="L50" s="49">
        <f>L49*16%</f>
        <v>1287857.0560000001</v>
      </c>
      <c r="N50" s="48" t="s">
        <v>58</v>
      </c>
      <c r="O50" s="49">
        <f>O49*16%</f>
        <v>1280166.8160000001</v>
      </c>
      <c r="Q50" s="48" t="s">
        <v>58</v>
      </c>
      <c r="R50" s="49">
        <f>R49*16%</f>
        <v>1328969.568</v>
      </c>
    </row>
    <row r="51" spans="4:18" x14ac:dyDescent="0.25">
      <c r="E51" s="22" t="s">
        <v>60</v>
      </c>
      <c r="F51" s="21">
        <f>SUM(F47:F50)</f>
        <v>84431632</v>
      </c>
      <c r="H51" s="46" t="s">
        <v>60</v>
      </c>
      <c r="I51" s="50">
        <f>SUM(I47:I50)</f>
        <v>82118811.631999999</v>
      </c>
      <c r="K51" s="46" t="s">
        <v>60</v>
      </c>
      <c r="L51" s="50">
        <f>SUM(L47:L50)</f>
        <v>81778923.055999994</v>
      </c>
      <c r="N51" s="46" t="s">
        <v>60</v>
      </c>
      <c r="O51" s="50">
        <f>SUM(O47:O50)</f>
        <v>81290592.816</v>
      </c>
      <c r="Q51" s="46" t="s">
        <v>60</v>
      </c>
      <c r="R51" s="50">
        <f>SUM(R47:R50)</f>
        <v>84389567.568000019</v>
      </c>
    </row>
    <row r="52" spans="4:18" ht="16.5" thickBot="1" x14ac:dyDescent="0.3">
      <c r="E52" s="22" t="s">
        <v>64</v>
      </c>
      <c r="F52" s="21">
        <f>F46+F51</f>
        <v>499941632</v>
      </c>
      <c r="H52" s="51" t="s">
        <v>64</v>
      </c>
      <c r="I52" s="52">
        <f>I46+I51</f>
        <v>486246821.63199997</v>
      </c>
      <c r="K52" s="51" t="s">
        <v>64</v>
      </c>
      <c r="L52" s="52">
        <f>L46+L51-674.06</f>
        <v>484233578.99599999</v>
      </c>
      <c r="N52" s="51" t="s">
        <v>64</v>
      </c>
      <c r="O52" s="52">
        <f>O46+O51+1080.18</f>
        <v>481343802.99599999</v>
      </c>
      <c r="Q52" s="51" t="s">
        <v>64</v>
      </c>
      <c r="R52" s="52">
        <f>R46+R51+0.43</f>
        <v>499692557.99800003</v>
      </c>
    </row>
    <row r="53" spans="4:18" x14ac:dyDescent="0.25">
      <c r="L53" s="77"/>
      <c r="O53" s="1" t="s">
        <v>80</v>
      </c>
      <c r="R53" s="1" t="s">
        <v>80</v>
      </c>
    </row>
    <row r="54" spans="4:18" x14ac:dyDescent="0.25">
      <c r="L54" s="78"/>
      <c r="O54" s="78" t="s">
        <v>80</v>
      </c>
      <c r="R54" s="78" t="s">
        <v>80</v>
      </c>
    </row>
  </sheetData>
  <mergeCells count="7">
    <mergeCell ref="H4:I4"/>
    <mergeCell ref="K4:L4"/>
    <mergeCell ref="N4:O4"/>
    <mergeCell ref="Q4:R4"/>
    <mergeCell ref="A1:F1"/>
    <mergeCell ref="A2:F2"/>
    <mergeCell ref="A3:F3"/>
  </mergeCells>
  <printOptions horizontalCentered="1" verticalCentered="1"/>
  <pageMargins left="0.70866141732283472" right="0.70866141732283472" top="0.74803149606299213" bottom="0.74803149606299213" header="0.31496062992125984" footer="0.31496062992125984"/>
  <pageSetup scale="6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2"/>
  <sheetViews>
    <sheetView workbookViewId="0">
      <selection activeCell="C10" sqref="C10"/>
    </sheetView>
  </sheetViews>
  <sheetFormatPr baseColWidth="10" defaultRowHeight="12.75" x14ac:dyDescent="0.2"/>
  <cols>
    <col min="1" max="1" width="4" style="26" bestFit="1" customWidth="1"/>
    <col min="2" max="2" width="35.7109375" style="23" customWidth="1"/>
    <col min="3" max="3" width="19.5703125" style="26" customWidth="1"/>
    <col min="4" max="16384" width="11.42578125" style="23"/>
  </cols>
  <sheetData>
    <row r="1" spans="1:3" ht="18.75" x14ac:dyDescent="0.3">
      <c r="A1" s="99" t="s">
        <v>65</v>
      </c>
      <c r="B1" s="99"/>
      <c r="C1" s="99"/>
    </row>
    <row r="2" spans="1:3" ht="18.75" x14ac:dyDescent="0.3">
      <c r="A2" s="99" t="s">
        <v>66</v>
      </c>
      <c r="B2" s="99"/>
      <c r="C2" s="99"/>
    </row>
    <row r="3" spans="1:3" ht="15.75" x14ac:dyDescent="0.25">
      <c r="A3" s="98" t="s">
        <v>67</v>
      </c>
      <c r="B3" s="98"/>
      <c r="C3" s="98"/>
    </row>
    <row r="4" spans="1:3" ht="15.75" x14ac:dyDescent="0.25">
      <c r="A4" s="98" t="s">
        <v>68</v>
      </c>
      <c r="B4" s="98"/>
      <c r="C4" s="98"/>
    </row>
    <row r="5" spans="1:3" ht="16.5" thickBot="1" x14ac:dyDescent="0.25">
      <c r="A5" s="24"/>
      <c r="B5" s="25"/>
      <c r="C5" s="24"/>
    </row>
    <row r="6" spans="1:3" ht="15.75" x14ac:dyDescent="0.2">
      <c r="A6" s="27" t="s">
        <v>69</v>
      </c>
      <c r="B6" s="28" t="s">
        <v>70</v>
      </c>
      <c r="C6" s="28" t="s">
        <v>75</v>
      </c>
    </row>
    <row r="7" spans="1:3" ht="15.75" x14ac:dyDescent="0.2">
      <c r="A7" s="29">
        <v>1</v>
      </c>
      <c r="B7" s="30" t="s">
        <v>71</v>
      </c>
      <c r="C7" s="32">
        <v>486246821.63</v>
      </c>
    </row>
    <row r="8" spans="1:3" ht="15.75" x14ac:dyDescent="0.2">
      <c r="A8" s="29">
        <v>2</v>
      </c>
      <c r="B8" s="30" t="s">
        <v>72</v>
      </c>
      <c r="C8" s="32">
        <v>484233579</v>
      </c>
    </row>
    <row r="9" spans="1:3" ht="15.75" x14ac:dyDescent="0.2">
      <c r="A9" s="29">
        <v>3</v>
      </c>
      <c r="B9" s="30" t="s">
        <v>73</v>
      </c>
      <c r="C9" s="32">
        <v>481343803</v>
      </c>
    </row>
    <row r="10" spans="1:3" ht="15.75" x14ac:dyDescent="0.2">
      <c r="A10" s="29">
        <v>4</v>
      </c>
      <c r="B10" s="30" t="s">
        <v>74</v>
      </c>
      <c r="C10" s="32">
        <v>499692558</v>
      </c>
    </row>
    <row r="11" spans="1:3" ht="15.75" x14ac:dyDescent="0.2">
      <c r="A11" s="24"/>
      <c r="B11" s="25"/>
      <c r="C11" s="24"/>
    </row>
    <row r="12" spans="1:3" ht="15.75" x14ac:dyDescent="0.25">
      <c r="A12" s="31"/>
      <c r="B12" s="1"/>
      <c r="C12" s="31"/>
    </row>
    <row r="13" spans="1:3" ht="15.75" x14ac:dyDescent="0.25">
      <c r="A13" s="31"/>
      <c r="B13" s="1"/>
      <c r="C13" s="31"/>
    </row>
    <row r="14" spans="1:3" ht="15.75" x14ac:dyDescent="0.25">
      <c r="A14" s="31"/>
      <c r="B14" s="1"/>
      <c r="C14" s="31"/>
    </row>
    <row r="15" spans="1:3" ht="15.75" x14ac:dyDescent="0.25">
      <c r="A15" s="31"/>
      <c r="B15" s="1"/>
      <c r="C15" s="31"/>
    </row>
    <row r="16" spans="1:3" ht="15.75" x14ac:dyDescent="0.25">
      <c r="A16" s="31"/>
      <c r="B16" s="1"/>
      <c r="C16" s="31"/>
    </row>
    <row r="17" spans="1:3" ht="15.75" x14ac:dyDescent="0.25">
      <c r="A17" s="31"/>
      <c r="B17" s="1"/>
      <c r="C17" s="31"/>
    </row>
    <row r="18" spans="1:3" ht="15.75" x14ac:dyDescent="0.25">
      <c r="A18" s="31"/>
      <c r="B18" s="1"/>
      <c r="C18" s="31"/>
    </row>
    <row r="19" spans="1:3" ht="15.75" x14ac:dyDescent="0.25">
      <c r="A19" s="31"/>
      <c r="B19" s="1"/>
      <c r="C19" s="31"/>
    </row>
    <row r="20" spans="1:3" ht="15.75" x14ac:dyDescent="0.25">
      <c r="A20" s="31"/>
      <c r="B20" s="1"/>
      <c r="C20" s="31"/>
    </row>
    <row r="21" spans="1:3" ht="15.75" x14ac:dyDescent="0.25">
      <c r="A21" s="31"/>
      <c r="B21" s="1"/>
      <c r="C21" s="31"/>
    </row>
    <row r="22" spans="1:3" ht="15.75" x14ac:dyDescent="0.25">
      <c r="A22" s="31"/>
      <c r="B22" s="1"/>
      <c r="C22" s="31"/>
    </row>
    <row r="23" spans="1:3" ht="15.75" x14ac:dyDescent="0.25">
      <c r="A23" s="31"/>
      <c r="B23" s="1"/>
      <c r="C23" s="31"/>
    </row>
    <row r="24" spans="1:3" ht="15.75" x14ac:dyDescent="0.25">
      <c r="A24" s="31"/>
      <c r="B24" s="1"/>
      <c r="C24" s="31"/>
    </row>
    <row r="25" spans="1:3" ht="15.75" x14ac:dyDescent="0.25">
      <c r="A25" s="31"/>
      <c r="B25" s="1"/>
      <c r="C25" s="31"/>
    </row>
    <row r="26" spans="1:3" ht="15.75" x14ac:dyDescent="0.25">
      <c r="A26" s="31"/>
      <c r="B26" s="1"/>
      <c r="C26" s="31"/>
    </row>
    <row r="27" spans="1:3" ht="15.75" x14ac:dyDescent="0.25">
      <c r="A27" s="31"/>
      <c r="B27" s="1"/>
      <c r="C27" s="31"/>
    </row>
    <row r="28" spans="1:3" ht="15.75" x14ac:dyDescent="0.25">
      <c r="A28" s="31"/>
      <c r="B28" s="1"/>
      <c r="C28" s="31"/>
    </row>
    <row r="29" spans="1:3" ht="15.75" x14ac:dyDescent="0.25">
      <c r="A29" s="31"/>
      <c r="B29" s="1"/>
      <c r="C29" s="31"/>
    </row>
    <row r="30" spans="1:3" ht="15.75" x14ac:dyDescent="0.25">
      <c r="A30" s="31"/>
      <c r="B30" s="1"/>
      <c r="C30" s="31"/>
    </row>
    <row r="31" spans="1:3" ht="15.75" x14ac:dyDescent="0.25">
      <c r="A31" s="31"/>
      <c r="B31" s="1"/>
      <c r="C31" s="31"/>
    </row>
    <row r="32" spans="1:3" ht="15.75" x14ac:dyDescent="0.25">
      <c r="A32" s="31"/>
      <c r="B32" s="1"/>
      <c r="C32" s="31"/>
    </row>
    <row r="33" spans="1:3" ht="15.75" x14ac:dyDescent="0.25">
      <c r="A33" s="31"/>
      <c r="B33" s="1"/>
      <c r="C33" s="31"/>
    </row>
    <row r="34" spans="1:3" ht="15.75" x14ac:dyDescent="0.25">
      <c r="A34" s="31"/>
      <c r="B34" s="1"/>
      <c r="C34" s="31"/>
    </row>
    <row r="35" spans="1:3" ht="15.75" x14ac:dyDescent="0.25">
      <c r="A35" s="31"/>
      <c r="B35" s="1"/>
      <c r="C35" s="31"/>
    </row>
    <row r="36" spans="1:3" ht="15.75" x14ac:dyDescent="0.25">
      <c r="A36" s="31"/>
      <c r="B36" s="1"/>
      <c r="C36" s="31"/>
    </row>
    <row r="37" spans="1:3" ht="15.75" x14ac:dyDescent="0.25">
      <c r="A37" s="31"/>
      <c r="B37" s="1"/>
      <c r="C37" s="31"/>
    </row>
    <row r="38" spans="1:3" ht="15.75" x14ac:dyDescent="0.25">
      <c r="A38" s="31"/>
      <c r="B38" s="1"/>
      <c r="C38" s="31"/>
    </row>
    <row r="39" spans="1:3" ht="15.75" x14ac:dyDescent="0.25">
      <c r="A39" s="31"/>
      <c r="B39" s="1"/>
      <c r="C39" s="31"/>
    </row>
    <row r="40" spans="1:3" ht="15.75" x14ac:dyDescent="0.25">
      <c r="A40" s="31"/>
      <c r="B40" s="1"/>
      <c r="C40" s="31"/>
    </row>
    <row r="41" spans="1:3" ht="15.75" x14ac:dyDescent="0.25">
      <c r="A41" s="31"/>
      <c r="B41" s="1"/>
      <c r="C41" s="31"/>
    </row>
    <row r="42" spans="1:3" ht="15.75" x14ac:dyDescent="0.25">
      <c r="A42" s="31"/>
      <c r="B42" s="1"/>
      <c r="C42" s="31"/>
    </row>
    <row r="43" spans="1:3" ht="15.75" x14ac:dyDescent="0.25">
      <c r="A43" s="31"/>
      <c r="B43" s="1"/>
      <c r="C43" s="31"/>
    </row>
    <row r="44" spans="1:3" ht="15.75" x14ac:dyDescent="0.25">
      <c r="A44" s="31"/>
      <c r="B44" s="1"/>
      <c r="C44" s="31"/>
    </row>
    <row r="45" spans="1:3" ht="15.75" x14ac:dyDescent="0.25">
      <c r="A45" s="31"/>
      <c r="B45" s="1"/>
      <c r="C45" s="31"/>
    </row>
    <row r="46" spans="1:3" ht="15.75" x14ac:dyDescent="0.25">
      <c r="A46" s="31"/>
      <c r="B46" s="1"/>
      <c r="C46" s="31"/>
    </row>
    <row r="47" spans="1:3" ht="15.75" x14ac:dyDescent="0.25">
      <c r="A47" s="31"/>
      <c r="B47" s="1"/>
      <c r="C47" s="31"/>
    </row>
    <row r="48" spans="1:3" ht="15.75" x14ac:dyDescent="0.25">
      <c r="A48" s="31"/>
      <c r="B48" s="1"/>
      <c r="C48" s="31"/>
    </row>
    <row r="49" spans="1:3" ht="15.75" x14ac:dyDescent="0.25">
      <c r="A49" s="31"/>
      <c r="B49" s="1"/>
      <c r="C49" s="31"/>
    </row>
    <row r="50" spans="1:3" ht="15.75" x14ac:dyDescent="0.25">
      <c r="A50" s="31"/>
      <c r="B50" s="1"/>
      <c r="C50" s="31"/>
    </row>
    <row r="51" spans="1:3" ht="15.75" x14ac:dyDescent="0.25">
      <c r="A51" s="31"/>
      <c r="B51" s="1"/>
      <c r="C51" s="31"/>
    </row>
    <row r="52" spans="1:3" ht="15.75" x14ac:dyDescent="0.25">
      <c r="A52" s="31"/>
      <c r="B52" s="1"/>
      <c r="C52" s="31"/>
    </row>
    <row r="53" spans="1:3" ht="15.75" x14ac:dyDescent="0.25">
      <c r="A53" s="31"/>
      <c r="B53" s="1"/>
      <c r="C53" s="31"/>
    </row>
    <row r="54" spans="1:3" ht="15.75" x14ac:dyDescent="0.25">
      <c r="A54" s="31"/>
      <c r="B54" s="1"/>
      <c r="C54" s="31"/>
    </row>
    <row r="55" spans="1:3" ht="15.75" x14ac:dyDescent="0.25">
      <c r="A55" s="31"/>
      <c r="B55" s="1"/>
      <c r="C55" s="31"/>
    </row>
    <row r="56" spans="1:3" ht="15.75" x14ac:dyDescent="0.25">
      <c r="A56" s="31"/>
      <c r="B56" s="1"/>
      <c r="C56" s="31"/>
    </row>
    <row r="57" spans="1:3" ht="15.75" x14ac:dyDescent="0.25">
      <c r="A57" s="31"/>
      <c r="B57" s="1"/>
      <c r="C57" s="31"/>
    </row>
    <row r="58" spans="1:3" ht="15.75" x14ac:dyDescent="0.25">
      <c r="A58" s="31"/>
      <c r="B58" s="1"/>
      <c r="C58" s="31"/>
    </row>
    <row r="59" spans="1:3" ht="15.75" x14ac:dyDescent="0.25">
      <c r="A59" s="31"/>
      <c r="B59" s="1"/>
      <c r="C59" s="31"/>
    </row>
    <row r="60" spans="1:3" ht="15.75" x14ac:dyDescent="0.25">
      <c r="A60" s="31"/>
      <c r="B60" s="1"/>
      <c r="C60" s="31"/>
    </row>
    <row r="61" spans="1:3" ht="15.75" x14ac:dyDescent="0.25">
      <c r="A61" s="31"/>
      <c r="B61" s="1"/>
      <c r="C61" s="31"/>
    </row>
    <row r="62" spans="1:3" ht="15.75" x14ac:dyDescent="0.25">
      <c r="A62" s="31"/>
      <c r="B62" s="1"/>
      <c r="C62" s="31"/>
    </row>
    <row r="63" spans="1:3" ht="15.75" x14ac:dyDescent="0.25">
      <c r="A63" s="31"/>
      <c r="B63" s="1"/>
      <c r="C63" s="31"/>
    </row>
    <row r="64" spans="1:3" ht="15.75" x14ac:dyDescent="0.25">
      <c r="A64" s="31"/>
      <c r="B64" s="1"/>
      <c r="C64" s="31"/>
    </row>
    <row r="65" spans="1:3" ht="15.75" x14ac:dyDescent="0.25">
      <c r="A65" s="31"/>
      <c r="B65" s="1"/>
      <c r="C65" s="31"/>
    </row>
    <row r="66" spans="1:3" ht="15.75" x14ac:dyDescent="0.25">
      <c r="A66" s="31"/>
      <c r="B66" s="1"/>
      <c r="C66" s="31"/>
    </row>
    <row r="67" spans="1:3" ht="15.75" x14ac:dyDescent="0.25">
      <c r="A67" s="31"/>
      <c r="B67" s="1"/>
      <c r="C67" s="31"/>
    </row>
    <row r="68" spans="1:3" ht="15.75" x14ac:dyDescent="0.25">
      <c r="A68" s="31"/>
      <c r="B68" s="1"/>
      <c r="C68" s="31"/>
    </row>
    <row r="69" spans="1:3" ht="15.75" x14ac:dyDescent="0.25">
      <c r="A69" s="31"/>
      <c r="B69" s="1"/>
      <c r="C69" s="31"/>
    </row>
    <row r="70" spans="1:3" ht="15.75" x14ac:dyDescent="0.25">
      <c r="A70" s="31"/>
      <c r="B70" s="1"/>
      <c r="C70" s="31"/>
    </row>
    <row r="71" spans="1:3" ht="15.75" x14ac:dyDescent="0.25">
      <c r="A71" s="31"/>
      <c r="B71" s="1"/>
      <c r="C71" s="31"/>
    </row>
    <row r="72" spans="1:3" ht="15.75" x14ac:dyDescent="0.25">
      <c r="A72" s="31"/>
      <c r="B72" s="1"/>
      <c r="C72" s="31"/>
    </row>
    <row r="73" spans="1:3" ht="15.75" x14ac:dyDescent="0.25">
      <c r="A73" s="31"/>
      <c r="B73" s="1"/>
      <c r="C73" s="31"/>
    </row>
    <row r="74" spans="1:3" ht="15.75" x14ac:dyDescent="0.25">
      <c r="A74" s="31"/>
      <c r="B74" s="1"/>
      <c r="C74" s="31"/>
    </row>
    <row r="75" spans="1:3" ht="15.75" x14ac:dyDescent="0.25">
      <c r="A75" s="31"/>
      <c r="B75" s="1"/>
      <c r="C75" s="31"/>
    </row>
    <row r="76" spans="1:3" ht="15.75" x14ac:dyDescent="0.25">
      <c r="A76" s="31"/>
      <c r="B76" s="1"/>
      <c r="C76" s="31"/>
    </row>
    <row r="77" spans="1:3" ht="15.75" x14ac:dyDescent="0.25">
      <c r="A77" s="31"/>
      <c r="B77" s="1"/>
      <c r="C77" s="31"/>
    </row>
    <row r="78" spans="1:3" ht="15.75" x14ac:dyDescent="0.25">
      <c r="A78" s="31"/>
      <c r="B78" s="1"/>
      <c r="C78" s="31"/>
    </row>
    <row r="79" spans="1:3" ht="15.75" x14ac:dyDescent="0.25">
      <c r="A79" s="31"/>
      <c r="B79" s="1"/>
      <c r="C79" s="31"/>
    </row>
    <row r="80" spans="1:3" ht="15.75" x14ac:dyDescent="0.25">
      <c r="A80" s="31"/>
      <c r="B80" s="1"/>
      <c r="C80" s="31"/>
    </row>
    <row r="81" spans="1:3" ht="15.75" x14ac:dyDescent="0.25">
      <c r="A81" s="31"/>
      <c r="B81" s="1"/>
      <c r="C81" s="31"/>
    </row>
    <row r="82" spans="1:3" ht="15.75" x14ac:dyDescent="0.25">
      <c r="A82" s="31"/>
      <c r="B82" s="1"/>
      <c r="C82" s="31"/>
    </row>
    <row r="83" spans="1:3" ht="15.75" x14ac:dyDescent="0.25">
      <c r="A83" s="31"/>
      <c r="B83" s="1"/>
      <c r="C83" s="31"/>
    </row>
    <row r="84" spans="1:3" ht="15.75" x14ac:dyDescent="0.25">
      <c r="A84" s="31"/>
      <c r="B84" s="1"/>
      <c r="C84" s="31"/>
    </row>
    <row r="85" spans="1:3" ht="15.75" x14ac:dyDescent="0.25">
      <c r="A85" s="31"/>
      <c r="B85" s="1"/>
      <c r="C85" s="31"/>
    </row>
    <row r="86" spans="1:3" ht="15.75" x14ac:dyDescent="0.25">
      <c r="A86" s="31"/>
      <c r="B86" s="1"/>
      <c r="C86" s="31"/>
    </row>
    <row r="87" spans="1:3" ht="15.75" x14ac:dyDescent="0.25">
      <c r="A87" s="31"/>
      <c r="B87" s="1"/>
      <c r="C87" s="31"/>
    </row>
    <row r="88" spans="1:3" ht="15.75" x14ac:dyDescent="0.25">
      <c r="A88" s="31"/>
      <c r="B88" s="1"/>
      <c r="C88" s="31"/>
    </row>
    <row r="89" spans="1:3" ht="15.75" x14ac:dyDescent="0.25">
      <c r="A89" s="31"/>
      <c r="B89" s="1"/>
      <c r="C89" s="31"/>
    </row>
    <row r="90" spans="1:3" ht="15.75" x14ac:dyDescent="0.25">
      <c r="A90" s="31"/>
      <c r="B90" s="1"/>
      <c r="C90" s="31"/>
    </row>
    <row r="91" spans="1:3" ht="15.75" x14ac:dyDescent="0.25">
      <c r="A91" s="31"/>
      <c r="B91" s="1"/>
      <c r="C91" s="31"/>
    </row>
    <row r="92" spans="1:3" ht="15.75" x14ac:dyDescent="0.25">
      <c r="A92" s="31"/>
      <c r="B92" s="1"/>
      <c r="C92" s="31"/>
    </row>
    <row r="93" spans="1:3" ht="15.75" x14ac:dyDescent="0.25">
      <c r="A93" s="31"/>
      <c r="B93" s="1"/>
      <c r="C93" s="31"/>
    </row>
    <row r="94" spans="1:3" ht="15.75" x14ac:dyDescent="0.25">
      <c r="A94" s="31"/>
      <c r="B94" s="1"/>
      <c r="C94" s="31"/>
    </row>
    <row r="95" spans="1:3" ht="15.75" x14ac:dyDescent="0.25">
      <c r="A95" s="31"/>
      <c r="B95" s="1"/>
      <c r="C95" s="31"/>
    </row>
    <row r="96" spans="1:3" ht="15.75" x14ac:dyDescent="0.25">
      <c r="A96" s="31"/>
      <c r="B96" s="1"/>
      <c r="C96" s="31"/>
    </row>
    <row r="97" spans="1:3" ht="15.75" x14ac:dyDescent="0.25">
      <c r="A97" s="31"/>
      <c r="B97" s="1"/>
      <c r="C97" s="31"/>
    </row>
    <row r="98" spans="1:3" ht="15.75" x14ac:dyDescent="0.25">
      <c r="A98" s="31"/>
      <c r="B98" s="1"/>
      <c r="C98" s="31"/>
    </row>
    <row r="99" spans="1:3" ht="15.75" x14ac:dyDescent="0.25">
      <c r="A99" s="31"/>
      <c r="B99" s="1"/>
      <c r="C99" s="31"/>
    </row>
    <row r="100" spans="1:3" ht="15.75" x14ac:dyDescent="0.25">
      <c r="A100" s="31"/>
      <c r="B100" s="1"/>
      <c r="C100" s="31"/>
    </row>
    <row r="101" spans="1:3" ht="15.75" x14ac:dyDescent="0.25">
      <c r="A101" s="31"/>
      <c r="B101" s="1"/>
      <c r="C101" s="31"/>
    </row>
    <row r="102" spans="1:3" ht="15.75" x14ac:dyDescent="0.25">
      <c r="A102" s="31"/>
      <c r="B102" s="1"/>
      <c r="C102" s="31"/>
    </row>
    <row r="103" spans="1:3" ht="15.75" x14ac:dyDescent="0.25">
      <c r="A103" s="31"/>
      <c r="B103" s="1"/>
      <c r="C103" s="31"/>
    </row>
    <row r="104" spans="1:3" ht="15.75" x14ac:dyDescent="0.25">
      <c r="A104" s="31"/>
      <c r="B104" s="1"/>
      <c r="C104" s="31"/>
    </row>
    <row r="105" spans="1:3" ht="15.75" x14ac:dyDescent="0.25">
      <c r="A105" s="31"/>
      <c r="B105" s="1"/>
      <c r="C105" s="31"/>
    </row>
    <row r="106" spans="1:3" ht="15.75" x14ac:dyDescent="0.25">
      <c r="A106" s="31"/>
      <c r="B106" s="1"/>
      <c r="C106" s="31"/>
    </row>
    <row r="107" spans="1:3" ht="15.75" x14ac:dyDescent="0.25">
      <c r="A107" s="31"/>
      <c r="B107" s="1"/>
      <c r="C107" s="31"/>
    </row>
    <row r="108" spans="1:3" ht="15.75" x14ac:dyDescent="0.25">
      <c r="A108" s="31"/>
      <c r="B108" s="1"/>
      <c r="C108" s="31"/>
    </row>
    <row r="109" spans="1:3" ht="15.75" x14ac:dyDescent="0.25">
      <c r="A109" s="31"/>
      <c r="B109" s="1"/>
      <c r="C109" s="31"/>
    </row>
    <row r="110" spans="1:3" ht="15.75" x14ac:dyDescent="0.25">
      <c r="A110" s="31"/>
      <c r="B110" s="1"/>
      <c r="C110" s="31"/>
    </row>
    <row r="111" spans="1:3" ht="15.75" x14ac:dyDescent="0.25">
      <c r="A111" s="31"/>
      <c r="B111" s="1"/>
      <c r="C111" s="31"/>
    </row>
    <row r="112" spans="1:3" ht="15.75" x14ac:dyDescent="0.25">
      <c r="A112" s="31"/>
      <c r="B112" s="1"/>
      <c r="C112" s="31"/>
    </row>
    <row r="113" spans="1:3" ht="15.75" x14ac:dyDescent="0.25">
      <c r="A113" s="31"/>
      <c r="B113" s="1"/>
      <c r="C113" s="31"/>
    </row>
    <row r="114" spans="1:3" ht="15.75" x14ac:dyDescent="0.25">
      <c r="A114" s="31"/>
      <c r="B114" s="1"/>
      <c r="C114" s="31"/>
    </row>
    <row r="115" spans="1:3" ht="15.75" x14ac:dyDescent="0.25">
      <c r="A115" s="31"/>
      <c r="B115" s="1"/>
      <c r="C115" s="31"/>
    </row>
    <row r="116" spans="1:3" ht="15.75" x14ac:dyDescent="0.25">
      <c r="A116" s="31"/>
      <c r="B116" s="1"/>
      <c r="C116" s="31"/>
    </row>
    <row r="117" spans="1:3" ht="15.75" x14ac:dyDescent="0.25">
      <c r="A117" s="31"/>
      <c r="B117" s="1"/>
      <c r="C117" s="31"/>
    </row>
    <row r="118" spans="1:3" ht="15.75" x14ac:dyDescent="0.25">
      <c r="A118" s="31"/>
      <c r="B118" s="1"/>
      <c r="C118" s="31"/>
    </row>
    <row r="119" spans="1:3" ht="15.75" x14ac:dyDescent="0.25">
      <c r="A119" s="31"/>
      <c r="B119" s="1"/>
      <c r="C119" s="31"/>
    </row>
    <row r="120" spans="1:3" ht="15.75" x14ac:dyDescent="0.25">
      <c r="A120" s="31"/>
      <c r="B120" s="1"/>
      <c r="C120" s="31"/>
    </row>
    <row r="121" spans="1:3" ht="15.75" x14ac:dyDescent="0.25">
      <c r="A121" s="31"/>
      <c r="B121" s="1"/>
      <c r="C121" s="31"/>
    </row>
    <row r="122" spans="1:3" ht="15.75" x14ac:dyDescent="0.25">
      <c r="A122" s="31"/>
      <c r="B122" s="1"/>
      <c r="C122" s="31"/>
    </row>
    <row r="123" spans="1:3" ht="15.75" x14ac:dyDescent="0.25">
      <c r="A123" s="31"/>
      <c r="B123" s="1"/>
      <c r="C123" s="31"/>
    </row>
    <row r="124" spans="1:3" ht="15.75" x14ac:dyDescent="0.25">
      <c r="A124" s="31"/>
      <c r="B124" s="1"/>
      <c r="C124" s="31"/>
    </row>
    <row r="125" spans="1:3" ht="15.75" x14ac:dyDescent="0.25">
      <c r="A125" s="31"/>
      <c r="B125" s="1"/>
      <c r="C125" s="31"/>
    </row>
    <row r="126" spans="1:3" ht="15.75" x14ac:dyDescent="0.25">
      <c r="A126" s="31"/>
      <c r="B126" s="1"/>
      <c r="C126" s="31"/>
    </row>
    <row r="127" spans="1:3" ht="15.75" x14ac:dyDescent="0.25">
      <c r="A127" s="31"/>
      <c r="B127" s="1"/>
      <c r="C127" s="31"/>
    </row>
    <row r="128" spans="1:3" ht="15.75" x14ac:dyDescent="0.25">
      <c r="A128" s="31"/>
      <c r="B128" s="1"/>
      <c r="C128" s="31"/>
    </row>
    <row r="129" spans="1:3" ht="15.75" x14ac:dyDescent="0.25">
      <c r="A129" s="31"/>
      <c r="B129" s="1"/>
      <c r="C129" s="31"/>
    </row>
    <row r="130" spans="1:3" ht="15.75" x14ac:dyDescent="0.25">
      <c r="A130" s="31"/>
      <c r="B130" s="1"/>
      <c r="C130" s="31"/>
    </row>
    <row r="131" spans="1:3" ht="15.75" x14ac:dyDescent="0.25">
      <c r="A131" s="31"/>
      <c r="B131" s="1"/>
      <c r="C131" s="31"/>
    </row>
    <row r="132" spans="1:3" ht="15.75" x14ac:dyDescent="0.25">
      <c r="A132" s="31"/>
      <c r="B132" s="1"/>
      <c r="C132" s="31"/>
    </row>
    <row r="133" spans="1:3" ht="15.75" x14ac:dyDescent="0.25">
      <c r="A133" s="31"/>
      <c r="B133" s="1"/>
      <c r="C133" s="31"/>
    </row>
    <row r="134" spans="1:3" ht="15.75" x14ac:dyDescent="0.25">
      <c r="A134" s="31"/>
      <c r="B134" s="1"/>
      <c r="C134" s="31"/>
    </row>
    <row r="135" spans="1:3" ht="15.75" x14ac:dyDescent="0.25">
      <c r="A135" s="31"/>
      <c r="B135" s="1"/>
      <c r="C135" s="31"/>
    </row>
    <row r="136" spans="1:3" ht="15.75" x14ac:dyDescent="0.25">
      <c r="A136" s="31"/>
      <c r="B136" s="1"/>
      <c r="C136" s="31"/>
    </row>
    <row r="137" spans="1:3" ht="15.75" x14ac:dyDescent="0.25">
      <c r="A137" s="31"/>
      <c r="B137" s="1"/>
      <c r="C137" s="31"/>
    </row>
    <row r="138" spans="1:3" ht="15.75" x14ac:dyDescent="0.25">
      <c r="A138" s="31"/>
      <c r="B138" s="1"/>
      <c r="C138" s="31"/>
    </row>
    <row r="139" spans="1:3" ht="15.75" x14ac:dyDescent="0.25">
      <c r="A139" s="31"/>
      <c r="B139" s="1"/>
      <c r="C139" s="31"/>
    </row>
    <row r="140" spans="1:3" ht="15.75" x14ac:dyDescent="0.25">
      <c r="A140" s="31"/>
      <c r="B140" s="1"/>
      <c r="C140" s="31"/>
    </row>
    <row r="141" spans="1:3" ht="15.75" x14ac:dyDescent="0.25">
      <c r="A141" s="31"/>
      <c r="B141" s="1"/>
      <c r="C141" s="31"/>
    </row>
    <row r="142" spans="1:3" ht="15.75" x14ac:dyDescent="0.25">
      <c r="A142" s="31"/>
      <c r="B142" s="1"/>
      <c r="C142" s="31"/>
    </row>
    <row r="143" spans="1:3" ht="15.75" x14ac:dyDescent="0.25">
      <c r="A143" s="31"/>
      <c r="B143" s="1"/>
      <c r="C143" s="31"/>
    </row>
    <row r="144" spans="1:3" ht="15.75" x14ac:dyDescent="0.25">
      <c r="A144" s="31"/>
      <c r="B144" s="1"/>
      <c r="C144" s="31"/>
    </row>
    <row r="145" spans="1:3" ht="15.75" x14ac:dyDescent="0.25">
      <c r="A145" s="31"/>
      <c r="B145" s="1"/>
      <c r="C145" s="31"/>
    </row>
    <row r="146" spans="1:3" ht="15.75" x14ac:dyDescent="0.25">
      <c r="A146" s="31"/>
      <c r="B146" s="1"/>
      <c r="C146" s="31"/>
    </row>
    <row r="147" spans="1:3" ht="15.75" x14ac:dyDescent="0.25">
      <c r="A147" s="31"/>
      <c r="B147" s="1"/>
      <c r="C147" s="31"/>
    </row>
    <row r="148" spans="1:3" ht="15.75" x14ac:dyDescent="0.25">
      <c r="A148" s="31"/>
      <c r="B148" s="1"/>
      <c r="C148" s="31"/>
    </row>
    <row r="149" spans="1:3" ht="15.75" x14ac:dyDescent="0.25">
      <c r="A149" s="31"/>
      <c r="B149" s="1"/>
      <c r="C149" s="31"/>
    </row>
    <row r="150" spans="1:3" ht="15.75" x14ac:dyDescent="0.25">
      <c r="A150" s="31"/>
      <c r="B150" s="1"/>
      <c r="C150" s="31"/>
    </row>
    <row r="151" spans="1:3" ht="15.75" x14ac:dyDescent="0.25">
      <c r="A151" s="31"/>
      <c r="B151" s="1"/>
      <c r="C151" s="31"/>
    </row>
    <row r="152" spans="1:3" ht="15.75" x14ac:dyDescent="0.25">
      <c r="A152" s="31"/>
      <c r="B152" s="1"/>
      <c r="C152" s="31"/>
    </row>
    <row r="153" spans="1:3" ht="15.75" x14ac:dyDescent="0.25">
      <c r="A153" s="31"/>
      <c r="B153" s="1"/>
      <c r="C153" s="31"/>
    </row>
    <row r="154" spans="1:3" ht="15.75" x14ac:dyDescent="0.25">
      <c r="A154" s="31"/>
      <c r="B154" s="1"/>
      <c r="C154" s="31"/>
    </row>
    <row r="155" spans="1:3" ht="15.75" x14ac:dyDescent="0.25">
      <c r="A155" s="31"/>
      <c r="B155" s="1"/>
      <c r="C155" s="31"/>
    </row>
    <row r="156" spans="1:3" ht="15.75" x14ac:dyDescent="0.25">
      <c r="A156" s="31"/>
      <c r="B156" s="1"/>
      <c r="C156" s="31"/>
    </row>
    <row r="157" spans="1:3" ht="15.75" x14ac:dyDescent="0.25">
      <c r="A157" s="31"/>
      <c r="B157" s="1"/>
      <c r="C157" s="31"/>
    </row>
    <row r="158" spans="1:3" ht="15.75" x14ac:dyDescent="0.25">
      <c r="A158" s="31"/>
      <c r="B158" s="1"/>
      <c r="C158" s="31"/>
    </row>
    <row r="159" spans="1:3" ht="15.75" x14ac:dyDescent="0.25">
      <c r="A159" s="31"/>
      <c r="B159" s="1"/>
      <c r="C159" s="31"/>
    </row>
    <row r="160" spans="1:3" ht="15.75" x14ac:dyDescent="0.25">
      <c r="A160" s="31"/>
      <c r="B160" s="1"/>
      <c r="C160" s="31"/>
    </row>
    <row r="161" spans="1:3" ht="15.75" x14ac:dyDescent="0.25">
      <c r="A161" s="31"/>
      <c r="B161" s="1"/>
      <c r="C161" s="31"/>
    </row>
    <row r="162" spans="1:3" ht="15.75" x14ac:dyDescent="0.25">
      <c r="A162" s="31"/>
      <c r="B162" s="1"/>
      <c r="C162" s="31"/>
    </row>
    <row r="163" spans="1:3" ht="15.75" x14ac:dyDescent="0.25">
      <c r="A163" s="31"/>
      <c r="B163" s="1"/>
      <c r="C163" s="31"/>
    </row>
    <row r="164" spans="1:3" ht="15.75" x14ac:dyDescent="0.25">
      <c r="A164" s="31"/>
      <c r="B164" s="1"/>
      <c r="C164" s="31"/>
    </row>
    <row r="165" spans="1:3" ht="15.75" x14ac:dyDescent="0.25">
      <c r="A165" s="31"/>
      <c r="B165" s="1"/>
      <c r="C165" s="31"/>
    </row>
    <row r="166" spans="1:3" ht="15.75" x14ac:dyDescent="0.25">
      <c r="A166" s="31"/>
      <c r="B166" s="1"/>
      <c r="C166" s="31"/>
    </row>
    <row r="167" spans="1:3" ht="15.75" x14ac:dyDescent="0.25">
      <c r="A167" s="31"/>
      <c r="B167" s="1"/>
      <c r="C167" s="31"/>
    </row>
    <row r="168" spans="1:3" ht="15.75" x14ac:dyDescent="0.25">
      <c r="A168" s="31"/>
      <c r="B168" s="1"/>
      <c r="C168" s="31"/>
    </row>
    <row r="169" spans="1:3" ht="15.75" x14ac:dyDescent="0.25">
      <c r="A169" s="31"/>
      <c r="B169" s="1"/>
      <c r="C169" s="31"/>
    </row>
    <row r="170" spans="1:3" ht="15.75" x14ac:dyDescent="0.25">
      <c r="A170" s="31"/>
      <c r="B170" s="1"/>
      <c r="C170" s="31"/>
    </row>
    <row r="171" spans="1:3" ht="15.75" x14ac:dyDescent="0.25">
      <c r="A171" s="31"/>
      <c r="B171" s="1"/>
      <c r="C171" s="31"/>
    </row>
    <row r="172" spans="1:3" ht="15.75" x14ac:dyDescent="0.25">
      <c r="A172" s="31"/>
      <c r="B172" s="1"/>
      <c r="C172" s="31"/>
    </row>
    <row r="173" spans="1:3" ht="15.75" x14ac:dyDescent="0.25">
      <c r="A173" s="31"/>
      <c r="B173" s="1"/>
      <c r="C173" s="31"/>
    </row>
    <row r="174" spans="1:3" ht="15.75" x14ac:dyDescent="0.25">
      <c r="A174" s="31"/>
      <c r="B174" s="1"/>
      <c r="C174" s="31"/>
    </row>
    <row r="175" spans="1:3" ht="15.75" x14ac:dyDescent="0.25">
      <c r="A175" s="31"/>
      <c r="B175" s="1"/>
      <c r="C175" s="31"/>
    </row>
    <row r="176" spans="1:3" ht="15.75" x14ac:dyDescent="0.25">
      <c r="A176" s="31"/>
      <c r="B176" s="1"/>
      <c r="C176" s="31"/>
    </row>
    <row r="177" spans="1:3" ht="15.75" x14ac:dyDescent="0.25">
      <c r="A177" s="31"/>
      <c r="B177" s="1"/>
      <c r="C177" s="31"/>
    </row>
    <row r="178" spans="1:3" ht="15.75" x14ac:dyDescent="0.25">
      <c r="A178" s="31"/>
      <c r="B178" s="1"/>
      <c r="C178" s="31"/>
    </row>
    <row r="179" spans="1:3" ht="15.75" x14ac:dyDescent="0.25">
      <c r="A179" s="31"/>
      <c r="B179" s="1"/>
      <c r="C179" s="31"/>
    </row>
    <row r="180" spans="1:3" ht="15.75" x14ac:dyDescent="0.25">
      <c r="A180" s="31"/>
      <c r="B180" s="1"/>
      <c r="C180" s="31"/>
    </row>
    <row r="181" spans="1:3" ht="15.75" x14ac:dyDescent="0.25">
      <c r="A181" s="31"/>
      <c r="B181" s="1"/>
      <c r="C181" s="31"/>
    </row>
    <row r="182" spans="1:3" ht="15.75" x14ac:dyDescent="0.25">
      <c r="A182" s="31"/>
      <c r="B182" s="1"/>
      <c r="C182" s="31"/>
    </row>
    <row r="183" spans="1:3" ht="15.75" x14ac:dyDescent="0.25">
      <c r="A183" s="31"/>
      <c r="B183" s="1"/>
      <c r="C183" s="31"/>
    </row>
    <row r="184" spans="1:3" ht="15.75" x14ac:dyDescent="0.25">
      <c r="A184" s="31"/>
      <c r="B184" s="1"/>
      <c r="C184" s="31"/>
    </row>
    <row r="185" spans="1:3" ht="15.75" x14ac:dyDescent="0.25">
      <c r="A185" s="31"/>
      <c r="B185" s="1"/>
      <c r="C185" s="31"/>
    </row>
    <row r="186" spans="1:3" ht="15.75" x14ac:dyDescent="0.25">
      <c r="A186" s="31"/>
      <c r="B186" s="1"/>
      <c r="C186" s="31"/>
    </row>
    <row r="187" spans="1:3" ht="15.75" x14ac:dyDescent="0.25">
      <c r="A187" s="31"/>
      <c r="B187" s="1"/>
      <c r="C187" s="31"/>
    </row>
    <row r="188" spans="1:3" ht="15.75" x14ac:dyDescent="0.25">
      <c r="A188" s="31"/>
      <c r="B188" s="1"/>
      <c r="C188" s="31"/>
    </row>
    <row r="189" spans="1:3" ht="15.75" x14ac:dyDescent="0.25">
      <c r="A189" s="31"/>
      <c r="B189" s="1"/>
      <c r="C189" s="31"/>
    </row>
    <row r="190" spans="1:3" ht="15.75" x14ac:dyDescent="0.25">
      <c r="A190" s="31"/>
      <c r="B190" s="1"/>
      <c r="C190" s="31"/>
    </row>
    <row r="191" spans="1:3" ht="15.75" x14ac:dyDescent="0.25">
      <c r="A191" s="31"/>
      <c r="B191" s="1"/>
      <c r="C191" s="31"/>
    </row>
    <row r="192" spans="1:3" ht="15.75" x14ac:dyDescent="0.25">
      <c r="A192" s="31"/>
      <c r="B192" s="1"/>
      <c r="C192" s="31"/>
    </row>
    <row r="193" spans="1:3" ht="15.75" x14ac:dyDescent="0.25">
      <c r="A193" s="31"/>
      <c r="B193" s="1"/>
      <c r="C193" s="31"/>
    </row>
    <row r="194" spans="1:3" ht="15.75" x14ac:dyDescent="0.25">
      <c r="A194" s="31"/>
      <c r="B194" s="1"/>
      <c r="C194" s="31"/>
    </row>
    <row r="195" spans="1:3" ht="15.75" x14ac:dyDescent="0.25">
      <c r="A195" s="31"/>
      <c r="B195" s="1"/>
      <c r="C195" s="31"/>
    </row>
    <row r="196" spans="1:3" ht="15.75" x14ac:dyDescent="0.25">
      <c r="A196" s="31"/>
      <c r="B196" s="1"/>
      <c r="C196" s="31"/>
    </row>
    <row r="197" spans="1:3" ht="15.75" x14ac:dyDescent="0.25">
      <c r="A197" s="31"/>
      <c r="B197" s="1"/>
      <c r="C197" s="31"/>
    </row>
    <row r="198" spans="1:3" ht="15.75" x14ac:dyDescent="0.25">
      <c r="A198" s="31"/>
      <c r="B198" s="1"/>
      <c r="C198" s="31"/>
    </row>
    <row r="199" spans="1:3" ht="15.75" x14ac:dyDescent="0.25">
      <c r="A199" s="31"/>
      <c r="B199" s="1"/>
      <c r="C199" s="31"/>
    </row>
    <row r="200" spans="1:3" ht="15.75" x14ac:dyDescent="0.25">
      <c r="A200" s="31"/>
      <c r="B200" s="1"/>
      <c r="C200" s="31"/>
    </row>
    <row r="201" spans="1:3" ht="15.75" x14ac:dyDescent="0.25">
      <c r="A201" s="31"/>
      <c r="B201" s="1"/>
      <c r="C201" s="31"/>
    </row>
    <row r="202" spans="1:3" ht="15.75" x14ac:dyDescent="0.25">
      <c r="A202" s="31"/>
      <c r="B202" s="1"/>
      <c r="C202" s="31"/>
    </row>
  </sheetData>
  <mergeCells count="4">
    <mergeCell ref="A1:C1"/>
    <mergeCell ref="A2:C2"/>
    <mergeCell ref="A3:C3"/>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election activeCell="A9" sqref="A9"/>
    </sheetView>
  </sheetViews>
  <sheetFormatPr baseColWidth="10" defaultRowHeight="15" x14ac:dyDescent="0.25"/>
  <cols>
    <col min="1" max="1" width="32.7109375" bestFit="1" customWidth="1"/>
    <col min="2" max="2" width="15.7109375" bestFit="1" customWidth="1"/>
    <col min="3" max="3" width="13" customWidth="1"/>
    <col min="4" max="4" width="13.7109375" bestFit="1" customWidth="1"/>
  </cols>
  <sheetData>
    <row r="1" spans="1:5" x14ac:dyDescent="0.25">
      <c r="A1" s="100" t="s">
        <v>55</v>
      </c>
      <c r="B1" s="100"/>
      <c r="C1" s="100"/>
      <c r="D1" s="100"/>
      <c r="E1" s="100"/>
    </row>
    <row r="2" spans="1:5" x14ac:dyDescent="0.25">
      <c r="A2" s="100" t="s">
        <v>83</v>
      </c>
      <c r="B2" s="100"/>
      <c r="C2" s="100"/>
      <c r="D2" s="100"/>
      <c r="E2" s="100"/>
    </row>
    <row r="3" spans="1:5" x14ac:dyDescent="0.25">
      <c r="A3" s="100" t="s">
        <v>87</v>
      </c>
      <c r="B3" s="100"/>
      <c r="C3" s="100"/>
      <c r="D3" s="100"/>
      <c r="E3" s="100"/>
    </row>
    <row r="5" spans="1:5" x14ac:dyDescent="0.25">
      <c r="A5" s="79" t="s">
        <v>88</v>
      </c>
      <c r="B5" s="80">
        <v>2</v>
      </c>
    </row>
    <row r="6" spans="1:5" ht="15.75" thickBot="1" x14ac:dyDescent="0.3"/>
    <row r="7" spans="1:5" ht="65.25" thickBot="1" x14ac:dyDescent="0.3">
      <c r="A7" s="81"/>
      <c r="B7" s="94" t="s">
        <v>89</v>
      </c>
      <c r="C7" s="95" t="s">
        <v>90</v>
      </c>
      <c r="D7" s="82" t="s">
        <v>91</v>
      </c>
      <c r="E7" s="83" t="s">
        <v>92</v>
      </c>
    </row>
    <row r="8" spans="1:5" x14ac:dyDescent="0.25">
      <c r="A8" s="30" t="s">
        <v>78</v>
      </c>
      <c r="B8" s="84">
        <v>486246822</v>
      </c>
      <c r="C8" s="85">
        <v>600</v>
      </c>
      <c r="D8" s="86">
        <v>6677024</v>
      </c>
      <c r="E8" s="87">
        <v>600</v>
      </c>
    </row>
    <row r="9" spans="1:5" x14ac:dyDescent="0.25">
      <c r="A9" s="30" t="s">
        <v>74</v>
      </c>
      <c r="B9" s="84">
        <v>499692558</v>
      </c>
      <c r="C9" s="85">
        <v>591.87</v>
      </c>
      <c r="D9" s="86">
        <v>6768712</v>
      </c>
      <c r="E9" s="87">
        <v>591.87</v>
      </c>
    </row>
    <row r="10" spans="1:5" x14ac:dyDescent="0.25">
      <c r="A10" s="88" t="s">
        <v>80</v>
      </c>
      <c r="B10" s="89" t="s">
        <v>80</v>
      </c>
      <c r="C10" s="90" t="s">
        <v>80</v>
      </c>
      <c r="D10" s="91" t="s">
        <v>80</v>
      </c>
      <c r="E10" s="92" t="s">
        <v>80</v>
      </c>
    </row>
    <row r="11" spans="1:5" x14ac:dyDescent="0.25">
      <c r="B11" s="89"/>
      <c r="D11" s="91"/>
    </row>
    <row r="12" spans="1:5" x14ac:dyDescent="0.25">
      <c r="A12" s="79" t="s">
        <v>93</v>
      </c>
      <c r="B12" s="93">
        <v>492923846</v>
      </c>
    </row>
  </sheetData>
  <mergeCells count="3">
    <mergeCell ref="A1:E1"/>
    <mergeCell ref="A2:E2"/>
    <mergeCell ref="A3:E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9" sqref="B9"/>
    </sheetView>
  </sheetViews>
  <sheetFormatPr baseColWidth="10" defaultColWidth="31.28515625" defaultRowHeight="12.75" x14ac:dyDescent="0.2"/>
  <cols>
    <col min="1" max="1" width="30" style="26" customWidth="1"/>
    <col min="2" max="2" width="24.5703125" style="23" customWidth="1"/>
    <col min="3" max="3" width="23.140625" style="23" customWidth="1"/>
    <col min="4" max="16384" width="31.28515625" style="23"/>
  </cols>
  <sheetData>
    <row r="1" spans="1:3" ht="18.75" x14ac:dyDescent="0.3">
      <c r="A1" s="99" t="s">
        <v>65</v>
      </c>
      <c r="B1" s="99"/>
      <c r="C1" s="99"/>
    </row>
    <row r="2" spans="1:3" ht="18.75" x14ac:dyDescent="0.3">
      <c r="A2" s="99" t="s">
        <v>66</v>
      </c>
      <c r="B2" s="99"/>
      <c r="C2" s="99"/>
    </row>
    <row r="3" spans="1:3" ht="15.75" x14ac:dyDescent="0.25">
      <c r="A3" s="98" t="s">
        <v>67</v>
      </c>
      <c r="B3" s="98"/>
      <c r="C3" s="98"/>
    </row>
    <row r="4" spans="1:3" ht="15.75" x14ac:dyDescent="0.25">
      <c r="A4" s="98" t="s">
        <v>81</v>
      </c>
      <c r="B4" s="98"/>
      <c r="C4" s="98"/>
    </row>
    <row r="5" spans="1:3" ht="16.5" thickBot="1" x14ac:dyDescent="0.3">
      <c r="A5" s="55"/>
      <c r="B5" s="55"/>
    </row>
    <row r="6" spans="1:3" ht="16.5" thickBot="1" x14ac:dyDescent="0.3">
      <c r="A6" s="70" t="s">
        <v>82</v>
      </c>
      <c r="B6" s="71" t="s">
        <v>78</v>
      </c>
      <c r="C6" s="72" t="s">
        <v>74</v>
      </c>
    </row>
    <row r="7" spans="1:3" ht="15.75" x14ac:dyDescent="0.25">
      <c r="A7" s="67" t="s">
        <v>83</v>
      </c>
      <c r="B7" s="68">
        <v>600</v>
      </c>
      <c r="C7" s="69">
        <v>591.87</v>
      </c>
    </row>
    <row r="8" spans="1:3" ht="15.75" x14ac:dyDescent="0.25">
      <c r="A8" s="65" t="s">
        <v>84</v>
      </c>
      <c r="B8" s="64">
        <v>300</v>
      </c>
      <c r="C8" s="66">
        <v>300</v>
      </c>
    </row>
    <row r="9" spans="1:3" ht="16.5" thickBot="1" x14ac:dyDescent="0.3">
      <c r="A9" s="73" t="s">
        <v>85</v>
      </c>
      <c r="B9" s="74">
        <v>100</v>
      </c>
      <c r="C9" s="75">
        <v>100</v>
      </c>
    </row>
    <row r="10" spans="1:3" ht="16.5" thickBot="1" x14ac:dyDescent="0.3">
      <c r="A10" s="70" t="s">
        <v>86</v>
      </c>
      <c r="B10" s="76">
        <f>SUM(B7:B9)</f>
        <v>1000</v>
      </c>
      <c r="C10" s="76">
        <f>SUM(C7:C9)</f>
        <v>991.87</v>
      </c>
    </row>
    <row r="11" spans="1:3" ht="15.75" x14ac:dyDescent="0.25">
      <c r="A11" s="55"/>
      <c r="B11" s="55"/>
    </row>
    <row r="12" spans="1:3" ht="15.75" x14ac:dyDescent="0.25">
      <c r="A12" s="55"/>
      <c r="B12" s="55"/>
    </row>
    <row r="13" spans="1:3" ht="15.75" x14ac:dyDescent="0.25">
      <c r="A13" s="55"/>
      <c r="B13" s="55"/>
    </row>
    <row r="14" spans="1:3" ht="15.75" x14ac:dyDescent="0.25">
      <c r="A14" s="55"/>
      <c r="B14" s="55"/>
    </row>
    <row r="15" spans="1:3" ht="15.75" x14ac:dyDescent="0.25">
      <c r="A15" s="55"/>
      <c r="B15" s="55"/>
    </row>
  </sheetData>
  <mergeCells count="4">
    <mergeCell ref="A1:C1"/>
    <mergeCell ref="A2:C2"/>
    <mergeCell ref="A3:C3"/>
    <mergeCell ref="A4:C4"/>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Verificacion Oferta Economica</vt:lpstr>
      <vt:lpstr>Vr. Propuestas</vt:lpstr>
      <vt:lpstr>Media Geometrica</vt:lpstr>
      <vt:lpstr>Evaluacion Puntaje Propuestas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lframos</dc:creator>
  <cp:lastModifiedBy>Monica Francisca Olarte Gamarra</cp:lastModifiedBy>
  <cp:lastPrinted>2013-09-10T20:23:57Z</cp:lastPrinted>
  <dcterms:created xsi:type="dcterms:W3CDTF">2013-09-04T22:34:47Z</dcterms:created>
  <dcterms:modified xsi:type="dcterms:W3CDTF">2013-10-15T21:45:51Z</dcterms:modified>
</cp:coreProperties>
</file>