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nionline-my.sharepoint.com/personal/cmunoz_ani_gov_co/Documents/2023/Documentacion/1. SEPG/Formatos/"/>
    </mc:Choice>
  </mc:AlternateContent>
  <xr:revisionPtr revIDLastSave="2" documentId="8_{D1DAF74C-A298-4757-B5BA-4D90B8A97458}" xr6:coauthVersionLast="47" xr6:coauthVersionMax="47" xr10:uidLastSave="{94138789-220C-4934-A4A2-2B337C2EDBEB}"/>
  <bookViews>
    <workbookView xWindow="-120" yWindow="-120" windowWidth="20730" windowHeight="11160" xr2:uid="{95B97E4E-C016-9F4F-9401-0422AE4EB118}"/>
  </bookViews>
  <sheets>
    <sheet name="BANDERAS ROJAS" sheetId="1" r:id="rId1"/>
  </sheets>
  <definedNames>
    <definedName name="_xlnm.Print_Area" localSheetId="0">'BANDERAS ROJAS'!$A$1:$N$49</definedName>
    <definedName name="_xlnm.Print_Titles" localSheetId="0">'BANDERAS ROJAS'!$1:$7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43" i="1" l="1"/>
  <c r="F43" i="1"/>
  <c r="E43" i="1"/>
  <c r="D43" i="1"/>
  <c r="G42" i="1"/>
  <c r="F42" i="1"/>
  <c r="E42" i="1"/>
  <c r="D42" i="1"/>
  <c r="G41" i="1"/>
  <c r="F41" i="1"/>
  <c r="E41" i="1"/>
  <c r="D41" i="1"/>
  <c r="G40" i="1"/>
  <c r="F40" i="1"/>
  <c r="E40" i="1"/>
  <c r="D40" i="1"/>
  <c r="G39" i="1"/>
  <c r="F39" i="1"/>
  <c r="E39" i="1"/>
  <c r="D39" i="1"/>
  <c r="G38" i="1"/>
  <c r="F38" i="1"/>
  <c r="E38" i="1"/>
  <c r="H38" i="1" s="1"/>
  <c r="I38" i="1" s="1"/>
  <c r="J38" i="1" s="1"/>
  <c r="D38" i="1"/>
  <c r="G37" i="1"/>
  <c r="F37" i="1"/>
  <c r="E37" i="1"/>
  <c r="D37" i="1"/>
  <c r="G36" i="1"/>
  <c r="F36" i="1"/>
  <c r="E36" i="1"/>
  <c r="H36" i="1" s="1"/>
  <c r="I36" i="1" s="1"/>
  <c r="J36" i="1" s="1"/>
  <c r="D36" i="1"/>
  <c r="G35" i="1"/>
  <c r="F35" i="1"/>
  <c r="E35" i="1"/>
  <c r="D35" i="1"/>
  <c r="G34" i="1"/>
  <c r="F34" i="1"/>
  <c r="E34" i="1"/>
  <c r="H34" i="1" s="1"/>
  <c r="I34" i="1" s="1"/>
  <c r="J34" i="1" s="1"/>
  <c r="D34" i="1"/>
  <c r="G33" i="1"/>
  <c r="F33" i="1"/>
  <c r="E33" i="1"/>
  <c r="D33" i="1"/>
  <c r="G32" i="1"/>
  <c r="F32" i="1"/>
  <c r="E32" i="1"/>
  <c r="H32" i="1" s="1"/>
  <c r="I32" i="1" s="1"/>
  <c r="J32" i="1" s="1"/>
  <c r="D32" i="1"/>
  <c r="G31" i="1"/>
  <c r="F31" i="1"/>
  <c r="E31" i="1"/>
  <c r="D31" i="1"/>
  <c r="G30" i="1"/>
  <c r="F30" i="1"/>
  <c r="E30" i="1"/>
  <c r="H30" i="1" s="1"/>
  <c r="I30" i="1" s="1"/>
  <c r="J30" i="1" s="1"/>
  <c r="D30" i="1"/>
  <c r="G29" i="1"/>
  <c r="F29" i="1"/>
  <c r="E29" i="1"/>
  <c r="D29" i="1"/>
  <c r="G28" i="1"/>
  <c r="F28" i="1"/>
  <c r="E28" i="1"/>
  <c r="H28" i="1" s="1"/>
  <c r="I28" i="1" s="1"/>
  <c r="J28" i="1" s="1"/>
  <c r="D28" i="1"/>
  <c r="G27" i="1"/>
  <c r="F27" i="1"/>
  <c r="E27" i="1"/>
  <c r="D27" i="1"/>
  <c r="G26" i="1"/>
  <c r="F26" i="1"/>
  <c r="E26" i="1"/>
  <c r="H26" i="1" s="1"/>
  <c r="I26" i="1" s="1"/>
  <c r="J26" i="1" s="1"/>
  <c r="D26" i="1"/>
  <c r="G25" i="1"/>
  <c r="F25" i="1"/>
  <c r="E25" i="1"/>
  <c r="D25" i="1"/>
  <c r="D20" i="1"/>
  <c r="D19" i="1"/>
  <c r="D18" i="1"/>
  <c r="H25" i="1" l="1"/>
  <c r="I25" i="1" s="1"/>
  <c r="J25" i="1" s="1"/>
  <c r="H31" i="1"/>
  <c r="I31" i="1" s="1"/>
  <c r="J31" i="1" s="1"/>
  <c r="H33" i="1"/>
  <c r="I33" i="1" s="1"/>
  <c r="J33" i="1" s="1"/>
  <c r="H37" i="1"/>
  <c r="I37" i="1" s="1"/>
  <c r="J37" i="1" s="1"/>
  <c r="H39" i="1"/>
  <c r="I39" i="1" s="1"/>
  <c r="J39" i="1" s="1"/>
  <c r="H43" i="1"/>
  <c r="I43" i="1" s="1"/>
  <c r="J43" i="1" s="1"/>
  <c r="H40" i="1"/>
  <c r="I40" i="1" s="1"/>
  <c r="J40" i="1" s="1"/>
  <c r="H29" i="1"/>
  <c r="I29" i="1" s="1"/>
  <c r="J29" i="1" s="1"/>
  <c r="H42" i="1"/>
  <c r="I42" i="1" s="1"/>
  <c r="J42" i="1" s="1"/>
  <c r="H27" i="1"/>
  <c r="I27" i="1" s="1"/>
  <c r="J27" i="1" s="1"/>
  <c r="H35" i="1"/>
  <c r="I35" i="1" s="1"/>
  <c r="J35" i="1" s="1"/>
  <c r="H41" i="1"/>
  <c r="I41" i="1" s="1"/>
  <c r="J41" i="1" s="1"/>
</calcChain>
</file>

<file path=xl/sharedStrings.xml><?xml version="1.0" encoding="utf-8"?>
<sst xmlns="http://schemas.openxmlformats.org/spreadsheetml/2006/main" count="70" uniqueCount="63">
  <si>
    <t>EVALUACIÓN DE BANDERAS ROJAS</t>
  </si>
  <si>
    <t>SISTEMA ESTRATÉGICO DE PLANEACIÓN Y GESTIÓN</t>
  </si>
  <si>
    <t>CÓDIGO</t>
  </si>
  <si>
    <t>VERSIÓN</t>
  </si>
  <si>
    <t>FECHA</t>
  </si>
  <si>
    <t>TIPO</t>
  </si>
  <si>
    <t>SITUACIONES - BANDERAS ROJAS</t>
  </si>
  <si>
    <t>NIVEL</t>
  </si>
  <si>
    <t>DOCUMENTACIÓN RELACIONADA</t>
  </si>
  <si>
    <t>PERFIL/CARGO/ROL</t>
  </si>
  <si>
    <t>DEBIDA DILIGENCIA / CONTROL</t>
  </si>
  <si>
    <t>RECOMENDACIÓN / PLAN DE MEJORA</t>
  </si>
  <si>
    <t>SA</t>
  </si>
  <si>
    <t>Presidente</t>
  </si>
  <si>
    <t>Ordenadores del gasto (Vicepresidentes)</t>
  </si>
  <si>
    <t>Supervisores de contratos (Misionales)</t>
  </si>
  <si>
    <t>Coordinadores de Areas</t>
  </si>
  <si>
    <t>Líder de seguimiento</t>
  </si>
  <si>
    <t>Asesores del Presidente</t>
  </si>
  <si>
    <t>Asesores de los Vicepresidentes</t>
  </si>
  <si>
    <t>Gerentes del proyecto</t>
  </si>
  <si>
    <t>Estructuradores de proyectos</t>
  </si>
  <si>
    <t>Integrantes de los comités evaluadores de los procesos de contratación</t>
  </si>
  <si>
    <t>Integrantes de los comités estructuradores de los procesos de contratación</t>
  </si>
  <si>
    <t>Colaboradores con algún tipo de adicción</t>
  </si>
  <si>
    <t>Colaboradores de contratación publica</t>
  </si>
  <si>
    <t>Colaboradores con problemas económicos o situación familiar difícil</t>
  </si>
  <si>
    <t>Colaboradores con salarios inferiores a uno o dos SMMLV - (vigilancia y aseo)</t>
  </si>
  <si>
    <t>SB</t>
  </si>
  <si>
    <t>SM</t>
  </si>
  <si>
    <t>Colaboradores con antecedentes de delitos o con investigaciones</t>
  </si>
  <si>
    <t>Colaboradores de servicios generales</t>
  </si>
  <si>
    <t>Colaboradores de tecnología</t>
  </si>
  <si>
    <t>Colaboradores de atención de servicio al ciudadano</t>
  </si>
  <si>
    <t>`</t>
  </si>
  <si>
    <t xml:space="preserve">NIVEL DE SITUACIÓN </t>
  </si>
  <si>
    <t>VALOR</t>
  </si>
  <si>
    <t>BANDERA</t>
  </si>
  <si>
    <t>DESCRIPCIÓN</t>
  </si>
  <si>
    <t>Situación Alta (SA)</t>
  </si>
  <si>
    <t>Rojo</t>
  </si>
  <si>
    <t xml:space="preserve">Aquellos cargos donde el número de banderas rojas esté entre el 67% y el 100% del total de Banderas Rojas de la Entidad. </t>
  </si>
  <si>
    <t>Situación Media (SM)</t>
  </si>
  <si>
    <t>Amarillo</t>
  </si>
  <si>
    <t xml:space="preserve"> Aquellas áreas donde el número de banderas rojas esté entre el 33% y el 66,9%  del total de Banderas Rojas de la Entidad.  </t>
  </si>
  <si>
    <t>Situación Baja (SB)</t>
  </si>
  <si>
    <t xml:space="preserve">Verde </t>
  </si>
  <si>
    <t xml:space="preserve"> Aquellas áreas donde el número de banderas roja sea inferior al 32,9% del total de Banderas Rojas de la Entidad.  </t>
  </si>
  <si>
    <t xml:space="preserve">NUMERO DE BANDERAS ROJAS </t>
  </si>
  <si>
    <t>PT</t>
  </si>
  <si>
    <t>FRECUENCIA</t>
  </si>
  <si>
    <t>STOTAL</t>
  </si>
  <si>
    <t>TOTAL</t>
  </si>
  <si>
    <t xml:space="preserve">PORCENTAJE </t>
  </si>
  <si>
    <t>CONTROL DE CAMBIOS</t>
  </si>
  <si>
    <t>NOMBRE</t>
  </si>
  <si>
    <t>CARGO</t>
  </si>
  <si>
    <t>APROBACIÓN</t>
  </si>
  <si>
    <t>ELABORÓ</t>
  </si>
  <si>
    <t>Documento aprobado mediante memorando radicado No. __________________</t>
  </si>
  <si>
    <t>REVISÓ</t>
  </si>
  <si>
    <t>APROBÓ</t>
  </si>
  <si>
    <t>SEPG-F-093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</si>
</sst>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00&quot;#"/>
  </numFmts>
  <fonts count="26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8"/>
      <name val="Calibri"/>
      <family val="2"/>
      <scheme val="minor"/>
    </font>
    <font>
      <sz val="8"/>
      <color rgb="FF000000"/>
      <name val="Calibri"/>
      <family val="2"/>
      <scheme val="minor"/>
    </font>
    <font>
      <sz val="6"/>
      <color rgb="FF000000"/>
      <name val="Calibri"/>
      <family val="2"/>
      <scheme val="minor"/>
    </font>
    <font>
      <sz val="8"/>
      <color rgb="FFFF0000"/>
      <name val="Calibri"/>
      <family val="2"/>
      <scheme val="minor"/>
    </font>
    <font>
      <sz val="6"/>
      <name val="Calibri"/>
      <family val="2"/>
      <scheme val="minor"/>
    </font>
    <font>
      <sz val="10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sz val="11"/>
      <color theme="1"/>
      <name val="Calibri (Cuerpo)"/>
    </font>
    <font>
      <b/>
      <sz val="12"/>
      <color theme="1"/>
      <name val="Calibri"/>
      <family val="2"/>
      <scheme val="minor"/>
    </font>
    <font>
      <sz val="12"/>
      <name val="Arial"/>
      <family val="2"/>
    </font>
    <font>
      <sz val="12"/>
      <name val="Calibri"/>
      <family val="2"/>
      <scheme val="minor"/>
    </font>
    <font>
      <sz val="12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rgb="FF000000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/>
  </cellStyleXfs>
  <cellXfs count="114">
    <xf numFmtId="0" fontId="0" fillId="0" borderId="0" xfId="0"/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wrapText="1"/>
    </xf>
    <xf numFmtId="0" fontId="6" fillId="0" borderId="0" xfId="0" applyFont="1"/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wrapText="1"/>
    </xf>
    <xf numFmtId="0" fontId="7" fillId="3" borderId="0" xfId="0" applyFont="1" applyFill="1" applyAlignment="1">
      <alignment horizontal="center"/>
    </xf>
    <xf numFmtId="0" fontId="7" fillId="3" borderId="0" xfId="0" applyFont="1" applyFill="1" applyAlignment="1">
      <alignment horizontal="center" vertical="center" wrapText="1"/>
    </xf>
    <xf numFmtId="0" fontId="7" fillId="3" borderId="0" xfId="0" applyFont="1" applyFill="1" applyAlignment="1">
      <alignment horizontal="center" vertical="center"/>
    </xf>
    <xf numFmtId="0" fontId="7" fillId="3" borderId="5" xfId="0" applyFont="1" applyFill="1" applyBorder="1" applyAlignment="1">
      <alignment horizontal="center" wrapText="1"/>
    </xf>
    <xf numFmtId="0" fontId="5" fillId="0" borderId="0" xfId="0" applyFont="1"/>
    <xf numFmtId="0" fontId="11" fillId="0" borderId="0" xfId="0" applyFont="1"/>
    <xf numFmtId="0" fontId="6" fillId="5" borderId="0" xfId="0" applyFont="1" applyFill="1"/>
    <xf numFmtId="0" fontId="6" fillId="0" borderId="6" xfId="0" applyFont="1" applyBorder="1" applyAlignment="1">
      <alignment horizontal="left" vertical="center" wrapText="1"/>
    </xf>
    <xf numFmtId="0" fontId="8" fillId="0" borderId="6" xfId="0" applyFont="1" applyBorder="1" applyAlignment="1">
      <alignment vertical="center" wrapText="1"/>
    </xf>
    <xf numFmtId="0" fontId="6" fillId="5" borderId="6" xfId="0" applyFont="1" applyFill="1" applyBorder="1" applyAlignment="1">
      <alignment horizontal="left" vertical="center" wrapText="1"/>
    </xf>
    <xf numFmtId="0" fontId="6" fillId="5" borderId="6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14" fillId="0" borderId="0" xfId="0" applyFont="1"/>
    <xf numFmtId="0" fontId="15" fillId="7" borderId="0" xfId="0" applyFont="1" applyFill="1"/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0" fontId="15" fillId="7" borderId="0" xfId="0" applyFont="1" applyFill="1" applyAlignment="1">
      <alignment horizontal="center" wrapText="1"/>
    </xf>
    <xf numFmtId="0" fontId="14" fillId="0" borderId="7" xfId="0" applyFont="1" applyBorder="1" applyAlignment="1">
      <alignment horizontal="left" vertical="center" wrapText="1"/>
    </xf>
    <xf numFmtId="0" fontId="14" fillId="0" borderId="9" xfId="0" applyFont="1" applyBorder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4" fillId="0" borderId="9" xfId="0" applyFont="1" applyBorder="1" applyAlignment="1">
      <alignment vertical="center" wrapText="1"/>
    </xf>
    <xf numFmtId="0" fontId="14" fillId="0" borderId="15" xfId="0" applyFont="1" applyBorder="1" applyAlignment="1">
      <alignment horizontal="left" vertical="center" wrapText="1"/>
    </xf>
    <xf numFmtId="0" fontId="14" fillId="0" borderId="16" xfId="0" applyFont="1" applyBorder="1" applyAlignment="1">
      <alignment horizontal="center" vertical="center"/>
    </xf>
    <xf numFmtId="0" fontId="14" fillId="0" borderId="12" xfId="0" applyFont="1" applyBorder="1" applyAlignment="1">
      <alignment vertical="center" wrapText="1"/>
    </xf>
    <xf numFmtId="0" fontId="14" fillId="0" borderId="13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center" vertical="center"/>
    </xf>
    <xf numFmtId="0" fontId="14" fillId="0" borderId="4" xfId="0" applyFont="1" applyBorder="1" applyAlignment="1">
      <alignment vertical="center" wrapText="1"/>
    </xf>
    <xf numFmtId="0" fontId="17" fillId="7" borderId="0" xfId="0" applyFont="1" applyFill="1" applyAlignment="1">
      <alignment horizontal="center" wrapText="1"/>
    </xf>
    <xf numFmtId="0" fontId="17" fillId="7" borderId="0" xfId="0" applyFont="1" applyFill="1" applyAlignment="1">
      <alignment horizontal="center" vertical="center"/>
    </xf>
    <xf numFmtId="0" fontId="6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17" fillId="3" borderId="0" xfId="0" applyFont="1" applyFill="1" applyAlignment="1">
      <alignment horizontal="center"/>
    </xf>
    <xf numFmtId="0" fontId="17" fillId="3" borderId="0" xfId="0" applyFont="1" applyFill="1" applyAlignment="1">
      <alignment horizontal="left"/>
    </xf>
    <xf numFmtId="0" fontId="14" fillId="0" borderId="7" xfId="0" applyFont="1" applyBorder="1" applyAlignment="1">
      <alignment vertical="center" wrapText="1"/>
    </xf>
    <xf numFmtId="0" fontId="14" fillId="0" borderId="8" xfId="0" applyFont="1" applyBorder="1" applyAlignment="1">
      <alignment horizontal="center" vertical="center"/>
    </xf>
    <xf numFmtId="9" fontId="19" fillId="0" borderId="9" xfId="1" applyFont="1" applyBorder="1" applyAlignment="1">
      <alignment horizontal="center" vertical="center"/>
    </xf>
    <xf numFmtId="9" fontId="0" fillId="0" borderId="0" xfId="1" applyFont="1"/>
    <xf numFmtId="0" fontId="14" fillId="0" borderId="10" xfId="0" applyFont="1" applyBorder="1" applyAlignment="1">
      <alignment vertical="center" wrapText="1"/>
    </xf>
    <xf numFmtId="0" fontId="14" fillId="0" borderId="0" xfId="0" applyFont="1" applyAlignment="1">
      <alignment horizontal="center" vertical="center"/>
    </xf>
    <xf numFmtId="9" fontId="19" fillId="0" borderId="12" xfId="1" applyFont="1" applyBorder="1" applyAlignment="1">
      <alignment horizontal="center" vertical="center"/>
    </xf>
    <xf numFmtId="9" fontId="14" fillId="0" borderId="0" xfId="1" applyFont="1" applyBorder="1" applyAlignment="1">
      <alignment wrapText="1"/>
    </xf>
    <xf numFmtId="0" fontId="20" fillId="0" borderId="0" xfId="0" applyFont="1" applyAlignment="1">
      <alignment horizontal="center" vertical="center"/>
    </xf>
    <xf numFmtId="0" fontId="14" fillId="0" borderId="13" xfId="0" applyFont="1" applyBorder="1" applyAlignment="1">
      <alignment vertical="center" wrapText="1"/>
    </xf>
    <xf numFmtId="0" fontId="14" fillId="0" borderId="3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9" fontId="19" fillId="0" borderId="4" xfId="1" applyFont="1" applyBorder="1" applyAlignment="1">
      <alignment horizontal="center" vertical="center"/>
    </xf>
    <xf numFmtId="0" fontId="14" fillId="0" borderId="0" xfId="0" applyFont="1" applyAlignment="1">
      <alignment vertical="center" wrapText="1"/>
    </xf>
    <xf numFmtId="9" fontId="19" fillId="0" borderId="0" xfId="1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5" fillId="0" borderId="6" xfId="0" applyFont="1" applyBorder="1" applyAlignment="1">
      <alignment horizontal="center"/>
    </xf>
    <xf numFmtId="0" fontId="5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wrapText="1"/>
    </xf>
    <xf numFmtId="0" fontId="0" fillId="0" borderId="6" xfId="0" applyBorder="1"/>
    <xf numFmtId="0" fontId="0" fillId="0" borderId="6" xfId="0" applyBorder="1" applyAlignment="1">
      <alignment horizontal="left"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8" fillId="5" borderId="6" xfId="0" applyFont="1" applyFill="1" applyBorder="1" applyAlignment="1">
      <alignment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10" fillId="4" borderId="6" xfId="0" applyFont="1" applyFill="1" applyBorder="1" applyAlignment="1">
      <alignment vertical="center" wrapText="1"/>
    </xf>
    <xf numFmtId="0" fontId="8" fillId="0" borderId="6" xfId="0" applyFont="1" applyBorder="1" applyAlignment="1">
      <alignment horizontal="left" vertical="top" wrapText="1"/>
    </xf>
    <xf numFmtId="0" fontId="6" fillId="5" borderId="6" xfId="0" applyFont="1" applyFill="1" applyBorder="1"/>
    <xf numFmtId="0" fontId="8" fillId="4" borderId="6" xfId="0" applyFont="1" applyFill="1" applyBorder="1" applyAlignment="1">
      <alignment horizontal="center" vertical="center" wrapText="1"/>
    </xf>
    <xf numFmtId="0" fontId="12" fillId="4" borderId="6" xfId="0" applyFont="1" applyFill="1" applyBorder="1" applyAlignment="1">
      <alignment vertical="center" wrapText="1"/>
    </xf>
    <xf numFmtId="0" fontId="8" fillId="0" borderId="6" xfId="0" applyFont="1" applyBorder="1" applyAlignment="1">
      <alignment horizontal="left" vertical="center" wrapText="1"/>
    </xf>
    <xf numFmtId="0" fontId="8" fillId="5" borderId="6" xfId="0" applyFont="1" applyFill="1" applyBorder="1" applyAlignment="1">
      <alignment horizontal="left" vertical="center" wrapText="1"/>
    </xf>
    <xf numFmtId="0" fontId="9" fillId="6" borderId="6" xfId="0" applyFont="1" applyFill="1" applyBorder="1" applyAlignment="1">
      <alignment horizontal="center" vertical="center" wrapText="1"/>
    </xf>
    <xf numFmtId="0" fontId="10" fillId="6" borderId="6" xfId="0" applyFont="1" applyFill="1" applyBorder="1" applyAlignment="1">
      <alignment vertical="center" wrapText="1"/>
    </xf>
    <xf numFmtId="0" fontId="6" fillId="0" borderId="6" xfId="0" applyFont="1" applyBorder="1"/>
    <xf numFmtId="0" fontId="6" fillId="5" borderId="6" xfId="0" applyFont="1" applyFill="1" applyBorder="1" applyAlignment="1">
      <alignment vertical="top" wrapText="1"/>
    </xf>
    <xf numFmtId="14" fontId="4" fillId="0" borderId="0" xfId="2" applyNumberFormat="1" applyFont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164" fontId="24" fillId="0" borderId="2" xfId="0" applyNumberFormat="1" applyFont="1" applyBorder="1" applyAlignment="1">
      <alignment horizontal="center" vertical="center" wrapText="1"/>
    </xf>
    <xf numFmtId="14" fontId="25" fillId="0" borderId="2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7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left" vertical="center" wrapText="1"/>
    </xf>
    <xf numFmtId="0" fontId="6" fillId="5" borderId="6" xfId="0" applyFont="1" applyFill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  <xf numFmtId="0" fontId="15" fillId="7" borderId="3" xfId="0" applyFont="1" applyFill="1" applyBorder="1" applyAlignment="1">
      <alignment horizontal="center"/>
    </xf>
    <xf numFmtId="0" fontId="14" fillId="8" borderId="7" xfId="0" applyFont="1" applyFill="1" applyBorder="1" applyAlignment="1">
      <alignment horizontal="center" vertical="center"/>
    </xf>
    <xf numFmtId="0" fontId="14" fillId="8" borderId="8" xfId="0" applyFont="1" applyFill="1" applyBorder="1" applyAlignment="1">
      <alignment horizontal="center" vertical="center"/>
    </xf>
    <xf numFmtId="0" fontId="14" fillId="9" borderId="10" xfId="0" applyFont="1" applyFill="1" applyBorder="1" applyAlignment="1">
      <alignment horizontal="center" vertical="center"/>
    </xf>
    <xf numFmtId="0" fontId="14" fillId="9" borderId="0" xfId="0" applyFont="1" applyFill="1" applyAlignment="1">
      <alignment horizontal="center" vertical="center"/>
    </xf>
    <xf numFmtId="0" fontId="21" fillId="0" borderId="5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14" fillId="10" borderId="13" xfId="0" applyFont="1" applyFill="1" applyBorder="1" applyAlignment="1">
      <alignment horizontal="center" vertical="center"/>
    </xf>
    <xf numFmtId="0" fontId="14" fillId="10" borderId="3" xfId="0" applyFont="1" applyFill="1" applyBorder="1" applyAlignment="1">
      <alignment horizontal="center" vertical="center"/>
    </xf>
    <xf numFmtId="0" fontId="17" fillId="3" borderId="0" xfId="0" applyFont="1" applyFill="1" applyAlignment="1">
      <alignment horizontal="center" vertical="center" wrapText="1"/>
    </xf>
    <xf numFmtId="0" fontId="17" fillId="3" borderId="0" xfId="0" applyFont="1" applyFill="1" applyAlignment="1">
      <alignment horizontal="center" vertical="center"/>
    </xf>
    <xf numFmtId="0" fontId="17" fillId="3" borderId="0" xfId="0" applyFont="1" applyFill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5" fillId="0" borderId="6" xfId="0" applyFont="1" applyBorder="1" applyAlignment="1">
      <alignment horizontal="center" vertical="center"/>
    </xf>
  </cellXfs>
  <cellStyles count="3">
    <cellStyle name="Normal" xfId="0" builtinId="0"/>
    <cellStyle name="Normal 2" xfId="2" xr:uid="{193D5E53-53F4-4348-B6D5-C63434A0BE4A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46616</xdr:colOff>
      <xdr:row>1</xdr:row>
      <xdr:rowOff>125381</xdr:rowOff>
    </xdr:from>
    <xdr:to>
      <xdr:col>0</xdr:col>
      <xdr:colOff>1283037</xdr:colOff>
      <xdr:row>3</xdr:row>
      <xdr:rowOff>254595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5CD6021-6E62-B147-8114-FABD65E3A3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16" y="329488"/>
          <a:ext cx="1236421" cy="86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C685B5-2DEC-2042-8805-CA19EAFFF487}">
  <dimension ref="A2:BW48"/>
  <sheetViews>
    <sheetView tabSelected="1" zoomScale="70" zoomScaleNormal="70" workbookViewId="0">
      <pane ySplit="7" topLeftCell="A8" activePane="bottomLeft" state="frozen"/>
      <selection pane="bottomLeft" activeCell="N5" sqref="N5"/>
    </sheetView>
  </sheetViews>
  <sheetFormatPr baseColWidth="10" defaultColWidth="11" defaultRowHeight="15.75"/>
  <cols>
    <col min="1" max="1" width="17.625" customWidth="1"/>
    <col min="2" max="2" width="28.875" style="1" customWidth="1"/>
    <col min="3" max="3" width="6.125" style="2" customWidth="1"/>
    <col min="4" max="9" width="5.375" style="3" customWidth="1"/>
    <col min="10" max="10" width="10" style="3" customWidth="1"/>
    <col min="11" max="11" width="32.375" style="4" customWidth="1"/>
    <col min="12" max="12" width="22" customWidth="1"/>
    <col min="13" max="13" width="41.375" customWidth="1"/>
    <col min="14" max="14" width="40.875" customWidth="1"/>
    <col min="15" max="15" width="20" customWidth="1"/>
  </cols>
  <sheetData>
    <row r="2" spans="1:75" ht="30.75" customHeight="1">
      <c r="A2" s="87"/>
      <c r="B2" s="91" t="s">
        <v>0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</row>
    <row r="3" spans="1:75" ht="27" customHeight="1">
      <c r="A3" s="87"/>
      <c r="B3" s="92" t="s">
        <v>1</v>
      </c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</row>
    <row r="4" spans="1:75" ht="27" customHeight="1">
      <c r="A4" s="87"/>
      <c r="B4" s="92" t="s">
        <v>2</v>
      </c>
      <c r="C4" s="92"/>
      <c r="D4" s="92"/>
      <c r="E4" s="92"/>
      <c r="F4" s="93" t="s">
        <v>62</v>
      </c>
      <c r="G4" s="93"/>
      <c r="H4" s="93"/>
      <c r="I4" s="93"/>
      <c r="J4" s="93"/>
      <c r="K4" s="84" t="s">
        <v>3</v>
      </c>
      <c r="L4" s="85">
        <v>1</v>
      </c>
      <c r="M4" s="84" t="s">
        <v>4</v>
      </c>
      <c r="N4" s="86">
        <v>45181</v>
      </c>
      <c r="O4" s="83"/>
    </row>
    <row r="5" spans="1:75" ht="8.1" customHeight="1"/>
    <row r="6" spans="1:75" s="5" customFormat="1" ht="11.25">
      <c r="B6" s="6"/>
      <c r="C6" s="7"/>
      <c r="D6" s="8"/>
      <c r="E6" s="8"/>
      <c r="F6" s="8"/>
      <c r="G6" s="8"/>
      <c r="H6" s="8"/>
      <c r="I6" s="8"/>
      <c r="J6" s="8"/>
      <c r="K6" s="9"/>
    </row>
    <row r="7" spans="1:75" s="14" customFormat="1" ht="12.75">
      <c r="A7" s="10" t="s">
        <v>5</v>
      </c>
      <c r="B7" s="11" t="s">
        <v>6</v>
      </c>
      <c r="C7" s="12" t="s">
        <v>7</v>
      </c>
      <c r="D7" s="88" t="s">
        <v>8</v>
      </c>
      <c r="E7" s="88"/>
      <c r="F7" s="88"/>
      <c r="G7" s="88"/>
      <c r="H7" s="88"/>
      <c r="I7" s="88"/>
      <c r="J7" s="89"/>
      <c r="K7" s="13" t="s">
        <v>9</v>
      </c>
      <c r="L7" s="90" t="s">
        <v>10</v>
      </c>
      <c r="M7" s="90"/>
      <c r="N7" s="10" t="s">
        <v>11</v>
      </c>
    </row>
    <row r="8" spans="1:75" s="5" customFormat="1" ht="36" customHeight="1">
      <c r="A8" s="94"/>
      <c r="B8" s="17"/>
      <c r="C8" s="69"/>
      <c r="D8" s="95"/>
      <c r="E8" s="95"/>
      <c r="F8" s="95"/>
      <c r="G8" s="95"/>
      <c r="H8" s="95"/>
      <c r="I8" s="95"/>
      <c r="J8" s="95"/>
      <c r="K8" s="18"/>
      <c r="L8" s="71"/>
      <c r="M8" s="72"/>
      <c r="N8" s="73"/>
    </row>
    <row r="9" spans="1:75" s="16" customFormat="1" ht="36" customHeight="1">
      <c r="A9" s="94"/>
      <c r="B9" s="19"/>
      <c r="C9" s="68"/>
      <c r="D9" s="96"/>
      <c r="E9" s="96"/>
      <c r="F9" s="96"/>
      <c r="G9" s="96"/>
      <c r="H9" s="96"/>
      <c r="I9" s="96"/>
      <c r="J9" s="96"/>
      <c r="K9" s="70"/>
      <c r="L9" s="82"/>
      <c r="M9" s="82"/>
      <c r="N9" s="74"/>
      <c r="O9" s="1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</row>
    <row r="10" spans="1:75" s="5" customFormat="1" ht="36" customHeight="1">
      <c r="A10" s="94"/>
      <c r="B10" s="17"/>
      <c r="C10" s="69"/>
      <c r="D10" s="97"/>
      <c r="E10" s="97"/>
      <c r="F10" s="97"/>
      <c r="G10" s="97"/>
      <c r="H10" s="97"/>
      <c r="I10" s="97"/>
      <c r="J10" s="97"/>
      <c r="K10" s="18"/>
      <c r="L10" s="75"/>
      <c r="M10" s="76"/>
      <c r="N10" s="77"/>
    </row>
    <row r="11" spans="1:75" s="16" customFormat="1" ht="36" customHeight="1">
      <c r="A11" s="94"/>
      <c r="B11" s="19"/>
      <c r="C11" s="68"/>
      <c r="D11" s="96"/>
      <c r="E11" s="96"/>
      <c r="F11" s="96"/>
      <c r="G11" s="96"/>
      <c r="H11" s="96"/>
      <c r="I11" s="96"/>
      <c r="J11" s="96"/>
      <c r="K11" s="70"/>
      <c r="L11" s="82"/>
      <c r="M11" s="82"/>
      <c r="N11" s="78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</row>
    <row r="12" spans="1:75" s="5" customFormat="1" ht="36" customHeight="1">
      <c r="A12" s="94"/>
      <c r="B12" s="17"/>
      <c r="C12" s="69"/>
      <c r="D12" s="95"/>
      <c r="E12" s="95"/>
      <c r="F12" s="95"/>
      <c r="G12" s="95"/>
      <c r="H12" s="95"/>
      <c r="I12" s="95"/>
      <c r="J12" s="95"/>
      <c r="K12" s="18"/>
      <c r="L12" s="71"/>
      <c r="M12" s="76"/>
      <c r="N12" s="73"/>
    </row>
    <row r="13" spans="1:75" s="16" customFormat="1" ht="36" customHeight="1">
      <c r="A13" s="94"/>
      <c r="B13" s="19"/>
      <c r="C13" s="20"/>
      <c r="D13" s="96"/>
      <c r="E13" s="96"/>
      <c r="F13" s="96"/>
      <c r="G13" s="96"/>
      <c r="H13" s="96"/>
      <c r="I13" s="96"/>
      <c r="J13" s="96"/>
      <c r="K13" s="70"/>
      <c r="L13" s="79"/>
      <c r="M13" s="80"/>
      <c r="N13" s="74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</row>
    <row r="14" spans="1:75" s="5" customFormat="1" ht="36" customHeight="1">
      <c r="A14" s="94"/>
      <c r="B14" s="17"/>
      <c r="C14" s="69"/>
      <c r="D14" s="95"/>
      <c r="E14" s="95"/>
      <c r="F14" s="95"/>
      <c r="G14" s="95"/>
      <c r="H14" s="95"/>
      <c r="I14" s="95"/>
      <c r="J14" s="95"/>
      <c r="K14" s="18"/>
      <c r="L14" s="71"/>
      <c r="M14" s="72"/>
      <c r="N14" s="81"/>
    </row>
    <row r="15" spans="1:75" s="16" customFormat="1" ht="36" customHeight="1">
      <c r="A15" s="94"/>
      <c r="B15" s="19"/>
      <c r="C15" s="68"/>
      <c r="D15" s="96"/>
      <c r="E15" s="96"/>
      <c r="F15" s="96"/>
      <c r="G15" s="96"/>
      <c r="H15" s="96"/>
      <c r="I15" s="96"/>
      <c r="J15" s="96"/>
      <c r="K15" s="70"/>
      <c r="L15" s="79"/>
      <c r="M15" s="80"/>
      <c r="N15" s="74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</row>
    <row r="16" spans="1:75" ht="15.95" customHeight="1">
      <c r="A16" s="21"/>
      <c r="B16" s="22"/>
      <c r="C16" s="21" t="s">
        <v>34</v>
      </c>
      <c r="D16" s="23" t="s">
        <v>34</v>
      </c>
      <c r="E16" s="23"/>
      <c r="F16" s="23"/>
      <c r="G16" s="23"/>
      <c r="H16" s="23"/>
      <c r="I16" s="23"/>
      <c r="J16" s="23"/>
      <c r="K16" s="24"/>
      <c r="L16" s="14"/>
      <c r="M16" s="14"/>
    </row>
    <row r="17" spans="2:13" s="25" customFormat="1" ht="12">
      <c r="B17" s="26" t="s">
        <v>35</v>
      </c>
      <c r="C17" s="26" t="s">
        <v>36</v>
      </c>
      <c r="D17" s="27" t="s">
        <v>34</v>
      </c>
      <c r="E17" s="28"/>
      <c r="F17" s="28"/>
      <c r="G17" s="28"/>
      <c r="H17" s="98" t="s">
        <v>37</v>
      </c>
      <c r="I17" s="98"/>
      <c r="J17" s="98"/>
      <c r="K17" s="29" t="s">
        <v>38</v>
      </c>
    </row>
    <row r="18" spans="2:13" s="25" customFormat="1" ht="35.1" customHeight="1">
      <c r="B18" s="30" t="s">
        <v>39</v>
      </c>
      <c r="C18" s="31">
        <v>3</v>
      </c>
      <c r="D18" s="32">
        <f>COUNTIF($C$8:$C$15,"SA")</f>
        <v>0</v>
      </c>
      <c r="E18" s="28"/>
      <c r="F18" s="28"/>
      <c r="G18" s="28"/>
      <c r="H18" s="99" t="s">
        <v>40</v>
      </c>
      <c r="I18" s="100"/>
      <c r="J18" s="100"/>
      <c r="K18" s="33" t="s">
        <v>41</v>
      </c>
    </row>
    <row r="19" spans="2:13" s="25" customFormat="1" ht="35.1" customHeight="1">
      <c r="B19" s="34" t="s">
        <v>42</v>
      </c>
      <c r="C19" s="35">
        <v>2</v>
      </c>
      <c r="D19" s="32">
        <f>COUNTIF($C$8:$C$15,"SM")</f>
        <v>0</v>
      </c>
      <c r="E19" s="28"/>
      <c r="F19" s="28"/>
      <c r="G19" s="28"/>
      <c r="H19" s="101" t="s">
        <v>43</v>
      </c>
      <c r="I19" s="102"/>
      <c r="J19" s="102"/>
      <c r="K19" s="36" t="s">
        <v>44</v>
      </c>
    </row>
    <row r="20" spans="2:13" s="25" customFormat="1" ht="35.1" customHeight="1">
      <c r="B20" s="37" t="s">
        <v>45</v>
      </c>
      <c r="C20" s="38">
        <v>1</v>
      </c>
      <c r="D20" s="32">
        <f>COUNTIF($C$8:$C$15,"SB")</f>
        <v>0</v>
      </c>
      <c r="E20" s="28"/>
      <c r="F20" s="28"/>
      <c r="G20" s="28"/>
      <c r="H20" s="107" t="s">
        <v>46</v>
      </c>
      <c r="I20" s="108"/>
      <c r="J20" s="108"/>
      <c r="K20" s="39" t="s">
        <v>47</v>
      </c>
    </row>
    <row r="22" spans="2:13">
      <c r="B22" s="40" t="s">
        <v>48</v>
      </c>
      <c r="C22" s="41"/>
      <c r="D22" s="42">
        <v>36</v>
      </c>
      <c r="E22" s="43"/>
      <c r="F22" s="43"/>
      <c r="G22" s="43"/>
      <c r="H22" s="44"/>
      <c r="I22" s="44"/>
      <c r="J22" s="44"/>
    </row>
    <row r="23" spans="2:13">
      <c r="B23" s="109" t="s">
        <v>9</v>
      </c>
      <c r="C23" s="110" t="s">
        <v>49</v>
      </c>
      <c r="D23" s="111" t="s">
        <v>50</v>
      </c>
      <c r="E23" s="111"/>
      <c r="F23" s="111"/>
      <c r="G23" s="111"/>
      <c r="H23" s="111"/>
      <c r="I23" s="44"/>
      <c r="J23" s="44"/>
    </row>
    <row r="24" spans="2:13">
      <c r="B24" s="109"/>
      <c r="C24" s="110"/>
      <c r="D24" s="46" t="s">
        <v>50</v>
      </c>
      <c r="E24" s="45" t="s">
        <v>12</v>
      </c>
      <c r="F24" s="45" t="s">
        <v>29</v>
      </c>
      <c r="G24" s="45" t="s">
        <v>28</v>
      </c>
      <c r="H24" s="46" t="s">
        <v>51</v>
      </c>
      <c r="I24" s="46" t="s">
        <v>52</v>
      </c>
      <c r="J24" s="45" t="s">
        <v>53</v>
      </c>
    </row>
    <row r="25" spans="2:13">
      <c r="B25" s="47" t="s">
        <v>13</v>
      </c>
      <c r="C25" s="48">
        <v>3</v>
      </c>
      <c r="D25" s="48">
        <f>COUNTIF(K8:K15,"Presidente")</f>
        <v>0</v>
      </c>
      <c r="E25" s="48">
        <f>COUNTIFS(($C$8:$C$15),"SA",($K$8:$K$15),"Presidente")</f>
        <v>0</v>
      </c>
      <c r="F25" s="48">
        <f>COUNTIFS(($C$8:$C$15),"SM",($K$8:$K$15),"Presidente")</f>
        <v>0</v>
      </c>
      <c r="G25" s="48">
        <f>COUNTIFS(($C$8:$C$15),"SB",($K$8:$K$15),"Presidente")</f>
        <v>0</v>
      </c>
      <c r="H25" s="48">
        <f>(3*E25)+(2*F25)+(1*G25)</f>
        <v>0</v>
      </c>
      <c r="I25" s="48">
        <f t="shared" ref="I25:I43" si="0">H25*C25</f>
        <v>0</v>
      </c>
      <c r="J25" s="49">
        <f>I25/$D$22</f>
        <v>0</v>
      </c>
      <c r="L25" s="50"/>
      <c r="M25" s="50"/>
    </row>
    <row r="26" spans="2:13" ht="24">
      <c r="B26" s="51" t="s">
        <v>14</v>
      </c>
      <c r="C26" s="52">
        <v>3</v>
      </c>
      <c r="D26" s="52">
        <f>COUNTIF(K8:K15,"Ordenadores del gasto (Vicepresidentes)")</f>
        <v>0</v>
      </c>
      <c r="E26" s="52">
        <f>COUNTIFS(($C$8:$C$15),"SA",($K$8:$K$15),"Ordenadores del gasto (Vicepresidentes)")</f>
        <v>0</v>
      </c>
      <c r="F26" s="52">
        <f>COUNTIFS(($C$8:$C$15),"SM",($K$8:$K$15),"Ordenadores del gasto (Vicepresidentes)")</f>
        <v>0</v>
      </c>
      <c r="G26" s="52">
        <f>COUNTIFS(($C$8:$C$15),"SB",($K$8:$K$15),"Ordenadores del gasto (Vicepresidentes)")</f>
        <v>0</v>
      </c>
      <c r="H26" s="52">
        <f t="shared" ref="H26:H43" si="1">(3*E26)+(2*F26)+(1*G26)</f>
        <v>0</v>
      </c>
      <c r="I26" s="52">
        <f t="shared" si="0"/>
        <v>0</v>
      </c>
      <c r="J26" s="53">
        <f>I26/$D$22</f>
        <v>0</v>
      </c>
      <c r="K26" s="54"/>
      <c r="L26" s="50"/>
      <c r="M26" s="50"/>
    </row>
    <row r="27" spans="2:13">
      <c r="B27" s="51" t="s">
        <v>15</v>
      </c>
      <c r="C27" s="52">
        <v>2</v>
      </c>
      <c r="D27" s="52">
        <f>COUNTIF(K8:K16,"Supervisores de contratos (Misionales)")</f>
        <v>0</v>
      </c>
      <c r="E27" s="52">
        <f>COUNTIFS(($C$8:$C$15),"SA",($K$8:$K$15),"Supervisores de contratos (Misionales)")</f>
        <v>0</v>
      </c>
      <c r="F27" s="52">
        <f>COUNTIFS(($C$8:$C$15),"SM",($K$8:$K$15),"Supervisores de contratos (Misionales)")</f>
        <v>0</v>
      </c>
      <c r="G27" s="52">
        <f>COUNTIFS(($C$8:$C$15),"SB",($K$8:$K$15),"Supervisores de contratos (Misionales)")</f>
        <v>0</v>
      </c>
      <c r="H27" s="52">
        <f>(3*E27)+(2*F27)+(1*G27)</f>
        <v>0</v>
      </c>
      <c r="I27" s="52">
        <f t="shared" si="0"/>
        <v>0</v>
      </c>
      <c r="J27" s="53">
        <f t="shared" ref="J27:J43" si="2">I27/$D$22</f>
        <v>0</v>
      </c>
      <c r="K27" s="54"/>
      <c r="L27" s="50"/>
      <c r="M27" s="50"/>
    </row>
    <row r="28" spans="2:13">
      <c r="B28" s="51" t="s">
        <v>16</v>
      </c>
      <c r="C28" s="52">
        <v>2</v>
      </c>
      <c r="D28" s="52">
        <f>COUNTIF(K8:K16,"Coordinadores de Areas")</f>
        <v>0</v>
      </c>
      <c r="E28" s="52">
        <f>COUNTIFS(($C$8:$C$15),"SA",($K$8:$K$15),"Coordinadores de Areas")</f>
        <v>0</v>
      </c>
      <c r="F28" s="52">
        <f>COUNTIFS(($C$8:$C$15),"SM",($K$8:$K$15),"Coordinadores de Areas")</f>
        <v>0</v>
      </c>
      <c r="G28" s="52">
        <f>COUNTIFS(($C$8:$C$15),"SB",($K$8:$K$15),"Coordinadores de Areas")</f>
        <v>0</v>
      </c>
      <c r="H28" s="52">
        <f>(3*E28)+(2*F28)+(1*G28)</f>
        <v>0</v>
      </c>
      <c r="I28" s="52">
        <f t="shared" si="0"/>
        <v>0</v>
      </c>
      <c r="J28" s="53">
        <f t="shared" si="2"/>
        <v>0</v>
      </c>
      <c r="K28" s="54"/>
      <c r="L28" s="50"/>
      <c r="M28" s="50"/>
    </row>
    <row r="29" spans="2:13">
      <c r="B29" s="51" t="s">
        <v>17</v>
      </c>
      <c r="C29" s="52">
        <v>1</v>
      </c>
      <c r="D29" s="52">
        <f>COUNTIF(K8:K16,"Líder de seguimiento")</f>
        <v>0</v>
      </c>
      <c r="E29" s="52">
        <f>COUNTIFS(($C$8:$C$15),"SA",($K$8:$K$15),"Líder de seguimiento")</f>
        <v>0</v>
      </c>
      <c r="F29" s="52">
        <f>COUNTIFS(($C$8:$C$15),"SM",($K$8:$K$15),"Líder de seguimiento")</f>
        <v>0</v>
      </c>
      <c r="G29" s="52">
        <f>COUNTIFS(($C$8:$C$15),"SB",($K$8:$K$15),"Líder de seguimiento")</f>
        <v>0</v>
      </c>
      <c r="H29" s="52">
        <f t="shared" si="1"/>
        <v>0</v>
      </c>
      <c r="I29" s="52">
        <f t="shared" si="0"/>
        <v>0</v>
      </c>
      <c r="J29" s="53">
        <f t="shared" si="2"/>
        <v>0</v>
      </c>
      <c r="K29" s="54"/>
      <c r="L29" s="50"/>
      <c r="M29" s="50"/>
    </row>
    <row r="30" spans="2:13">
      <c r="B30" s="51" t="s">
        <v>18</v>
      </c>
      <c r="C30" s="52">
        <v>3</v>
      </c>
      <c r="D30" s="52">
        <f>COUNTIF(K8:K15,"Asesores del Presidente")</f>
        <v>0</v>
      </c>
      <c r="E30" s="52">
        <f>COUNTIFS(($C$8:$C$15),"SA",($K$8:$K$15),"Asesores del Presidente")</f>
        <v>0</v>
      </c>
      <c r="F30" s="52">
        <f>COUNTIFS(($C$8:$C$15),"SM",($K$8:$K$15),"Asesores del Presidente")</f>
        <v>0</v>
      </c>
      <c r="G30" s="52">
        <f>COUNTIFS(($C$8:$C$15),"SB",($K$8:$K$15),"Asesores del Presidente")</f>
        <v>0</v>
      </c>
      <c r="H30" s="52">
        <f t="shared" si="1"/>
        <v>0</v>
      </c>
      <c r="I30" s="52">
        <f t="shared" si="0"/>
        <v>0</v>
      </c>
      <c r="J30" s="53">
        <f t="shared" si="2"/>
        <v>0</v>
      </c>
      <c r="K30" s="54"/>
      <c r="L30" s="50"/>
      <c r="M30" s="50"/>
    </row>
    <row r="31" spans="2:13">
      <c r="B31" s="51" t="s">
        <v>19</v>
      </c>
      <c r="C31" s="52">
        <v>2</v>
      </c>
      <c r="D31" s="52">
        <f>COUNTIF(K8:K16,"Asesores de los Vicepresidentes")</f>
        <v>0</v>
      </c>
      <c r="E31" s="52">
        <f>COUNTIFS(($C$8:$C$15),"SA",($K$8:$K$15),"Asesores de los Vicepresidentes")</f>
        <v>0</v>
      </c>
      <c r="F31" s="52">
        <f>COUNTIFS(($C$8:$C$15),"SM",($K$8:$K$15),"Asesores de los Vicepresidentes")</f>
        <v>0</v>
      </c>
      <c r="G31" s="52">
        <f>COUNTIFS(($C$8:$C$15),"SB",($K$8:$K$15),"Asesores de los Vicepresidentes")</f>
        <v>0</v>
      </c>
      <c r="H31" s="52">
        <f t="shared" si="1"/>
        <v>0</v>
      </c>
      <c r="I31" s="52">
        <f t="shared" si="0"/>
        <v>0</v>
      </c>
      <c r="J31" s="53">
        <f t="shared" si="2"/>
        <v>0</v>
      </c>
      <c r="K31" s="54"/>
      <c r="L31" s="50"/>
      <c r="M31" s="50"/>
    </row>
    <row r="32" spans="2:13">
      <c r="B32" s="51" t="s">
        <v>20</v>
      </c>
      <c r="C32" s="52">
        <v>3</v>
      </c>
      <c r="D32" s="55">
        <f>COUNTIF(K8:K16,"Gerentes del proyecto")</f>
        <v>0</v>
      </c>
      <c r="E32" s="52">
        <f>COUNTIFS(($C$8:$C$15),"SA",($K$8:$K$15),"Gerentes del proyecto")</f>
        <v>0</v>
      </c>
      <c r="F32" s="52">
        <f>COUNTIFS(($C$8:$C$15),"SM",($K$8:$K$15),"Gerentes del proyecto")</f>
        <v>0</v>
      </c>
      <c r="G32" s="52">
        <f>COUNTIFS(($C$8:$C$15),"SB",($K$8:$K$15),"Gerentes del proyecto")</f>
        <v>0</v>
      </c>
      <c r="H32" s="52">
        <f t="shared" si="1"/>
        <v>0</v>
      </c>
      <c r="I32" s="52">
        <f t="shared" si="0"/>
        <v>0</v>
      </c>
      <c r="J32" s="53">
        <f t="shared" si="2"/>
        <v>0</v>
      </c>
      <c r="K32" s="54"/>
      <c r="L32" s="50"/>
      <c r="M32" s="50"/>
    </row>
    <row r="33" spans="1:14">
      <c r="B33" s="51" t="s">
        <v>21</v>
      </c>
      <c r="C33" s="52">
        <v>2</v>
      </c>
      <c r="D33" s="55">
        <f>COUNTIF(K8:K16,"Estructuradores de proyectos")</f>
        <v>0</v>
      </c>
      <c r="E33" s="52">
        <f>COUNTIFS(($C$8:$C$15),"SA",($K$8:$K$15),"Estructuradores de proyectos")</f>
        <v>0</v>
      </c>
      <c r="F33" s="52">
        <f>COUNTIFS(($C$8:$C$15),"SM",($K$8:$K$15),"Estructuradores de proyectos")</f>
        <v>0</v>
      </c>
      <c r="G33" s="52">
        <f>COUNTIFS(($C$8:$C$15),"SB",($K$8:$K$15),"Estructuradores de proyectos")</f>
        <v>0</v>
      </c>
      <c r="H33" s="52">
        <f t="shared" si="1"/>
        <v>0</v>
      </c>
      <c r="I33" s="52">
        <f t="shared" si="0"/>
        <v>0</v>
      </c>
      <c r="J33" s="53">
        <f t="shared" si="2"/>
        <v>0</v>
      </c>
      <c r="K33" s="54"/>
      <c r="L33" s="50"/>
      <c r="M33" s="50"/>
    </row>
    <row r="34" spans="1:14" ht="36">
      <c r="B34" s="51" t="s">
        <v>22</v>
      </c>
      <c r="C34" s="52">
        <v>3</v>
      </c>
      <c r="D34" s="55">
        <f>COUNTIF(K8:K16,"Integrantes de los comités evaluadores de los procesos de contratación")</f>
        <v>0</v>
      </c>
      <c r="E34" s="52">
        <f>COUNTIFS(($C$8:$C$15),"SA",($K$8:$K$15),"Integrantes de los comités evaluadores de los procesos de contratación")</f>
        <v>0</v>
      </c>
      <c r="F34" s="52">
        <f>COUNTIFS(($C$8:$C$15),"SM",($K$8:$K$15),"Integrantes de los comités evaluadores de los procesos de contratación")</f>
        <v>0</v>
      </c>
      <c r="G34" s="52">
        <f>COUNTIFS(($C$8:$C$15),"SB",($K$8:$K$15),"Integrantes de los comités evaluadores de los procesos de contratación")</f>
        <v>0</v>
      </c>
      <c r="H34" s="52">
        <f t="shared" si="1"/>
        <v>0</v>
      </c>
      <c r="I34" s="52">
        <f t="shared" si="0"/>
        <v>0</v>
      </c>
      <c r="J34" s="53">
        <f t="shared" si="2"/>
        <v>0</v>
      </c>
      <c r="K34" s="54"/>
      <c r="L34" s="50"/>
      <c r="M34" s="50"/>
    </row>
    <row r="35" spans="1:14" ht="36">
      <c r="B35" s="51" t="s">
        <v>23</v>
      </c>
      <c r="C35" s="52">
        <v>3</v>
      </c>
      <c r="D35" s="55">
        <f>COUNTIF(K8:K16,"Integrantes de los comités estructuradores de los procesos de contratación")</f>
        <v>0</v>
      </c>
      <c r="E35" s="52">
        <f>COUNTIFS(($C$8:$C$15),"SA",($K$8:$K$15),"Integrantes de los comités estructuradores de los procesos de contratación")</f>
        <v>0</v>
      </c>
      <c r="F35" s="52">
        <f>COUNTIFS(($C$8:$C$15),"SM",($K$8:$K$15),"Integrantes de los comités estructuradores de los procesos de contratación")</f>
        <v>0</v>
      </c>
      <c r="G35" s="52">
        <f>COUNTIFS(($C$8:$C$15),"SB",($K$8:$K$15),"Integrantes de los comités estructuradores de los procesos de contratación")</f>
        <v>0</v>
      </c>
      <c r="H35" s="52">
        <f t="shared" si="1"/>
        <v>0</v>
      </c>
      <c r="I35" s="52">
        <f t="shared" si="0"/>
        <v>0</v>
      </c>
      <c r="J35" s="53">
        <f t="shared" si="2"/>
        <v>0</v>
      </c>
      <c r="K35" s="54"/>
      <c r="L35" s="50"/>
      <c r="M35" s="50"/>
    </row>
    <row r="36" spans="1:14" ht="24">
      <c r="B36" s="51" t="s">
        <v>26</v>
      </c>
      <c r="C36" s="52">
        <v>2</v>
      </c>
      <c r="D36" s="55">
        <f>COUNTIF(K8:K16,"Colaboradores con problemas económicos o situación familiar difícil")</f>
        <v>0</v>
      </c>
      <c r="E36" s="52">
        <f>COUNTIFS(($C$8:$C$15),"SA",($K$8:$K$15),"Colaboradores con problemas económicos o situación familiar difícil")</f>
        <v>0</v>
      </c>
      <c r="F36" s="52">
        <f>COUNTIFS(($C$8:$C$15),"SM",($K$8:$K$15),"Colaboradores con problemas económicos o situación familiar difícil")</f>
        <v>0</v>
      </c>
      <c r="G36" s="52">
        <f>COUNTIFS(($C$8:$C$15),"SB",($K$8:$K$15),"Colaboradores con problemas económicos o situación familiar difícil")</f>
        <v>0</v>
      </c>
      <c r="H36" s="52">
        <f t="shared" si="1"/>
        <v>0</v>
      </c>
      <c r="I36" s="52">
        <f t="shared" si="0"/>
        <v>0</v>
      </c>
      <c r="J36" s="53">
        <f t="shared" si="2"/>
        <v>0</v>
      </c>
      <c r="K36" s="54"/>
      <c r="L36" s="50"/>
      <c r="M36" s="50"/>
    </row>
    <row r="37" spans="1:14" ht="24">
      <c r="B37" s="51" t="s">
        <v>27</v>
      </c>
      <c r="C37" s="52">
        <v>1</v>
      </c>
      <c r="D37" s="55">
        <f>COUNTIF(K8:K16,"Colaboradores con salarios inferiores a uno o dos SMMLV - (vigilancia y aseo)")</f>
        <v>0</v>
      </c>
      <c r="E37" s="52">
        <f>COUNTIFS(($C$8:$C$15),"SA",($K$8:$K$15),"Colaboradores con salarios inferiores a uno o dos SMMLV - (vigilancia y aseo)")</f>
        <v>0</v>
      </c>
      <c r="F37" s="52">
        <f>COUNTIFS(($C$8:$C$15),"SM",($K$8:$K$15),"Colaboradores con salarios inferiores a uno o dos SMMLV - (vigilancia y aseo)")</f>
        <v>0</v>
      </c>
      <c r="G37" s="52">
        <f>COUNTIFS(($C$8:$C$15),"SB",($K$8:$K$15),"Colaboradores con salarios inferiores a uno o dos SMMLV - (vigilancia y aseo)")</f>
        <v>0</v>
      </c>
      <c r="H37" s="52">
        <f t="shared" si="1"/>
        <v>0</v>
      </c>
      <c r="I37" s="52">
        <f t="shared" si="0"/>
        <v>0</v>
      </c>
      <c r="J37" s="53">
        <f t="shared" si="2"/>
        <v>0</v>
      </c>
      <c r="K37" s="54"/>
      <c r="L37" s="50"/>
      <c r="M37" s="50"/>
    </row>
    <row r="38" spans="1:14" ht="24">
      <c r="B38" s="51" t="s">
        <v>30</v>
      </c>
      <c r="C38" s="52">
        <v>3</v>
      </c>
      <c r="D38" s="55">
        <f>COUNTIF(K8:K16,"Colaboradores con antecedentes de delitos o con investigaciones")</f>
        <v>0</v>
      </c>
      <c r="E38" s="52">
        <f>COUNTIFS(($C$8:$C$15),"SA",($K$8:$K$15),"Colaboradores con antecedentes de delitos o con investigaciones")</f>
        <v>0</v>
      </c>
      <c r="F38" s="52">
        <f>COUNTIFS(($C$8:$C$15),"SM",($K$8:$K$15),"Colaboradores con antecedentes de delitos o con investigaciones")</f>
        <v>0</v>
      </c>
      <c r="G38" s="52">
        <f>COUNTIFS(($C$8:$C$15),"SB",($K$8:$K$15),"Colaboradores con antecedentes de delitos o con investigaciones")</f>
        <v>0</v>
      </c>
      <c r="H38" s="52">
        <f t="shared" si="1"/>
        <v>0</v>
      </c>
      <c r="I38" s="52">
        <f t="shared" si="0"/>
        <v>0</v>
      </c>
      <c r="J38" s="53">
        <f t="shared" si="2"/>
        <v>0</v>
      </c>
      <c r="K38" s="54"/>
      <c r="L38" s="50"/>
      <c r="M38" s="50"/>
    </row>
    <row r="39" spans="1:14" ht="24">
      <c r="B39" s="51" t="s">
        <v>24</v>
      </c>
      <c r="C39" s="52">
        <v>3</v>
      </c>
      <c r="D39" s="55">
        <f>COUNTIF(K8:K16,"Colaboradores con algún tipo de adicción")</f>
        <v>0</v>
      </c>
      <c r="E39" s="52">
        <f>COUNTIFS(($C$8:$C$15),"SA",($K$8:$K$15),"Colaboradores con algún tipo de adicción")</f>
        <v>0</v>
      </c>
      <c r="F39" s="52">
        <f>COUNTIFS(($C$8:$C$15),"SM",($K$8:$K$15),"Colaboradores con algún tipo de adicción")</f>
        <v>0</v>
      </c>
      <c r="G39" s="52">
        <f>COUNTIFS(($C$8:$C$15),"SB",($K$8:$K$15),"Colaboradores con algún tipo de adicción")</f>
        <v>0</v>
      </c>
      <c r="H39" s="52">
        <f t="shared" si="1"/>
        <v>0</v>
      </c>
      <c r="I39" s="52">
        <f t="shared" si="0"/>
        <v>0</v>
      </c>
      <c r="J39" s="53">
        <f t="shared" si="2"/>
        <v>0</v>
      </c>
      <c r="K39" s="54"/>
      <c r="L39" s="50"/>
      <c r="M39" s="50"/>
    </row>
    <row r="40" spans="1:14">
      <c r="B40" s="51" t="s">
        <v>25</v>
      </c>
      <c r="C40" s="52">
        <v>1</v>
      </c>
      <c r="D40" s="55">
        <f>COUNTIF(K8:K16,"Colaboradores de contratación publica")</f>
        <v>0</v>
      </c>
      <c r="E40" s="52">
        <f>COUNTIFS(($C$8:$C$15),"SA",($K$8:$K$15),"Colaboradores de contratación publica")</f>
        <v>0</v>
      </c>
      <c r="F40" s="52">
        <f>COUNTIFS(($C$8:$C$15),"SM",($K$8:$K$15),"Colaboradores de contratación publica")</f>
        <v>0</v>
      </c>
      <c r="G40" s="52">
        <f>COUNTIFS(($C$8:$C$15),"SB",($K$8:$K$15),"Colaboradores de contratación publica")</f>
        <v>0</v>
      </c>
      <c r="H40" s="52">
        <f t="shared" si="1"/>
        <v>0</v>
      </c>
      <c r="I40" s="52">
        <f t="shared" si="0"/>
        <v>0</v>
      </c>
      <c r="J40" s="53">
        <f t="shared" si="2"/>
        <v>0</v>
      </c>
      <c r="K40" s="54"/>
      <c r="L40" s="50"/>
      <c r="M40" s="50"/>
    </row>
    <row r="41" spans="1:14">
      <c r="B41" s="51" t="s">
        <v>31</v>
      </c>
      <c r="C41" s="52">
        <v>1</v>
      </c>
      <c r="D41" s="55">
        <f>COUNTIF(K8:K16,"Colaboradores de servicios generales")</f>
        <v>0</v>
      </c>
      <c r="E41" s="52">
        <f>COUNTIFS(($C$8:$C$15),"SA",($K$8:$K$15),"Colaboradores de servicios generales")</f>
        <v>0</v>
      </c>
      <c r="F41" s="52">
        <f>COUNTIFS(($C$8:$C$15),"SM",($K$8:$K$15),"Colaboradores de servicios generales")</f>
        <v>0</v>
      </c>
      <c r="G41" s="52">
        <f>COUNTIFS(($C$8:$C$15),"SB",($K$8:$K$15),"Colaboradores de servicios generales")</f>
        <v>0</v>
      </c>
      <c r="H41" s="52">
        <f t="shared" si="1"/>
        <v>0</v>
      </c>
      <c r="I41" s="52">
        <f t="shared" si="0"/>
        <v>0</v>
      </c>
      <c r="J41" s="53">
        <f t="shared" si="2"/>
        <v>0</v>
      </c>
      <c r="K41" s="54"/>
      <c r="L41" s="50"/>
      <c r="M41" s="50"/>
    </row>
    <row r="42" spans="1:14">
      <c r="B42" s="51" t="s">
        <v>32</v>
      </c>
      <c r="C42" s="52">
        <v>1</v>
      </c>
      <c r="D42" s="55">
        <f>COUNTIF(K8:K16,"Colaboradores de tecnología")</f>
        <v>0</v>
      </c>
      <c r="E42" s="52">
        <f>COUNTIFS(($C$8:$C$15),"SA",($K$8:$K$15),"Colaboradores de tecnología")</f>
        <v>0</v>
      </c>
      <c r="F42" s="52">
        <f>COUNTIFS(($C$8:$C$15),"SM",($K$8:$K$15),"Colaboradores de tecnología")</f>
        <v>0</v>
      </c>
      <c r="G42" s="52">
        <f>COUNTIFS(($C$8:$C$15),"SB",($K$8:$K$15),"Colaboradores de tecnología")</f>
        <v>0</v>
      </c>
      <c r="H42" s="52">
        <f t="shared" si="1"/>
        <v>0</v>
      </c>
      <c r="I42" s="52">
        <f t="shared" si="0"/>
        <v>0</v>
      </c>
      <c r="J42" s="53">
        <f t="shared" si="2"/>
        <v>0</v>
      </c>
      <c r="K42" s="54"/>
      <c r="L42" s="50"/>
      <c r="M42" s="50"/>
    </row>
    <row r="43" spans="1:14" ht="24">
      <c r="B43" s="56" t="s">
        <v>33</v>
      </c>
      <c r="C43" s="57">
        <v>1</v>
      </c>
      <c r="D43" s="58">
        <f>COUNTIF(K8:K16,"Colaboradores de atención de servicio al ciudadano")</f>
        <v>0</v>
      </c>
      <c r="E43" s="57">
        <f>COUNTIFS(($C$8:$C$15),"SA",($K$8:$K$15),"Colaboradores de atención de servicio al ciudadano")</f>
        <v>0</v>
      </c>
      <c r="F43" s="57">
        <f>COUNTIFS(($C$8:$C$15),"SM",($K$8:$K$15),"Colaboradores de atención de servicio al ciudadano")</f>
        <v>0</v>
      </c>
      <c r="G43" s="57">
        <f>COUNTIFS(($C$8:$C$15),"SB",($K$8:$K$15),"Colaboradores de atención de servicio al ciudadano")</f>
        <v>0</v>
      </c>
      <c r="H43" s="57">
        <f t="shared" si="1"/>
        <v>0</v>
      </c>
      <c r="I43" s="57">
        <f t="shared" si="0"/>
        <v>0</v>
      </c>
      <c r="J43" s="59">
        <f t="shared" si="2"/>
        <v>0</v>
      </c>
      <c r="K43" s="54"/>
      <c r="L43" s="50"/>
      <c r="M43" s="50"/>
    </row>
    <row r="44" spans="1:14">
      <c r="B44" s="60"/>
      <c r="C44" s="52"/>
      <c r="D44" s="55"/>
      <c r="E44" s="52"/>
      <c r="F44" s="52"/>
      <c r="G44" s="52"/>
      <c r="H44" s="52"/>
      <c r="I44" s="52"/>
      <c r="J44" s="61"/>
      <c r="K44" s="54"/>
      <c r="L44" s="50"/>
      <c r="M44" s="50"/>
    </row>
    <row r="45" spans="1:14">
      <c r="A45" s="112" t="s">
        <v>54</v>
      </c>
      <c r="B45" s="112"/>
      <c r="C45" s="112"/>
      <c r="D45" s="112"/>
      <c r="E45" s="112"/>
      <c r="F45" s="112"/>
      <c r="G45" s="112"/>
      <c r="H45" s="112"/>
      <c r="I45" s="112"/>
      <c r="J45" s="62"/>
      <c r="L45" s="13" t="s">
        <v>55</v>
      </c>
      <c r="M45" s="13" t="s">
        <v>56</v>
      </c>
      <c r="N45" s="13" t="s">
        <v>57</v>
      </c>
    </row>
    <row r="46" spans="1:14">
      <c r="A46" s="63" t="s">
        <v>3</v>
      </c>
      <c r="B46" s="64" t="s">
        <v>4</v>
      </c>
      <c r="C46" s="113" t="s">
        <v>38</v>
      </c>
      <c r="D46" s="113"/>
      <c r="E46" s="113"/>
      <c r="F46" s="113"/>
      <c r="G46" s="113"/>
      <c r="H46" s="113"/>
      <c r="I46" s="113"/>
      <c r="K46" s="65" t="s">
        <v>58</v>
      </c>
      <c r="L46" s="66"/>
      <c r="M46" s="66"/>
      <c r="N46" s="103" t="s">
        <v>59</v>
      </c>
    </row>
    <row r="47" spans="1:14">
      <c r="A47" s="66"/>
      <c r="B47" s="67"/>
      <c r="C47" s="106"/>
      <c r="D47" s="106"/>
      <c r="E47" s="106"/>
      <c r="F47" s="106"/>
      <c r="G47" s="106"/>
      <c r="H47" s="106"/>
      <c r="I47" s="106"/>
      <c r="K47" s="65" t="s">
        <v>60</v>
      </c>
      <c r="L47" s="66"/>
      <c r="M47" s="66"/>
      <c r="N47" s="104"/>
    </row>
    <row r="48" spans="1:14">
      <c r="A48" s="66"/>
      <c r="B48" s="67"/>
      <c r="C48" s="106"/>
      <c r="D48" s="106"/>
      <c r="E48" s="106"/>
      <c r="F48" s="106"/>
      <c r="G48" s="106"/>
      <c r="H48" s="106"/>
      <c r="I48" s="106"/>
      <c r="K48" s="65" t="s">
        <v>61</v>
      </c>
      <c r="L48" s="66"/>
      <c r="M48" s="66"/>
      <c r="N48" s="105"/>
    </row>
  </sheetData>
  <mergeCells count="29">
    <mergeCell ref="N46:N48"/>
    <mergeCell ref="C47:I47"/>
    <mergeCell ref="C48:I48"/>
    <mergeCell ref="H20:J20"/>
    <mergeCell ref="B23:B24"/>
    <mergeCell ref="C23:C24"/>
    <mergeCell ref="D23:H23"/>
    <mergeCell ref="A45:I45"/>
    <mergeCell ref="C46:I46"/>
    <mergeCell ref="H17:J17"/>
    <mergeCell ref="H18:J18"/>
    <mergeCell ref="H19:J19"/>
    <mergeCell ref="D15:J15"/>
    <mergeCell ref="D13:J13"/>
    <mergeCell ref="D14:J14"/>
    <mergeCell ref="A12:A15"/>
    <mergeCell ref="D12:J12"/>
    <mergeCell ref="D11:J11"/>
    <mergeCell ref="A8:A11"/>
    <mergeCell ref="D8:J8"/>
    <mergeCell ref="D9:J9"/>
    <mergeCell ref="D10:J10"/>
    <mergeCell ref="A2:A4"/>
    <mergeCell ref="D7:J7"/>
    <mergeCell ref="L7:M7"/>
    <mergeCell ref="B2:N2"/>
    <mergeCell ref="B3:N3"/>
    <mergeCell ref="B4:E4"/>
    <mergeCell ref="F4:J4"/>
  </mergeCells>
  <printOptions horizontalCentered="1" verticalCentered="1"/>
  <pageMargins left="0.7" right="0.7" top="0.75" bottom="0.75" header="0.3" footer="0.3"/>
  <pageSetup scale="50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6031AC66-D53B-FE4B-910D-27159E73B55E}">
            <x14:iconSet custom="1">
              <x14:cfvo type="percent">
                <xm:f>0</xm:f>
              </x14:cfvo>
              <x14:cfvo type="percentile" gte="0">
                <xm:f>20</xm:f>
              </x14:cfvo>
              <x14:cfvo type="percentile">
                <xm:f>33</xm:f>
              </x14:cfvo>
              <x14:cfIcon iconSet="3Flags" iconId="2"/>
              <x14:cfIcon iconSet="3Flags" iconId="1"/>
              <x14:cfIcon iconSet="3Flags" iconId="0"/>
            </x14:iconSet>
          </x14:cfRule>
          <xm:sqref>J25:J44</xm:sqref>
        </x14:conditionalFormatting>
        <x14:conditionalFormatting xmlns:xm="http://schemas.microsoft.com/office/excel/2006/main">
          <x14:cfRule type="iconSet" priority="2" id="{00F2F8CE-3A4B-2146-9C46-A2CF6AAF611F}">
            <x14:iconSet custom="1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  <x14:cfIcon iconSet="3Flags" iconId="2"/>
              <x14:cfIcon iconSet="3Flags" iconId="1"/>
              <x14:cfIcon iconSet="3Flags" iconId="0"/>
            </x14:iconSet>
          </x14:cfRule>
          <xm:sqref>K26:K44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BANDERAS ROJAS</vt:lpstr>
      <vt:lpstr>'BANDERAS ROJAS'!Área_de_impresión</vt:lpstr>
      <vt:lpstr>'BANDERAS ROJAS'!Títulos_a_imprimir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Cristian Leandro Muñoz Claros</cp:lastModifiedBy>
  <dcterms:created xsi:type="dcterms:W3CDTF">2023-09-11T19:30:45Z</dcterms:created>
  <dcterms:modified xsi:type="dcterms:W3CDTF">2023-09-12T19:16:36Z</dcterms:modified>
</cp:coreProperties>
</file>