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0" documentId="13_ncr:1_{1D9E2719-6AF7-4BA6-9252-518CF876A7AC}" xr6:coauthVersionLast="47" xr6:coauthVersionMax="47" xr10:uidLastSave="{00000000-0000-0000-0000-000000000000}"/>
  <bookViews>
    <workbookView xWindow="-120" yWindow="-120" windowWidth="20730" windowHeight="11160" tabRatio="0" firstSheet="7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state="hidden" r:id="rId4"/>
    <sheet name="INVERSIÓN" sheetId="4" state="hidden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state="hidden" r:id="rId9"/>
    <sheet name="Participación por Concepto" sheetId="12" r:id="rId10"/>
    <sheet name="EJECUCIÓN  RESERVA" sheetId="10" r:id="rId11"/>
    <sheet name="CXP" sheetId="13" state="hidden" r:id="rId12"/>
    <sheet name="PART. CUENTA X PAGAR CONCEPTO " sheetId="17" r:id="rId13"/>
    <sheet name="EJECUCIÓN CUENTA POR PAGAR " sheetId="19" r:id="rId14"/>
  </sheets>
  <calcPr calcId="191029"/>
  <pivotCaches>
    <pivotCache cacheId="59" r:id="rId15"/>
    <pivotCache cacheId="60" r:id="rId16"/>
    <pivotCache cacheId="61" r:id="rId17"/>
    <pivotCache cacheId="62" r:id="rId18"/>
    <pivotCache cacheId="63" r:id="rId19"/>
    <pivotCache cacheId="64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9" l="1"/>
  <c r="C47" i="10"/>
  <c r="C10" i="13"/>
  <c r="C9" i="13"/>
  <c r="E4" i="13"/>
  <c r="D4" i="13"/>
  <c r="C4" i="13"/>
  <c r="E3" i="13"/>
  <c r="C3" i="13"/>
  <c r="C10" i="9"/>
  <c r="C9" i="9"/>
  <c r="E4" i="9"/>
  <c r="D4" i="9"/>
  <c r="C4" i="9"/>
  <c r="E3" i="9"/>
  <c r="C3" i="9"/>
  <c r="I38" i="4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E48" i="19"/>
  <c r="E47" i="19"/>
  <c r="E46" i="19"/>
  <c r="D48" i="19"/>
  <c r="D47" i="19"/>
  <c r="D46" i="19"/>
  <c r="C47" i="19"/>
  <c r="C46" i="19"/>
  <c r="E47" i="10"/>
  <c r="E46" i="10"/>
  <c r="E45" i="10"/>
  <c r="D47" i="10"/>
  <c r="D46" i="10"/>
  <c r="D45" i="10"/>
  <c r="C46" i="10"/>
  <c r="C45" i="10"/>
  <c r="B36" i="7" l="1"/>
  <c r="F46" i="5"/>
  <c r="E45" i="5"/>
  <c r="C42" i="3"/>
  <c r="F42" i="3"/>
  <c r="F44" i="5"/>
  <c r="E44" i="5"/>
  <c r="C44" i="3"/>
  <c r="C47" i="5"/>
  <c r="C45" i="3"/>
  <c r="D44" i="5"/>
  <c r="E43" i="3"/>
  <c r="D48" i="5"/>
  <c r="D46" i="5"/>
  <c r="D45" i="5"/>
  <c r="E45" i="3"/>
  <c r="E47" i="5"/>
  <c r="E46" i="5"/>
  <c r="F44" i="3"/>
  <c r="F48" i="5"/>
  <c r="E44" i="3"/>
  <c r="C45" i="5"/>
  <c r="F45" i="3"/>
  <c r="F45" i="5"/>
  <c r="F47" i="5"/>
  <c r="F43" i="3"/>
  <c r="C48" i="5"/>
  <c r="C46" i="5"/>
  <c r="D45" i="3"/>
  <c r="C44" i="5"/>
  <c r="D47" i="5"/>
  <c r="E48" i="5"/>
  <c r="C43" i="3"/>
  <c r="D43" i="3" l="1"/>
  <c r="E42" i="3"/>
  <c r="D42" i="3"/>
  <c r="D44" i="3"/>
</calcChain>
</file>

<file path=xl/sharedStrings.xml><?xml version="1.0" encoding="utf-8"?>
<sst xmlns="http://schemas.openxmlformats.org/spreadsheetml/2006/main" count="244" uniqueCount="161">
  <si>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</si>
  <si>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</si>
  <si>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</si>
  <si>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</si>
  <si>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</si>
  <si>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</si>
  <si>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</si>
  <si>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</si>
  <si>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</si>
  <si>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</si>
  <si>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</si>
  <si>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</si>
  <si>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</si>
  <si>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</si>
  <si>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</si>
  <si>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</si>
  <si>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</si>
  <si>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</si>
  <si>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</si>
  <si>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</si>
  <si>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</si>
  <si>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</si>
  <si>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</si>
  <si>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</si>
  <si>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</si>
  <si>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</si>
  <si>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</si>
  <si>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</si>
  <si>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</si>
  <si>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</si>
  <si>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</si>
  <si>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</si>
  <si>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</si>
  <si>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</si>
  <si>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</si>
  <si>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</si>
  <si>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</si>
  <si>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</si>
  <si>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</si>
  <si>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</si>
  <si>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</si>
  <si>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</si>
  <si>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</si>
  <si>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</si>
  <si>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</si>
  <si>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</si>
  <si>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</si>
  <si>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</si>
  <si>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</si>
  <si>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</si>
  <si>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</si>
  <si>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</si>
  <si>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</si>
  <si>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</si>
  <si>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</si>
  <si>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</si>
  <si>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</si>
  <si>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</si>
  <si>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</si>
  <si>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</si>
  <si>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</si>
  <si>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</si>
  <si>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</si>
  <si>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</si>
  <si>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</si>
  <si>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</si>
  <si>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</si>
  <si>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</si>
  <si>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</si>
  <si>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</si>
  <si>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</si>
  <si>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</si>
  <si>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</si>
  <si>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</si>
  <si>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</si>
  <si>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</si>
  <si>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</si>
  <si>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</si>
  <si>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</si>
  <si>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</si>
  <si>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</si>
  <si>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</si>
  <si>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</si>
  <si>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</si>
  <si>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</si>
  <si>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</si>
  <si>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</si>
  <si>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</si>
  <si>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</si>
  <si>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</si>
  <si>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</si>
  <si>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</si>
  <si>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</si>
  <si>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</si>
  <si>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</si>
  <si>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</si>
  <si>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</si>
  <si>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</si>
  <si>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</si>
  <si>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</si>
  <si>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</si>
  <si>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</si>
  <si>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</si>
  <si>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</si>
  <si>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</si>
  <si>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</si>
  <si>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</si>
  <si>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</si>
  <si>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</si>
  <si>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</si>
  <si>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</si>
  <si>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</si>
  <si>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</si>
  <si>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</si>
  <si>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</si>
  <si>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</si>
  <si>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</si>
  <si>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</si>
  <si>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</si>
  <si>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</si>
  <si>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</si>
  <si>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</si>
  <si>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</si>
  <si>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</si>
  <si>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</si>
  <si>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</si>
  <si>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</si>
  <si>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</si>
  <si>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</si>
  <si>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</si>
  <si>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</si>
  <si>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</si>
  <si>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</si>
  <si>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</si>
  <si>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</si>
  <si>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</si>
  <si>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</si>
  <si>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</si>
  <si>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</si>
  <si>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</si>
  <si>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</si>
  <si>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</si>
  <si>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</si>
  <si>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</si>
  <si>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</si>
  <si>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</si>
  <si>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</si>
  <si>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</si>
  <si>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</si>
  <si>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</si>
  <si>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</si>
  <si>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</si>
  <si>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</si>
  <si>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</si>
  <si>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</si>
  <si>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</si>
  <si>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</si>
  <si>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</si>
  <si>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>Ejecución  Presupuestal Acumulada al  30/04/2022</t>
  </si>
  <si>
    <t xml:space="preserve">CXP CONSTITUIDAS
</t>
  </si>
  <si>
    <t xml:space="preserve">CANCELACIONES CXP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</si>
</sst>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9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3" fillId="0" borderId="2" xfId="16" applyFont="1" applyBorder="1" applyAlignment="1">
      <alignment horizontal="center"/>
    </xf>
    <xf numFmtId="43" fontId="15" fillId="0" borderId="4" xfId="16" applyFont="1" applyBorder="1"/>
    <xf numFmtId="43" fontId="15" fillId="2" borderId="4" xfId="16" applyFont="1" applyFill="1" applyBorder="1"/>
    <xf numFmtId="10" fontId="11" fillId="0" borderId="0" xfId="0" applyNumberFormat="1" applyFont="1" applyFill="1"/>
    <xf numFmtId="10" fontId="0" fillId="0" borderId="0" xfId="0" applyNumberFormat="1"/>
    <xf numFmtId="0" fontId="29" fillId="0" borderId="0" xfId="0" applyFont="1" applyFill="1" applyBorder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 applyFill="1" applyBorder="1"/>
    <xf numFmtId="10" fontId="30" fillId="0" borderId="0" xfId="13" applyNumberFormat="1" applyFont="1" applyFill="1" applyBorder="1"/>
    <xf numFmtId="41" fontId="30" fillId="0" borderId="0" xfId="1" applyFont="1" applyFill="1" applyBorder="1"/>
    <xf numFmtId="0" fontId="29" fillId="0" borderId="0" xfId="0" applyFont="1" applyFill="1" applyBorder="1" applyAlignment="1">
      <alignment horizontal="left"/>
    </xf>
    <xf numFmtId="41" fontId="29" fillId="0" borderId="0" xfId="0" applyNumberFormat="1" applyFont="1" applyFill="1" applyBorder="1"/>
    <xf numFmtId="0" fontId="29" fillId="0" borderId="0" xfId="0" applyFont="1" applyFill="1"/>
    <xf numFmtId="0" fontId="30" fillId="0" borderId="0" xfId="0" applyFont="1" applyFill="1"/>
    <xf numFmtId="10" fontId="30" fillId="0" borderId="0" xfId="13" applyNumberFormat="1" applyFont="1" applyFill="1"/>
    <xf numFmtId="0" fontId="31" fillId="0" borderId="0" xfId="0" applyFont="1" applyFill="1" applyBorder="1"/>
    <xf numFmtId="0" fontId="32" fillId="0" borderId="0" xfId="0" applyFont="1" applyFill="1" applyBorder="1" applyAlignment="1">
      <alignment horizontal="left"/>
    </xf>
    <xf numFmtId="168" fontId="32" fillId="0" borderId="0" xfId="0" applyNumberFormat="1" applyFont="1" applyFill="1" applyBorder="1"/>
    <xf numFmtId="167" fontId="32" fillId="0" borderId="0" xfId="13" applyNumberFormat="1" applyFont="1" applyFill="1" applyBorder="1"/>
    <xf numFmtId="9" fontId="32" fillId="0" borderId="0" xfId="13" applyFont="1" applyFill="1" applyBorder="1"/>
    <xf numFmtId="10" fontId="32" fillId="0" borderId="0" xfId="13" applyNumberFormat="1" applyFont="1" applyFill="1" applyBorder="1"/>
    <xf numFmtId="0" fontId="31" fillId="0" borderId="0" xfId="0" applyFont="1" applyFill="1" applyBorder="1" applyAlignment="1">
      <alignment horizontal="left"/>
    </xf>
    <xf numFmtId="168" fontId="31" fillId="0" borderId="0" xfId="1" applyNumberFormat="1" applyFont="1" applyFill="1" applyBorder="1"/>
    <xf numFmtId="10" fontId="31" fillId="0" borderId="0" xfId="13" applyNumberFormat="1" applyFont="1" applyFill="1" applyBorder="1"/>
    <xf numFmtId="10" fontId="34" fillId="0" borderId="0" xfId="13" applyNumberFormat="1" applyFont="1" applyFill="1" applyBorder="1"/>
    <xf numFmtId="0" fontId="33" fillId="0" borderId="0" xfId="0" applyFont="1" applyFill="1" applyBorder="1" applyAlignment="1">
      <alignment horizontal="left"/>
    </xf>
    <xf numFmtId="41" fontId="33" fillId="0" borderId="0" xfId="0" applyNumberFormat="1" applyFont="1" applyFill="1" applyBorder="1"/>
    <xf numFmtId="9" fontId="33" fillId="0" borderId="0" xfId="13" applyFont="1" applyFill="1" applyBorder="1"/>
    <xf numFmtId="167" fontId="33" fillId="0" borderId="0" xfId="13" applyNumberFormat="1" applyFont="1" applyFill="1" applyBorder="1"/>
    <xf numFmtId="0" fontId="31" fillId="0" borderId="0" xfId="0" applyFont="1" applyFill="1" applyBorder="1" applyAlignment="1">
      <alignment wrapText="1"/>
    </xf>
    <xf numFmtId="10" fontId="29" fillId="0" borderId="0" xfId="13" applyNumberFormat="1" applyFont="1" applyFill="1" applyBorder="1"/>
    <xf numFmtId="10" fontId="29" fillId="0" borderId="0" xfId="13" applyNumberFormat="1" applyFont="1" applyFill="1"/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4"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{11941E50-C879-4801-88C3-7E6DD06ACC7E}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{CF79034D-FB8B-42C8-BFB8-1C985393C5FB}</c15:txfldGUID>
                  <c15:f>'EJECUCIÓN CUENTA POR PAGAR '!$E$46</c15:f>
                  <c15:dlblFieldTableCache>
                    <c:ptCount val="1"/>
                    <c:pt idx="0">
                      <c:v>86,9%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'!$E$47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'!$E$47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'!$E$47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'!$E$47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'!$E$47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'!$E$47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'!$E$47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3C-4363-BEFB-7E435497821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03C-4363-BEFB-7E4354978215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{D1BCECAD-9D2A-449C-9322-FE7A66D46D83}</c15:txfldGUID>
                      <c15:f>'EJECUCIÓN CUENTA POR PAGAR '!$E$46</c15:f>
                      <c15:dlblFieldTableCache>
                        <c:ptCount val="1"/>
                        <c:pt idx="0">
                          <c:v>86,9%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03C-4363-BEFB-7E4354978215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{5CB108DE-E207-434D-8867-A85797EDB3D7}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03C-4363-BEFB-7E4354978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'!$E$47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'!$E$47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{B70B62F3-119B-4F49-AB68-478F4CAA0FF6}</c15:txfldGUID>
                  <c15:f>'EJECUCIÓN CUENTA POR PAGAR '!$E$48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DB8-4A56-BBFF-0B777AF23374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{2493FCD2-7745-4829-9661-4E603617EE8E}</c15:txfldGUID>
                      <c15:f>'EJECUCIÓN CUENTA POR PAGAR '!$E$48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DB8-4A56-BBFF-0B777AF23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6172401256475273E-2"/>
              <c:y val="-4.3758052626810789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19,42%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{09685A5B-74C0-46F5-8551-25713E197267}</c15:txfldGUID>
                  <c15:f>'APR VS RP  Y OBLIGACIÓN Y PAGO'!$F$42</c15:f>
                  <c15:dlblFieldTableCache>
                    <c:ptCount val="1"/>
                    <c:pt idx="0">
                      <c:v>19,42%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55383639591735E-2"/>
              <c:y val="-2.0592024765557975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20,38%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{02CF1C4A-EBF7-4E5A-90E3-4B08B09DBD16}</c15:txfldGUID>
                  <c15:f>'APR VS RP  Y OBLIGACIÓN Y PAGO'!$E$42</c15:f>
                  <c15:dlblFieldTableCache>
                    <c:ptCount val="1"/>
                    <c:pt idx="0">
                      <c:v>20,38%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34476775868374E-2"/>
              <c:y val="-7.9794095966537248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13,50%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{450851B0-1331-4320-9F6B-3BF7A0E7AC86}</c15:txfldGUID>
                  <c15:f>'APR VS RP  Y OBLIGACIÓN Y PAGO'!$E$43</c15:f>
                  <c15:dlblFieldTableCache>
                    <c:ptCount val="1"/>
                    <c:pt idx="0">
                      <c:v>13,50%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9578771948925987E-2"/>
              <c:y val="-6.9498083583758252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13,50%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{DEA0E491-7878-483A-8419-AFF88E95A4E0}</c15:txfldGUID>
                  <c15:f>'APR VS RP  Y OBLIGACIÓN Y PAGO'!$F$43</c15:f>
                  <c15:dlblFieldTableCache>
                    <c:ptCount val="1"/>
                    <c:pt idx="0">
                      <c:v>13,50%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8077553241681626E-2"/>
              <c:y val="-2.5740030956947466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7,38%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{C696E31E-6A32-4E9D-818D-C2E9881144F8}</c15:txfldGUID>
                  <c15:f>'APR VS RP  Y OBLIGACIÓN Y PAGO'!$E$44</c15:f>
                  <c15:dlblFieldTableCache>
                    <c:ptCount val="1"/>
                    <c:pt idx="0">
                      <c:v>7,38%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8788109660210974E-2"/>
              <c:y val="-2.3166027861252721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7,38%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{B5B396FF-A678-4E13-8467-7A061021B97D}</c15:txfldGUID>
                  <c15:f>'APR VS RP  Y OBLIGACIÓN Y PAGO'!$F$44</c15:f>
                  <c15:dlblFieldTableCache>
                    <c:ptCount val="1"/>
                    <c:pt idx="0">
                      <c:v>7,38%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2.32187465240076E-2"/>
              <c:y val="-6.9498083583758169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28,02%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{1D24CE01-1697-49DB-BDE9-1D69F7633EC3}</c15:txfldGUID>
                  <c15:f>'APR VS RP  Y OBLIGACIÓN Y PAGO'!$D$42</c15:f>
                  <c15:dlblFieldTableCache>
                    <c:ptCount val="1"/>
                    <c:pt idx="0">
                      <c:v>28,02%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2.4354233590125732E-2"/>
              <c:y val="-2.3166027861252814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13,50%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{8B53EC24-02D2-4DF3-86A5-5E8E1375B084}</c15:txfldGUID>
                  <c15:f>'APR VS RP  Y OBLIGACIÓN Y PAGO'!$D$43</c15:f>
                  <c15:dlblFieldTableCache>
                    <c:ptCount val="1"/>
                    <c:pt idx="0">
                      <c:v>13,50%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4.9578771948926237E-2"/>
              <c:y val="-2.8314034052642236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95,83%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{B8BEFA00-46B3-4917-9269-8CBFE7EE19A1}</c15:txfldGUID>
                  <c15:f>'APR VS RP  Y OBLIGACIÓN Y PAGO'!$D$44</c15:f>
                  <c15:dlblFieldTableCache>
                    <c:ptCount val="1"/>
                    <c:pt idx="0">
                      <c:v>95,83%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PAGO'!$F$42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PAGO'!$F$42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2.32187465240076E-2"/>
                  <c:y val="-6.9498083583758169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28,02%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{462F54A8-BA30-4D8A-A767-66F4A81A6C41}</c15:txfldGUID>
                      <c15:f>'APR VS RP  Y OBLIGACIÓN Y PAGO'!$D$42</c15:f>
                      <c15:dlblFieldTableCache>
                        <c:ptCount val="1"/>
                        <c:pt idx="0">
                          <c:v>28,02%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2.4354233590125732E-2"/>
                  <c:y val="-2.3166027861252814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13,50%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{7217EDD7-E1BD-414F-975E-3E8CDB834FEB}</c15:txfldGUID>
                      <c15:f>'APR VS RP  Y OBLIGACIÓN Y PAGO'!$D$43</c15:f>
                      <c15:dlblFieldTableCache>
                        <c:ptCount val="1"/>
                        <c:pt idx="0">
                          <c:v>13,50%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4.9578771948926237E-2"/>
                  <c:y val="-2.8314034052642236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95,83%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{84CB9168-E02F-490C-A15A-006DAED4FBA3}</c15:txfldGUID>
                      <c15:f>'APR VS RP  Y OBLIGACIÓN Y PAGO'!$D$44</c15:f>
                      <c15:dlblFieldTableCache>
                        <c:ptCount val="1"/>
                        <c:pt idx="0">
                          <c:v>95,83%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27959.434408560002</c:v>
                </c:pt>
                <c:pt idx="1">
                  <c:v>157603.58227700001</c:v>
                </c:pt>
                <c:pt idx="2">
                  <c:v>4317204.7892314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PAGO'!$F$42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2.2055383639591735E-2"/>
                  <c:y val="-2.0592024765557975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20,38%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{AD99CC15-51E9-46A7-B1E4-730AD12D4DD6}</c15:txfldGUID>
                      <c15:f>'APR VS RP  Y OBLIGACIÓN Y PAGO'!$E$42</c15:f>
                      <c15:dlblFieldTableCache>
                        <c:ptCount val="1"/>
                        <c:pt idx="0">
                          <c:v>20,38%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2.2034476775868374E-2"/>
                  <c:y val="-7.9794095966537248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13,50%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{B7D78678-6F13-4A40-B2F2-C067E30407AA}</c15:txfldGUID>
                      <c15:f>'APR VS RP  Y OBLIGACIÓN Y PAGO'!$E$43</c15:f>
                      <c15:dlblFieldTableCache>
                        <c:ptCount val="1"/>
                        <c:pt idx="0">
                          <c:v>13,50%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3.8077553241681626E-2"/>
                  <c:y val="-2.5740030956947466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7,38%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{C062192E-AB40-48F1-9697-8530811809CF}</c15:txfldGUID>
                      <c15:f>'APR VS RP  Y OBLIGACIÓN Y PAGO'!$E$44</c15:f>
                      <c15:dlblFieldTableCache>
                        <c:ptCount val="1"/>
                        <c:pt idx="0">
                          <c:v>7,38%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20337.191976580001</c:v>
                </c:pt>
                <c:pt idx="1">
                  <c:v>157603.58227700001</c:v>
                </c:pt>
                <c:pt idx="2">
                  <c:v>332431.88560458005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4.6172401256475273E-2"/>
                  <c:y val="-4.3758052626810789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19,42%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{5DD77145-675B-463F-A86C-090EE07E65B0}</c15:txfldGUID>
                      <c15:f>'APR VS RP  Y OBLIGACIÓN Y PAGO'!$F$42</c15:f>
                      <c15:dlblFieldTableCache>
                        <c:ptCount val="1"/>
                        <c:pt idx="0">
                          <c:v>19,42%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4.9578771948925987E-2"/>
                  <c:y val="-6.9498083583758252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13,50%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{C72D9F25-94DB-4BEF-8843-00BAD39C04CB}</c15:txfldGUID>
                      <c15:f>'APR VS RP  Y OBLIGACIÓN Y PAGO'!$F$43</c15:f>
                      <c15:dlblFieldTableCache>
                        <c:ptCount val="1"/>
                        <c:pt idx="0">
                          <c:v>13,50%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5.8788109660210974E-2"/>
                  <c:y val="-2.3166027861252721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7,38%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{B8AB8D56-B569-4CE6-84DE-3BB2BDFD2F71}</c15:txfldGUID>
                      <c15:f>'APR VS RP  Y OBLIGACIÓN Y PAGO'!$F$44</c15:f>
                      <c15:dlblFieldTableCache>
                        <c:ptCount val="1"/>
                        <c:pt idx="0">
                          <c:v>7,38%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19373.83111558</c:v>
                </c:pt>
                <c:pt idx="1">
                  <c:v>157603.58227700001</c:v>
                </c:pt>
                <c:pt idx="2">
                  <c:v>332410.58650058007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9136175732914854E-2"/>
              <c:y val="-1.2912360063722319E-2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26,54%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5.3344466221682874E-2"/>
                  <c:h val="1.9292856249626202E-2"/>
                </c:manualLayout>
              </c15:layout>
              <c15:dlblFieldTable>
                <c15:dlblFTEntry>
                  <c15:txfldGUID>{EEAA51C9-F043-49E1-BE7F-D192B53ADD2B}</c15:txfldGUID>
                  <c15:f>'APR,RP´S,OBL Y PAGO FUNCIONAMIE'!$F$45</c15:f>
                  <c15:dlblFieldTableCache>
                    <c:ptCount val="1"/>
                    <c:pt idx="0">
                      <c:v>26,54%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9427519627265997E-2"/>
              <c:y val="-2.5046133436274962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26,65%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{810EECDA-86DF-4571-8F3D-95D6B1CC5534}</c15:txfldGUID>
                  <c15:f>'APR,RP´S,OBL Y PAGO FUNCIONAMIE'!$E$45</c15:f>
                  <c15:dlblFieldTableCache>
                    <c:ptCount val="1"/>
                    <c:pt idx="0">
                      <c:v>26,65%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5901399287405598E-2"/>
              <c:y val="-5.5777384115347634E-3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27,54%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{D35B655A-8E17-4255-9E3B-46B11F4BD865}</c15:txfldGUID>
                  <c15:f>'APR,RP´S,OBL Y PAGO FUNCIONAMIE'!$F$44</c15:f>
                  <c15:dlblFieldTableCache>
                    <c:ptCount val="1"/>
                    <c:pt idx="0">
                      <c:v>27,54%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65,90%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{37359411-0610-4CDD-BAED-8D921EFFA613}</c15:txfldGUID>
                  <c15:f>'APR,RP´S,OBL Y PAGO FUNCIONAMIE'!$D$45</c15:f>
                  <c15:dlblFieldTableCache>
                    <c:ptCount val="1"/>
                    <c:pt idx="0">
                      <c:v>65,90%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5.0207918683641432E-2"/>
              <c:y val="-4.3240812731414779E-2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29,37%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5.6585320791651447E-2"/>
                  <c:h val="4.1389059552095167E-2"/>
                </c:manualLayout>
              </c15:layout>
              <c15:dlblFieldTable>
                <c15:dlblFTEntry>
                  <c15:txfldGUID>{686611D8-4422-4A9A-ABD7-9A44CEFF0FB4}</c15:txfldGUID>
                  <c15:f>'APR,RP´S,OBL Y PAGO FUNCIONAMIE'!$E$44</c15:f>
                  <c15:dlblFieldTableCache>
                    <c:ptCount val="1"/>
                    <c:pt idx="0">
                      <c:v>29,37%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5381299937390262E-2"/>
              <c:y val="-7.0391413798165537E-3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29,37%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5.8205748076635755E-2"/>
                  <c:h val="5.7961212028946885E-2"/>
                </c:manualLayout>
              </c15:layout>
              <c15:dlblFieldTable>
                <c15:dlblFTEntry>
                  <c15:txfldGUID>{1BB47DF1-4C57-473E-8326-544A23F43174}</c15:txfldGUID>
                  <c15:f>'APR,RP´S,OBL Y PAGO FUNCIONAMIE'!$D$44</c15:f>
                  <c15:dlblFieldTableCache>
                    <c:ptCount val="1"/>
                    <c:pt idx="0">
                      <c:v>29,37%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6188374554628439E-2"/>
              <c:y val="-2.7888692057673817E-2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0,31%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{6B41644B-2F9B-476E-B9B0-F6D9549AB4B9}</c15:txfldGUID>
                  <c15:f>'APR,RP´S,OBL Y PAGO FUNCIONAMIE'!$D$46</c15:f>
                  <c15:dlblFieldTableCache>
                    <c:ptCount val="1"/>
                    <c:pt idx="0">
                      <c:v>0,31%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8.0941872773142489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6.4753498218513995E-3"/>
              <c:y val="-5.577738411534763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9.7225637099057488E-3"/>
              <c:y val="-2.7620254128087221E-3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0,31%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{F5989EDE-8A4F-4D21-A2E9-398B7D159D4D}</c15:txfldGUID>
                  <c15:f>'APR,RP´S,OBL Y PAGO FUNCIONAMIE'!$E$46</c15:f>
                  <c15:dlblFieldTableCache>
                    <c:ptCount val="1"/>
                    <c:pt idx="0">
                      <c:v>0,31%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6202486552048444E-2"/>
              <c:y val="-1.0127309522087815E-16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0,31%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{9CE8392A-14FD-425E-A322-802E06359F66}</c15:txfldGUID>
                  <c15:f>'APR,RP´S,OBL Y PAGO FUNCIONAMIE'!$F$46</c15:f>
                  <c15:dlblFieldTableCache>
                    <c:ptCount val="1"/>
                    <c:pt idx="0">
                      <c:v>0,31%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83845564858623E-2"/>
              <c:y val="-8.2860762384258622E-3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{C1055A4A-A3AA-4408-8AC5-DEACA260A75D}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3.7269827554638701E-2"/>
              <c:y val="-1.1048101651234585E-2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{BC9BBC70-65B0-45C4-82A2-52A5563F102A}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5.3474100404481618E-2"/>
              <c:y val="-2.762025412808621E-3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dlblFieldTable>
                <c15:dlblFTEntry>
                  <c15:txfldGUID>{AB4E9051-21B9-422C-9E8E-32A2F8F37ADB}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FUNCIONAMIE'!$F$45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Lbls>
            <c:dLbl>
              <c:idx val="1"/>
              <c:layout>
                <c:manualLayout>
                  <c:x val="8.09418727731424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6.4753498218513995E-3"/>
                  <c:y val="-5.577738411534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FUNCIONAMIE'!$F$45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E08-401C-9A01-EDCDE10DB267}"/>
              </c:ext>
            </c:extLst>
          </c:dPt>
          <c:dLbls>
            <c:dLbl>
              <c:idx val="0"/>
              <c:layout>
                <c:manualLayout>
                  <c:x val="1.5381299937390262E-2"/>
                  <c:y val="-7.0391413798165537E-3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29,37%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205748076635755E-2"/>
                      <c:h val="5.7961212028946885E-2"/>
                    </c:manualLayout>
                  </c15:layout>
                  <c15:dlblFieldTable>
                    <c15:dlblFTEntry>
                      <c15:txfldGUID>{38ABFDDF-C54B-4B26-AA49-84634B9BC698}</c15:txfldGUID>
                      <c15:f>'APR,RP´S,OBL Y PAGO FUNCIONAMIE'!$D$44</c15:f>
                      <c15:dlblFieldTableCache>
                        <c:ptCount val="1"/>
                        <c:pt idx="0">
                          <c:v>29,37%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65,90%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{B4500B4D-BB55-48EC-B779-9A8881060447}</c15:txfldGUID>
                      <c15:f>'APR,RP´S,OBL Y PAGO FUNCIONAMIE'!$D$45</c15:f>
                      <c15:dlblFieldTableCache>
                        <c:ptCount val="1"/>
                        <c:pt idx="0">
                          <c:v>65,90%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6188374554628439E-2"/>
                  <c:y val="-2.7888692057673817E-2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0,31%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{D61FDFBA-5E0E-4E2B-A879-EAE7164CB81F}</c15:txfldGUID>
                      <c15:f>'APR,RP´S,OBL Y PAGO FUNCIONAMIE'!$D$46</c15:f>
                      <c15:dlblFieldTableCache>
                        <c:ptCount val="1"/>
                        <c:pt idx="0">
                          <c:v>0,31%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4583845564858623E-2"/>
                  <c:y val="-8.2860762384258622E-3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{27FE639D-F98E-4C88-BA03-9FAD8AAD753C}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E08-401C-9A01-EDCDE10DB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15115.56499241</c:v>
                </c:pt>
                <c:pt idx="1">
                  <c:v>12797.724988110002</c:v>
                </c:pt>
                <c:pt idx="2">
                  <c:v>46.144428040000001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FUNCIONAMIE'!$F$45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E08-401C-9A01-EDCDE10DB26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E08-401C-9A01-EDCDE10DB267}"/>
              </c:ext>
            </c:extLst>
          </c:dPt>
          <c:dLbls>
            <c:dLbl>
              <c:idx val="0"/>
              <c:layout>
                <c:manualLayout>
                  <c:x val="5.0207918683641432E-2"/>
                  <c:y val="-4.3240812731414779E-2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29,37%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585320791651447E-2"/>
                      <c:h val="4.1389059552095167E-2"/>
                    </c:manualLayout>
                  </c15:layout>
                  <c15:dlblFieldTable>
                    <c15:dlblFTEntry>
                      <c15:txfldGUID>{A8367BC0-99B5-4A2D-983F-4DFD423B0692}</c15:txfldGUID>
                      <c15:f>'APR,RP´S,OBL Y PAGO FUNCIONAMIE'!$E$44</c15:f>
                      <c15:dlblFieldTableCache>
                        <c:ptCount val="1"/>
                        <c:pt idx="0">
                          <c:v>29,37%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9427519627265997E-2"/>
                  <c:y val="-2.5046133436274962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26,65%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{982D4D61-C06E-47E6-AB3B-09187C7FFF68}</c15:txfldGUID>
                      <c15:f>'APR,RP´S,OBL Y PAGO FUNCIONAMIE'!$E$45</c15:f>
                      <c15:dlblFieldTableCache>
                        <c:ptCount val="1"/>
                        <c:pt idx="0">
                          <c:v>26,65%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layout>
                <c:manualLayout>
                  <c:x val="9.7225637099057488E-3"/>
                  <c:y val="-2.7620254128087221E-3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0,31%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{97910D82-6761-4396-916C-41E573F9BFC9}</c15:txfldGUID>
                      <c15:f>'APR,RP´S,OBL Y PAGO FUNCIONAMIE'!$E$46</c15:f>
                      <c15:dlblFieldTableCache>
                        <c:ptCount val="1"/>
                        <c:pt idx="0">
                          <c:v>0,31%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E08-401C-9A01-EDCDE10DB267}"/>
                </c:ext>
              </c:extLst>
            </c:dLbl>
            <c:dLbl>
              <c:idx val="3"/>
              <c:layout>
                <c:manualLayout>
                  <c:x val="3.7269827554638701E-2"/>
                  <c:y val="-1.1048101651234585E-2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{3AFFD4F1-97EB-4BFA-933A-56B8D31E5DE4}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E08-401C-9A01-EDCDE10DB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15115.56499241</c:v>
                </c:pt>
                <c:pt idx="1">
                  <c:v>5175.4825561299995</c:v>
                </c:pt>
                <c:pt idx="2">
                  <c:v>46.144428040000001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FUNCIONAMIE'!$F$45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E08-401C-9A01-EDCDE10DB26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E08-401C-9A01-EDCDE10DB267}"/>
              </c:ext>
            </c:extLst>
          </c:dPt>
          <c:dLbls>
            <c:dLbl>
              <c:idx val="0"/>
              <c:layout>
                <c:manualLayout>
                  <c:x val="2.5901399287405598E-2"/>
                  <c:y val="-5.5777384115347634E-3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27,54%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{6C4EEF6B-F97F-45FC-90C1-581E31E40345}</c15:txfldGUID>
                      <c15:f>'APR,RP´S,OBL Y PAGO FUNCIONAMIE'!$F$44</c15:f>
                      <c15:dlblFieldTableCache>
                        <c:ptCount val="1"/>
                        <c:pt idx="0">
                          <c:v>27,54%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2.9136175732914854E-2"/>
                  <c:y val="-1.2912360063722319E-2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26,54%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44466221682874E-2"/>
                      <c:h val="1.9292856249626202E-2"/>
                    </c:manualLayout>
                  </c15:layout>
                  <c15:dlblFieldTable>
                    <c15:dlblFTEntry>
                      <c15:txfldGUID>{5C3B9DA4-FB9A-4039-A4E5-CB4EE97646E0}</c15:txfldGUID>
                      <c15:f>'APR,RP´S,OBL Y PAGO FUNCIONAMIE'!$F$45</c15:f>
                      <c15:dlblFieldTableCache>
                        <c:ptCount val="1"/>
                        <c:pt idx="0">
                          <c:v>26,54%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6202486552048444E-2"/>
                  <c:y val="-1.0127309522087815E-16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0,31%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{41A658A9-1FE5-4F28-AC80-03414AA5FFAE}</c15:txfldGUID>
                      <c15:f>'APR,RP´S,OBL Y PAGO FUNCIONAMIE'!$F$46</c15:f>
                      <c15:dlblFieldTableCache>
                        <c:ptCount val="1"/>
                        <c:pt idx="0">
                          <c:v>0,31%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E08-401C-9A01-EDCDE10DB267}"/>
                </c:ext>
              </c:extLst>
            </c:dLbl>
            <c:dLbl>
              <c:idx val="3"/>
              <c:layout>
                <c:manualLayout>
                  <c:x val="5.3474100404481618E-2"/>
                  <c:y val="-2.762025412808621E-3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{839EEEB2-B7F1-4B1C-A558-FD9B52CD2F1F}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E08-401C-9A01-EDCDE10DB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14174.32846841</c:v>
                </c:pt>
                <c:pt idx="1">
                  <c:v>5153.3582191299993</c:v>
                </c:pt>
                <c:pt idx="2">
                  <c:v>46.144428040000001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4317204789231.4009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332431885604.58002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332410586500.58002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abril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57,49%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{9B280090-A982-4BC4-A87E-8DD104E99F5B}</c15:txfldGUID>
                  <c15:f>'EJECUCIÓN  RESERVA'!$E$47</c15:f>
                  <c15:dlblFieldTableCache>
                    <c:ptCount val="1"/>
                    <c:pt idx="0">
                      <c:v>57,49%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57,49%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{F210D548-1B4A-4A63-9F4A-515EDDBCCE89}</c15:txfldGUID>
                      <c15:f>'EJECUCIÓN  RESERVA'!$E$47</c15:f>
                      <c15:dlblFieldTableCache>
                        <c:ptCount val="1"/>
                        <c:pt idx="0">
                          <c:v>57,49%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31877.022465530001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55,87%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{0497B032-B58A-44AC-8C1F-84507222A7BF}</c15:txfldGUID>
                  <c15:f>'EJECUCIÓN  RESERVA'!$E$46</c15:f>
                  <c15:dlblFieldTableCache>
                    <c:ptCount val="1"/>
                    <c:pt idx="0">
                      <c:v>55,87%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95,9%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{6A9FE7E6-13F0-4D3F-8D04-A345AB2E9721}</c15:txfldGUID>
                  <c15:f>'EJECUCIÓN  RESERVA'!$E$45</c15:f>
                  <c15:dlblFieldTableCache>
                    <c:ptCount val="1"/>
                    <c:pt idx="0">
                      <c:v>95,9%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8EA-49F9-AC0C-EE9A1F25586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EA-49F9-AC0C-EE9A1F255862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95,9%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{5EC4558C-54A3-4AC0-B811-E3EC5CBADDB8}</c15:txfldGUID>
                      <c15:f>'EJECUCIÓN  RESERVA'!$E$45</c15:f>
                      <c15:dlblFieldTableCache>
                        <c:ptCount val="1"/>
                        <c:pt idx="0">
                          <c:v>95,9%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8EA-49F9-AC0C-EE9A1F255862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55,87%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{5CB4F147-06EC-4BA3-90FB-EDB8C94110F1}</c15:txfldGUID>
                      <c15:f>'EJECUCIÓN  RESERVA'!$E$46</c15:f>
                      <c15:dlblFieldTableCache>
                        <c:ptCount val="1"/>
                        <c:pt idx="0">
                          <c:v>55,87%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8EA-49F9-AC0C-EE9A1F2558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2158.2114840100003</c:v>
                </c:pt>
                <c:pt idx="1">
                  <c:v>29718.81098152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Abril_2022.xlsx]PART.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abril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5.xml"/><Relationship Id="rId6" Type="http://schemas.microsoft.com/office/2007/relationships/hdphoto" Target="../media/hdphoto2.wdp"/><Relationship Id="rId5" Type="http://schemas.openxmlformats.org/officeDocument/2006/relationships/image" Target="../media/image8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30 de abril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1312923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4800985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4800985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r>
            <a:rPr lang="es-CO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Ejecución Reservas a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abril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259387</xdr:colOff>
      <xdr:row>29</xdr:row>
      <xdr:rowOff>86590</xdr:rowOff>
    </xdr:from>
    <xdr:to>
      <xdr:col>6</xdr:col>
      <xdr:colOff>230813</xdr:colOff>
      <xdr:row>54</xdr:row>
      <xdr:rowOff>144317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7321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1312923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685222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186650</xdr:colOff>
      <xdr:row>29</xdr:row>
      <xdr:rowOff>67349</xdr:rowOff>
    </xdr:from>
    <xdr:to>
      <xdr:col>4</xdr:col>
      <xdr:colOff>702348</xdr:colOff>
      <xdr:row>51</xdr:row>
      <xdr:rowOff>9622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2200275</xdr:colOff>
      <xdr:row>0</xdr:row>
      <xdr:rowOff>246289</xdr:rowOff>
    </xdr:from>
    <xdr:ext cx="7161440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16061" y="246289"/>
          <a:ext cx="7161440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800" b="0" i="1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abril 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161925</xdr:rowOff>
    </xdr:from>
    <xdr:to>
      <xdr:col>7</xdr:col>
      <xdr:colOff>285750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628650</xdr:colOff>
      <xdr:row>0</xdr:row>
      <xdr:rowOff>38100</xdr:rowOff>
    </xdr:from>
    <xdr:to>
      <xdr:col>2</xdr:col>
      <xdr:colOff>319533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04821" y="2228850"/>
          <a:ext cx="11049003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2222500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2284027" cy="748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2747529</xdr:colOff>
      <xdr:row>0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38211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242455</xdr:colOff>
      <xdr:row>11</xdr:row>
      <xdr:rowOff>164425</xdr:rowOff>
    </xdr:from>
    <xdr:to>
      <xdr:col>5</xdr:col>
      <xdr:colOff>883227</xdr:colOff>
      <xdr:row>35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276725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abril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4811574073" createdVersion="6" refreshedVersion="8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26260.5932396101"/>
    </cacheField>
    <cacheField name="COMPROMISOS_x000a_ ACUMULADOS" numFmtId="168">
      <sharedItems containsSemiMixedTypes="0" containsString="0" containsNumber="1" minValue="0" maxValue="4317204.7892314"/>
    </cacheField>
    <cacheField name="OBLIGACIONES_x000a_ ACUMULADAS" numFmtId="168">
      <sharedItems containsSemiMixedTypes="0" containsString="0" containsNumber="1" minValue="0" maxValue="332431.88560458005"/>
    </cacheField>
    <cacheField name="PAGOS_x000a_A CUMULADOS" numFmtId="168">
      <sharedItems containsSemiMixedTypes="0" containsString="0" containsNumber="1" minValue="0" maxValue="332410.58650058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4812499997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4813078705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481388889" createdVersion="6" refreshedVersion="8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2158.2114840100003" maxValue="29718.810981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4814699075" createdVersion="8" refreshedVersion="8" minRefreshableVersion="3" recordCount="35" xr:uid="{43C55DC2-2A1A-4A14-87E7-DE790057C0A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0" maxValue="326484319237"/>
    </cacheField>
    <cacheField name="COMPROMISOS_x000a_ ACUMULADOS" numFmtId="4">
      <sharedItems containsSemiMixedTypes="0" containsString="0" containsNumber="1" minValue="0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906029976853" createdVersion="6" refreshedVersion="8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2249.6486331999999" maxValue="53197.26601458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5404.981455739995"/>
    <n v="27959.434408560002"/>
    <n v="20337.191976580001"/>
    <n v="19373.83111558"/>
  </r>
  <r>
    <s v="A-01"/>
    <x v="1"/>
    <n v="51464.345000000001"/>
    <n v="49182.286999999997"/>
    <n v="15115.56499241"/>
    <n v="15115.56499241"/>
    <n v="14174.32846841"/>
  </r>
  <r>
    <s v="A-02"/>
    <x v="2"/>
    <n v="19419.071"/>
    <n v="15980.180455739997"/>
    <n v="12797.724988110002"/>
    <n v="5175.4825561299995"/>
    <n v="5153.3582191299993"/>
  </r>
  <r>
    <s v="A-03"/>
    <x v="3"/>
    <n v="14851.09737"/>
    <n v="242.51400000000001"/>
    <n v="46.144428040000001"/>
    <n v="46.144428040000001"/>
    <n v="46.144428040000001"/>
  </r>
  <r>
    <s v="A-08"/>
    <x v="4"/>
    <n v="14051.472"/>
    <n v="0"/>
    <n v="0"/>
    <n v="0"/>
    <n v="0"/>
  </r>
  <r>
    <s v="B"/>
    <x v="5"/>
    <n v="1167604.3350470001"/>
    <n v="157603.58227700001"/>
    <n v="157603.58227700001"/>
    <n v="157603.58227700001"/>
    <n v="157603.58227700001"/>
  </r>
  <r>
    <s v="C"/>
    <x v="6"/>
    <n v="4505182.0250120005"/>
    <n v="4326260.5932396101"/>
    <n v="4317204.7892314"/>
    <n v="332431.88560458005"/>
    <n v="332410.5865005800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158.2114840100003"/>
  </r>
  <r>
    <x v="1"/>
    <n v="53197.266014589994"/>
    <n v="0"/>
    <n v="29718.8109815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910774963.5"/>
    <n v="11087173460.690001"/>
    <n v="2406423354.0799999"/>
    <n v="2399906805.0799999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4234124000"/>
    <n v="715167733.46000004"/>
    <n v="715167733.46000004"/>
    <n v="715167733.46000004"/>
  </r>
  <r>
    <s v="C-2403-0600-4"/>
    <x v="24"/>
    <n v="2257022926"/>
    <n v="2042749771.5"/>
    <n v="1980586100.6400001"/>
    <n v="446254165.63999999"/>
    <n v="445519603.63999999"/>
  </r>
  <r>
    <s v="C-2403-0600-5"/>
    <x v="25"/>
    <n v="3785000000"/>
    <n v="0"/>
    <n v="0"/>
    <n v="0"/>
    <n v="0"/>
  </r>
  <r>
    <s v="C-2404-0600-2"/>
    <x v="26"/>
    <n v="76235881312"/>
    <n v="49002053305"/>
    <n v="46317131484"/>
    <n v="5697780308.3000002"/>
    <n v="5697780308.3000002"/>
  </r>
  <r>
    <s v="C-2404-0600-4"/>
    <x v="27"/>
    <n v="1124097372"/>
    <n v="910021842"/>
    <n v="842568728.99000001"/>
    <n v="180422203.99000001"/>
    <n v="179796680.99000001"/>
  </r>
  <r>
    <s v="C-2405-0600-2"/>
    <x v="28"/>
    <n v="1000000000"/>
    <n v="874002500"/>
    <n v="367250432"/>
    <n v="0"/>
    <n v="0"/>
  </r>
  <r>
    <s v="C-2405-0600-4"/>
    <x v="29"/>
    <n v="3056837754"/>
    <n v="2899092640"/>
    <n v="2789306409"/>
    <n v="618744804.20000005"/>
    <n v="617832804.20000005"/>
  </r>
  <r>
    <s v="C-2406-0600-1"/>
    <x v="30"/>
    <n v="907945356"/>
    <n v="161021128"/>
    <n v="148998172.83000001"/>
    <n v="40530619.32"/>
    <n v="40530619.32"/>
  </r>
  <r>
    <s v="C-2499-0600-7"/>
    <x v="31"/>
    <n v="200000000"/>
    <n v="144566687"/>
    <n v="79901202.659999996"/>
    <n v="17289541.66"/>
    <n v="17289541.66"/>
  </r>
  <r>
    <s v="C-2499-0600-8"/>
    <x v="32"/>
    <n v="58800000000"/>
    <n v="15663880286.82"/>
    <n v="14638085319.33"/>
    <n v="3250542167.1300001"/>
    <n v="3238031697.1300001"/>
  </r>
  <r>
    <s v="C-2499-0600-9"/>
    <x v="33"/>
    <n v="5000000000"/>
    <n v="3346393199.79"/>
    <n v="3166744597.0799999"/>
    <n v="1591836306.0799999"/>
    <n v="1591836306.0799999"/>
  </r>
  <r>
    <s v="C-2499-0600-10"/>
    <x v="34"/>
    <n v="1000000000"/>
    <n v="910769216"/>
    <n v="910731890.72000003"/>
    <n v="201791191.72"/>
    <n v="201791191.7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3197.26601458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5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3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6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5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5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8">
      <pivotArea dataOnly="0" labelOnly="1" fieldPosition="0">
        <references count="1">
          <reference field="1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outline="0" collapsedLevelsAreSubtotals="1" fieldPosition="0"/>
    </format>
  </formats>
  <chartFormats count="44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6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0">
      <pivotArea collapsedLevelsAreSubtotals="1" fieldPosition="0">
        <references count="1">
          <reference field="1" count="0"/>
        </references>
      </pivotArea>
    </format>
    <format dxfId="39">
      <pivotArea grandRow="1" outline="0" collapsedLevelsAreSubtotals="1" fieldPosition="0"/>
    </format>
    <format dxfId="38">
      <pivotArea collapsedLevelsAreSubtotals="1" fieldPosition="0">
        <references count="1">
          <reference field="1" count="0"/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">
      <pivotArea dataOnly="0" outline="0" fieldPosition="0">
        <references count="1">
          <reference field="1" count="0"/>
        </references>
      </pivotArea>
    </format>
    <format dxfId="34">
      <pivotArea field="1" type="button" dataOnly="0" labelOnly="1" outline="0" axis="axisPage" fieldPosition="0"/>
    </format>
    <format dxfId="33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2">
      <pivotArea collapsedLevelsAreSubtotals="1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6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0" type="button" dataOnly="0" labelOnly="1" outline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6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6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1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6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>
      <selection activeCell="H11" sqref="H11"/>
    </sheetView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88" t="s">
        <v>146</v>
      </c>
    </row>
    <row r="8" spans="1:2" ht="36" x14ac:dyDescent="0.55000000000000004">
      <c r="B8" s="62" t="s">
        <v>96</v>
      </c>
    </row>
    <row r="9" spans="1:2" ht="36" x14ac:dyDescent="0.55000000000000004">
      <c r="B9" s="60" t="s">
        <v>45</v>
      </c>
    </row>
    <row r="10" spans="1:2" ht="36" x14ac:dyDescent="0.55000000000000004">
      <c r="B10" s="60" t="s">
        <v>158</v>
      </c>
    </row>
    <row r="11" spans="1:2" ht="36" x14ac:dyDescent="0.55000000000000004">
      <c r="B11" s="60" t="s">
        <v>46</v>
      </c>
    </row>
    <row r="12" spans="1:2" ht="36" x14ac:dyDescent="0.55000000000000004">
      <c r="B12" s="60" t="s">
        <v>47</v>
      </c>
    </row>
    <row r="13" spans="1:2" ht="36" x14ac:dyDescent="0.55000000000000004">
      <c r="B13" s="61"/>
    </row>
    <row r="14" spans="1:2" ht="36" x14ac:dyDescent="0.55000000000000004">
      <c r="B14" s="62" t="s">
        <v>97</v>
      </c>
    </row>
    <row r="15" spans="1:2" ht="36" x14ac:dyDescent="0.55000000000000004">
      <c r="B15" s="60" t="s">
        <v>98</v>
      </c>
    </row>
    <row r="16" spans="1:2" ht="36" x14ac:dyDescent="0.55000000000000004">
      <c r="B16" s="60" t="s">
        <v>97</v>
      </c>
    </row>
    <row r="17" spans="2:2" ht="36" x14ac:dyDescent="0.55000000000000004">
      <c r="B17" s="13"/>
    </row>
    <row r="19" spans="2:2" ht="36" x14ac:dyDescent="0.55000000000000004">
      <c r="B19" s="62" t="s">
        <v>143</v>
      </c>
    </row>
    <row r="20" spans="2:2" ht="36" x14ac:dyDescent="0.55000000000000004">
      <c r="B20" s="60" t="s">
        <v>144</v>
      </c>
    </row>
    <row r="21" spans="2:2" ht="36" x14ac:dyDescent="0.55000000000000004">
      <c r="B21" s="60" t="s">
        <v>145</v>
      </c>
    </row>
    <row r="22" spans="2:2" ht="36" x14ac:dyDescent="0.55000000000000004">
      <c r="B22" s="87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Ó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5"/>
  <sheetViews>
    <sheetView showGridLines="0" showRowColHeaders="0" zoomScale="99" workbookViewId="0">
      <selection activeCell="K5" sqref="K5"/>
    </sheetView>
  </sheetViews>
  <sheetFormatPr baseColWidth="10" defaultRowHeight="15" outlineLevelRow="2" x14ac:dyDescent="0.25"/>
  <cols>
    <col min="2" max="2" width="14.28515625" bestFit="1" customWidth="1"/>
    <col min="3" max="3" width="26" bestFit="1" customWidth="1"/>
    <col min="4" max="4" width="14.140625" bestFit="1" customWidth="1"/>
    <col min="5" max="5" width="14.140625" customWidth="1"/>
    <col min="6" max="6" width="11.5703125" bestFit="1" customWidth="1"/>
  </cols>
  <sheetData>
    <row r="6" spans="2:10" ht="90" x14ac:dyDescent="0.25">
      <c r="B6" s="57" t="s">
        <v>93</v>
      </c>
      <c r="C6" s="58" t="s">
        <v>92</v>
      </c>
      <c r="D6" s="58" t="s">
        <v>94</v>
      </c>
      <c r="E6" s="58" t="s">
        <v>95</v>
      </c>
      <c r="F6" s="23"/>
    </row>
    <row r="7" spans="2:10" x14ac:dyDescent="0.25">
      <c r="B7" s="56" t="s">
        <v>26</v>
      </c>
      <c r="C7" s="55">
        <v>2249.6486331999999</v>
      </c>
      <c r="D7" s="55">
        <v>0</v>
      </c>
      <c r="E7" s="55">
        <v>2158.2114840100003</v>
      </c>
      <c r="F7" s="67"/>
    </row>
    <row r="8" spans="2:10" x14ac:dyDescent="0.25">
      <c r="B8" s="56" t="s">
        <v>128</v>
      </c>
      <c r="C8" s="55">
        <v>53197.266014589994</v>
      </c>
      <c r="D8" s="55">
        <v>0</v>
      </c>
      <c r="E8" s="55">
        <v>29718.81098152</v>
      </c>
      <c r="F8" s="68"/>
    </row>
    <row r="9" spans="2:10" x14ac:dyDescent="0.25">
      <c r="B9" s="56" t="s">
        <v>6</v>
      </c>
      <c r="C9" s="55">
        <v>55446.914647789992</v>
      </c>
      <c r="D9" s="55">
        <v>0</v>
      </c>
      <c r="E9" s="55">
        <v>31877.022465530001</v>
      </c>
    </row>
    <row r="10" spans="2:10" x14ac:dyDescent="0.25">
      <c r="B10" s="56"/>
      <c r="C10" s="55"/>
      <c r="D10" s="55"/>
      <c r="E10" s="55"/>
    </row>
    <row r="11" spans="2:10" ht="18.75" x14ac:dyDescent="0.3">
      <c r="B11" s="127" t="s">
        <v>102</v>
      </c>
      <c r="C11" s="127"/>
      <c r="D11" s="127"/>
      <c r="E11" s="127"/>
      <c r="F11" s="127"/>
      <c r="G11" s="127"/>
    </row>
    <row r="12" spans="2:10" x14ac:dyDescent="0.25">
      <c r="H12" s="5"/>
      <c r="J12" s="5"/>
    </row>
    <row r="14" spans="2:10" x14ac:dyDescent="0.25">
      <c r="E14" s="18"/>
      <c r="F14" s="18"/>
    </row>
    <row r="15" spans="2:10" x14ac:dyDescent="0.25">
      <c r="E15" s="18"/>
      <c r="F15" s="18"/>
    </row>
    <row r="16" spans="2:10" x14ac:dyDescent="0.25">
      <c r="B16" s="65"/>
      <c r="C16" s="65"/>
      <c r="D16" s="65"/>
      <c r="E16" s="66"/>
      <c r="F16" s="66"/>
    </row>
    <row r="17" spans="1:14" x14ac:dyDescent="0.25">
      <c r="B17" s="65"/>
      <c r="C17" s="65"/>
      <c r="D17" s="65"/>
      <c r="E17" s="66"/>
      <c r="F17" s="66"/>
    </row>
    <row r="18" spans="1:14" x14ac:dyDescent="0.25">
      <c r="A18" s="18"/>
      <c r="B18" s="65"/>
      <c r="C18" s="65"/>
      <c r="D18" s="65"/>
      <c r="E18" s="66"/>
      <c r="F18" s="66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90"/>
      <c r="J20" s="18"/>
      <c r="K20" s="18"/>
      <c r="L20" s="18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96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91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6"/>
      <c r="C26" s="66"/>
      <c r="D26" s="66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96"/>
      <c r="K27" s="18"/>
      <c r="L27" s="18"/>
      <c r="M27" s="18"/>
      <c r="N27" s="18"/>
    </row>
    <row r="28" spans="1:14" ht="18.75" x14ac:dyDescent="0.3">
      <c r="A28" s="18"/>
      <c r="B28" s="126" t="s">
        <v>101</v>
      </c>
      <c r="C28" s="126"/>
      <c r="D28" s="126"/>
      <c r="E28" s="126"/>
      <c r="F28" s="126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60" hidden="1" outlineLevel="2" x14ac:dyDescent="0.25">
      <c r="A31" s="18"/>
      <c r="B31" s="58" t="s">
        <v>92</v>
      </c>
      <c r="C31" s="58" t="s">
        <v>94</v>
      </c>
      <c r="D31" s="58" t="s">
        <v>95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55">
        <v>55446.914647789992</v>
      </c>
      <c r="C32" s="55">
        <v>0</v>
      </c>
      <c r="D32" s="55">
        <v>31877.022465530001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96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35"/>
      <c r="C42" s="35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96"/>
      <c r="K43" s="18"/>
      <c r="L43" s="18"/>
      <c r="M43" s="18"/>
      <c r="N43" s="18"/>
    </row>
    <row r="44" spans="1:14" hidden="1" outlineLevel="1" x14ac:dyDescent="0.25">
      <c r="A44" s="18"/>
      <c r="B44" s="108" t="s">
        <v>93</v>
      </c>
      <c r="C44" s="108" t="s">
        <v>92</v>
      </c>
      <c r="D44" s="108" t="s">
        <v>94</v>
      </c>
      <c r="E44" s="108" t="s">
        <v>95</v>
      </c>
      <c r="F44" s="108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09" t="s">
        <v>26</v>
      </c>
      <c r="C45" s="110">
        <f>GETPIVOTDATA("RESERVAS CONSTITUIDAS
",$B$6,"DENOMINACIÓN DEL CÓDIGO PRESUPUESTAL
","A-FUNCIONAMIENTO")</f>
        <v>2249.6486331999999</v>
      </c>
      <c r="D45" s="110">
        <f>GETPIVOTDATA("CANCELACIONES RESERVAS PRESUPUESTALES
 ",$B$6,"DENOMINACIÓN DEL CÓDIGO PRESUPUESTAL
","A-FUNCIONAMIENTO")</f>
        <v>0</v>
      </c>
      <c r="E45" s="111">
        <f>+GETPIVOTDATA("PAGOS
ACUMULADOS
",$B$6,"DENOMINACIÓN DEL CÓDIGO PRESUPUESTAL
","A-FUNCIONAMIENTO")/GETPIVOTDATA("RESERVAS CONSTITUIDAS
",$B$6,"DENOMINACIÓN DEL CÓDIGO PRESUPUESTAL
","A-FUNCIONAMIENTO")</f>
        <v>0.95935491976809928</v>
      </c>
      <c r="F45" s="112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35"/>
      <c r="B46" s="109" t="s">
        <v>128</v>
      </c>
      <c r="C46" s="110">
        <f>GETPIVOTDATA("RESERVAS CONSTITUIDAS
",$B$6,"DENOMINACIÓN DEL CÓDIGO PRESUPUESTAL
","C-INVERSIÓN")</f>
        <v>53197.266014589994</v>
      </c>
      <c r="D46" s="110">
        <f>GETPIVOTDATA("CANCELACIONES RESERVAS PRESUPUESTALES
 ",$B$6,"DENOMINACIÓN DEL CÓDIGO PRESUPUESTAL
","C-INVERSIÓN")</f>
        <v>0</v>
      </c>
      <c r="E46" s="113">
        <f>+GETPIVOTDATA("PAGOS
ACUMULADOS
",$B$6,"DENOMINACIÓN DEL CÓDIGO PRESUPUESTAL
","C-INVERSIÓN")/GETPIVOTDATA("RESERVAS CONSTITUIDAS
",$B$6,"DENOMINACIÓN DEL CÓDIGO PRESUPUESTAL
","C-INVERSIÓN")</f>
        <v>0.55865297613921094</v>
      </c>
      <c r="F46" s="112"/>
      <c r="G46" s="35"/>
      <c r="H46" s="35"/>
      <c r="I46" s="35"/>
      <c r="J46" s="18"/>
      <c r="K46" s="18"/>
      <c r="L46" s="18"/>
      <c r="M46" s="18"/>
      <c r="N46" s="18"/>
    </row>
    <row r="47" spans="1:14" hidden="1" outlineLevel="1" x14ac:dyDescent="0.25">
      <c r="A47" s="35"/>
      <c r="B47" s="114" t="s">
        <v>6</v>
      </c>
      <c r="C47" s="115">
        <f>+C45+C46</f>
        <v>55446.914647789992</v>
      </c>
      <c r="D47" s="115">
        <f>GETPIVOTDATA("CANCELACIONES RESERVAS PRESUPUESTALES
 ",$B$6)</f>
        <v>0</v>
      </c>
      <c r="E47" s="116">
        <f>+GETPIVOTDATA("PAGOS
ACUMULADOS
",$B$6)/GETPIVOTDATA("RESERVAS CONSTITUIDAS
",$B$6)</f>
        <v>0.57491066307330696</v>
      </c>
      <c r="F47" s="113"/>
      <c r="G47" s="35"/>
      <c r="H47" s="35"/>
      <c r="I47" s="35"/>
      <c r="J47" s="20"/>
      <c r="K47" s="20"/>
      <c r="L47" s="18"/>
      <c r="M47" s="18"/>
      <c r="N47" s="18"/>
    </row>
    <row r="48" spans="1:14" s="11" customFormat="1" collapsed="1" x14ac:dyDescent="0.25">
      <c r="A48" s="36"/>
      <c r="B48" s="37"/>
      <c r="C48" s="38"/>
      <c r="D48" s="39"/>
      <c r="E48" s="40"/>
      <c r="F48" s="40"/>
      <c r="G48" s="36"/>
      <c r="H48" s="36"/>
      <c r="I48" s="36"/>
      <c r="L48" s="27"/>
      <c r="M48" s="27"/>
      <c r="N48" s="27"/>
    </row>
    <row r="49" spans="1:14" s="11" customFormat="1" x14ac:dyDescent="0.25">
      <c r="A49" s="36"/>
      <c r="B49" s="36"/>
      <c r="C49" s="36"/>
      <c r="D49" s="36"/>
      <c r="E49" s="36"/>
      <c r="F49" s="36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5"/>
      <c r="C50" s="35"/>
      <c r="D50" s="35"/>
      <c r="E50" s="35"/>
      <c r="F50" s="35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8"/>
      <c r="M53" s="28"/>
      <c r="N53" s="28"/>
    </row>
    <row r="54" spans="1:14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5"/>
      <c r="K64" s="29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6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0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14"/>
      <c r="C71" s="14"/>
      <c r="D71" s="14"/>
      <c r="E71" s="14"/>
      <c r="F71" s="14"/>
      <c r="G71" s="35"/>
      <c r="H71" s="35"/>
      <c r="I71" s="35"/>
    </row>
    <row r="72" spans="1:14" x14ac:dyDescent="0.25">
      <c r="A72" s="35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>
      <selection activeCell="G7" sqref="G7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140</v>
      </c>
      <c r="D2" s="44" t="s">
        <v>141</v>
      </c>
      <c r="E2" s="45" t="s">
        <v>90</v>
      </c>
    </row>
    <row r="3" spans="2:7" ht="16.5" thickBot="1" x14ac:dyDescent="0.3">
      <c r="B3" s="50" t="s">
        <v>26</v>
      </c>
      <c r="C3" s="51">
        <f>7893784910.4/1000000</f>
        <v>7893.7849103999997</v>
      </c>
      <c r="D3" s="52">
        <v>0</v>
      </c>
      <c r="E3" s="53">
        <f>6858440499.4/1000000</f>
        <v>6858.4404993999997</v>
      </c>
      <c r="F3" s="68"/>
      <c r="G3" s="55"/>
    </row>
    <row r="4" spans="2:7" ht="19.5" thickBot="1" x14ac:dyDescent="0.3">
      <c r="B4" s="46" t="s">
        <v>128</v>
      </c>
      <c r="C4" s="47">
        <f>182428674/1000000</f>
        <v>182.428674</v>
      </c>
      <c r="D4" s="48">
        <f>0/1000000</f>
        <v>0</v>
      </c>
      <c r="E4" s="49">
        <f>182428674/1000000</f>
        <v>182.428674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142</v>
      </c>
      <c r="E8" s="41"/>
    </row>
    <row r="9" spans="2:7" ht="19.5" thickBot="1" x14ac:dyDescent="0.3">
      <c r="B9" s="50" t="s">
        <v>26</v>
      </c>
      <c r="C9" s="49">
        <f>7893784910.4/1000000</f>
        <v>7893.7849103999997</v>
      </c>
      <c r="E9" s="55"/>
    </row>
    <row r="10" spans="2:7" ht="19.5" thickBot="1" x14ac:dyDescent="0.3">
      <c r="B10" s="46" t="s">
        <v>91</v>
      </c>
      <c r="C10" s="45">
        <f>182428674/1000000</f>
        <v>182.428674</v>
      </c>
      <c r="D10" s="64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="85" zoomScaleNormal="85" workbookViewId="0"/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3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55">
        <v>7893.7849103999997</v>
      </c>
    </row>
    <row r="10" spans="2:6" x14ac:dyDescent="0.25">
      <c r="B10" s="2" t="s">
        <v>91</v>
      </c>
      <c r="C10" s="55">
        <v>182.428674</v>
      </c>
    </row>
    <row r="11" spans="2:6" x14ac:dyDescent="0.25">
      <c r="B11" s="2" t="s">
        <v>6</v>
      </c>
      <c r="C11" s="55">
        <v>8076.2135843999995</v>
      </c>
      <c r="D11" s="63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6"/>
  <sheetViews>
    <sheetView zoomScale="99" workbookViewId="0">
      <selection activeCell="O7" sqref="O7"/>
    </sheetView>
  </sheetViews>
  <sheetFormatPr baseColWidth="10" defaultRowHeight="15" outlineLevelRow="2" x14ac:dyDescent="0.25"/>
  <cols>
    <col min="2" max="2" width="14.28515625" bestFit="1" customWidth="1"/>
    <col min="3" max="3" width="26" bestFit="1" customWidth="1"/>
    <col min="4" max="4" width="14.140625" bestFit="1" customWidth="1"/>
    <col min="5" max="5" width="13.425781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55">
        <v>8076.2135843999995</v>
      </c>
      <c r="K4" s="55">
        <v>0</v>
      </c>
      <c r="L4" s="55">
        <v>7040.8691733999995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55">
        <v>7893.7849103999997</v>
      </c>
      <c r="D7" s="55">
        <v>0</v>
      </c>
      <c r="E7" s="55">
        <v>6858.4404993999997</v>
      </c>
    </row>
    <row r="8" spans="2:12" x14ac:dyDescent="0.25">
      <c r="B8" s="2" t="s">
        <v>128</v>
      </c>
      <c r="C8" s="55">
        <v>182.428674</v>
      </c>
      <c r="D8" s="55">
        <v>0</v>
      </c>
      <c r="E8" s="55">
        <v>182.428674</v>
      </c>
    </row>
    <row r="9" spans="2:12" x14ac:dyDescent="0.25">
      <c r="B9" s="2" t="s">
        <v>6</v>
      </c>
      <c r="C9" s="55">
        <v>8076.2135843999995</v>
      </c>
      <c r="D9" s="55">
        <v>0</v>
      </c>
      <c r="E9" s="55">
        <v>7040.8691733999995</v>
      </c>
    </row>
    <row r="11" spans="2:12" x14ac:dyDescent="0.25">
      <c r="B11" s="56"/>
      <c r="C11" s="55"/>
      <c r="D11" s="55"/>
      <c r="E11" s="55"/>
    </row>
    <row r="12" spans="2:12" ht="18.75" x14ac:dyDescent="0.3">
      <c r="B12" s="127" t="s">
        <v>155</v>
      </c>
      <c r="C12" s="127"/>
      <c r="D12" s="127"/>
      <c r="E12" s="127"/>
      <c r="F12" s="127"/>
      <c r="G12" s="127"/>
    </row>
    <row r="13" spans="2:12" x14ac:dyDescent="0.25">
      <c r="H13" s="5"/>
    </row>
    <row r="15" spans="2:12" x14ac:dyDescent="0.25">
      <c r="E15" s="18"/>
      <c r="F15" s="18"/>
    </row>
    <row r="16" spans="2:12" x14ac:dyDescent="0.25">
      <c r="E16" s="18"/>
      <c r="F16" s="18"/>
    </row>
    <row r="17" spans="1:14" x14ac:dyDescent="0.25">
      <c r="B17" s="65"/>
      <c r="C17" s="65"/>
      <c r="D17" s="65"/>
      <c r="E17" s="66"/>
      <c r="F17" s="66"/>
      <c r="N17" s="97"/>
    </row>
    <row r="18" spans="1:14" x14ac:dyDescent="0.25">
      <c r="B18" s="65"/>
      <c r="C18" s="65"/>
      <c r="D18" s="65"/>
      <c r="E18" s="66"/>
      <c r="F18" s="66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18"/>
      <c r="M19" s="96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89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18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5"/>
      <c r="C26" s="65"/>
      <c r="D26" s="65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66"/>
      <c r="C27" s="66"/>
      <c r="D27" s="66"/>
      <c r="E27" s="66"/>
      <c r="F27" s="66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3">
      <c r="A29" s="18"/>
      <c r="B29" s="126" t="s">
        <v>154</v>
      </c>
      <c r="C29" s="126"/>
      <c r="D29" s="126"/>
      <c r="E29" s="126"/>
      <c r="F29" s="126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idden="1" outlineLevel="2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collapsed="1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96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18"/>
      <c r="B44" s="35"/>
      <c r="C44" s="35"/>
      <c r="D44" s="35"/>
      <c r="E44" s="35"/>
      <c r="F44" s="35"/>
      <c r="G44" s="18"/>
      <c r="H44" s="91"/>
      <c r="I44" s="18"/>
      <c r="J44" s="18"/>
      <c r="K44" s="18"/>
      <c r="L44" s="18"/>
      <c r="M44" s="18"/>
      <c r="N44" s="18"/>
    </row>
    <row r="45" spans="1:14" ht="36.75" hidden="1" outlineLevel="1" x14ac:dyDescent="0.25">
      <c r="A45" s="18"/>
      <c r="B45" s="108" t="s">
        <v>93</v>
      </c>
      <c r="C45" s="122" t="s">
        <v>159</v>
      </c>
      <c r="D45" s="122" t="s">
        <v>160</v>
      </c>
      <c r="E45" s="108" t="s">
        <v>95</v>
      </c>
      <c r="F45" s="108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18"/>
      <c r="B46" s="109" t="s">
        <v>26</v>
      </c>
      <c r="C46" s="110">
        <f>GETPIVOTDATA("CXP CONSTITUIDAS",$B$6,"DENOMINACIÓN DEL CÓDIGO PRESUPUESTAL
","A-FUNCIONAMIENTO")</f>
        <v>7893.7849103999997</v>
      </c>
      <c r="D46" s="111">
        <f>GETPIVOTDATA("CANCELACIONES CXP",$B$6,"DENOMINACIÓN DEL CÓDIGO PRESUPUESTAL
","A-FUNCIONAMIENTO")</f>
        <v>0</v>
      </c>
      <c r="E46" s="111">
        <f>+GETPIVOTDATA("TOTAL PAGOS",$B$6,"DENOMINACIÓN DEL CÓDIGO PRESUPUESTAL
","A-FUNCIONAMIENTO")/GETPIVOTDATA("CXP CONSTITUIDAS",$B$6,"DENOMINACIÓN DEL CÓDIGO PRESUPUESTAL
","A-FUNCIONAMIENTO")</f>
        <v>0.86884055966157103</v>
      </c>
      <c r="F46" s="112"/>
      <c r="G46" s="18"/>
      <c r="H46" s="18"/>
      <c r="I46" s="18"/>
      <c r="J46" s="18"/>
      <c r="K46" s="18"/>
      <c r="L46" s="18"/>
      <c r="M46" s="18"/>
      <c r="N46" s="18"/>
    </row>
    <row r="47" spans="1:14" hidden="1" outlineLevel="1" x14ac:dyDescent="0.25">
      <c r="A47" s="35"/>
      <c r="B47" s="109" t="s">
        <v>128</v>
      </c>
      <c r="C47" s="110">
        <f>GETPIVOTDATA("CXP CONSTITUIDAS",$B$6,"DENOMINACIÓN DEL CÓDIGO PRESUPUESTAL
","C-INVERSIÓN")</f>
        <v>182.428674</v>
      </c>
      <c r="D47" s="111">
        <f>GETPIVOTDATA("CANCELACIONES CXP",$B$6,"DENOMINACIÓN DEL CÓDIGO PRESUPUESTAL
","C-INVERSIÓN")</f>
        <v>0</v>
      </c>
      <c r="E47" s="113">
        <f>+GETPIVOTDATA("TOTAL PAGOS",$B$6,"DENOMINACIÓN DEL CÓDIGO PRESUPUESTAL
","C-INVERSIÓN")/GETPIVOTDATA("CXP CONSTITUIDAS",$B$6,"DENOMINACIÓN DEL CÓDIGO PRESUPUESTAL
","C-INVERSIÓN")</f>
        <v>1</v>
      </c>
      <c r="F47" s="112"/>
      <c r="G47" s="35"/>
      <c r="H47" s="35"/>
      <c r="I47" s="35"/>
      <c r="J47" s="18"/>
      <c r="K47" s="18"/>
      <c r="L47" s="18"/>
      <c r="M47" s="18"/>
      <c r="N47" s="18"/>
    </row>
    <row r="48" spans="1:14" hidden="1" outlineLevel="1" x14ac:dyDescent="0.25">
      <c r="A48" s="35"/>
      <c r="B48" s="114" t="s">
        <v>6</v>
      </c>
      <c r="C48" s="115">
        <f>+C46+C47</f>
        <v>8076.2135843999995</v>
      </c>
      <c r="D48" s="116">
        <f>GETPIVOTDATA("CANCELACIONES CXP",$B$6)</f>
        <v>0</v>
      </c>
      <c r="E48" s="116">
        <f>+GETPIVOTDATA("TOTAL PAGOS",$B$6)/GETPIVOTDATA("CXP CONSTITUIDAS",$B$6)</f>
        <v>0.87180324044427582</v>
      </c>
      <c r="F48" s="117"/>
      <c r="G48" s="35"/>
      <c r="H48" s="35"/>
      <c r="I48" s="35"/>
      <c r="J48" s="20"/>
      <c r="K48" s="20"/>
      <c r="L48" s="18"/>
      <c r="M48" s="18"/>
      <c r="N48" s="18"/>
    </row>
    <row r="49" spans="1:14" s="11" customFormat="1" collapsed="1" x14ac:dyDescent="0.25">
      <c r="A49" s="36"/>
      <c r="B49" s="118"/>
      <c r="C49" s="119"/>
      <c r="D49" s="120"/>
      <c r="E49" s="121"/>
      <c r="F49" s="121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6"/>
      <c r="C50" s="36"/>
      <c r="D50" s="36"/>
      <c r="E50" s="36"/>
      <c r="F50" s="36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7"/>
      <c r="M53" s="27"/>
      <c r="N53" s="27"/>
    </row>
    <row r="54" spans="1:14" s="11" customFormat="1" x14ac:dyDescent="0.25">
      <c r="A54" s="36"/>
      <c r="B54" s="35"/>
      <c r="C54" s="35"/>
      <c r="D54" s="35"/>
      <c r="E54" s="35"/>
      <c r="F54" s="35"/>
      <c r="G54" s="36"/>
      <c r="H54" s="36"/>
      <c r="I54" s="36"/>
      <c r="L54" s="28"/>
      <c r="M54" s="28"/>
      <c r="N54" s="28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0"/>
      <c r="K64" s="20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5"/>
      <c r="K67" s="29"/>
      <c r="L67" s="29"/>
      <c r="M67" s="29"/>
      <c r="N67" s="29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6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20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14" x14ac:dyDescent="0.25">
      <c r="A72" s="35"/>
      <c r="B72" s="14"/>
      <c r="C72" s="14"/>
      <c r="D72" s="14"/>
      <c r="E72" s="14"/>
      <c r="F72" s="14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35"/>
      <c r="G75" s="35"/>
      <c r="H75" s="35"/>
      <c r="I75" s="35"/>
    </row>
    <row r="76" spans="1:14" x14ac:dyDescent="0.25">
      <c r="A76" s="14"/>
      <c r="G76" s="14"/>
      <c r="H76" s="14"/>
      <c r="I76" s="14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>
      <selection activeCell="H8" sqref="H8"/>
    </sheetView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3">
        <v>99785.985369999995</v>
      </c>
    </row>
    <row r="8" spans="2:6" x14ac:dyDescent="0.25">
      <c r="B8" s="2" t="s">
        <v>27</v>
      </c>
      <c r="C8" s="23">
        <v>1167604.3350470001</v>
      </c>
    </row>
    <row r="9" spans="2:6" x14ac:dyDescent="0.25">
      <c r="B9" s="2" t="s">
        <v>28</v>
      </c>
      <c r="C9" s="23">
        <v>4505182.0250120005</v>
      </c>
    </row>
    <row r="10" spans="2:6" x14ac:dyDescent="0.25">
      <c r="B10" s="2" t="s">
        <v>6</v>
      </c>
      <c r="C10" s="23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sqref="A1:G20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</cols>
  <sheetData>
    <row r="1" spans="1:7" ht="30" x14ac:dyDescent="0.25">
      <c r="A1" s="30" t="s">
        <v>0</v>
      </c>
      <c r="B1" s="30" t="s">
        <v>1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</row>
    <row r="2" spans="1:7" x14ac:dyDescent="0.25">
      <c r="A2" s="32" t="s">
        <v>2</v>
      </c>
      <c r="B2" s="34" t="s">
        <v>26</v>
      </c>
      <c r="C2" s="33">
        <f>+C12/1000000</f>
        <v>99785.985369999995</v>
      </c>
      <c r="D2" s="33">
        <f t="shared" ref="D2:G2" si="0">+D12/1000000</f>
        <v>65404.981455739995</v>
      </c>
      <c r="E2" s="33">
        <f t="shared" si="0"/>
        <v>27959.434408560002</v>
      </c>
      <c r="F2" s="33">
        <f t="shared" si="0"/>
        <v>20337.191976580001</v>
      </c>
      <c r="G2" s="33">
        <f t="shared" si="0"/>
        <v>19373.83111558</v>
      </c>
    </row>
    <row r="3" spans="1:7" x14ac:dyDescent="0.25">
      <c r="A3" s="32" t="s">
        <v>22</v>
      </c>
      <c r="B3" s="34" t="s">
        <v>29</v>
      </c>
      <c r="C3" s="33">
        <f t="shared" ref="C3:G8" si="1">+C13/1000000</f>
        <v>51464.345000000001</v>
      </c>
      <c r="D3" s="33">
        <f t="shared" si="1"/>
        <v>49182.286999999997</v>
      </c>
      <c r="E3" s="33">
        <f t="shared" si="1"/>
        <v>15115.56499241</v>
      </c>
      <c r="F3" s="33">
        <f t="shared" si="1"/>
        <v>15115.56499241</v>
      </c>
      <c r="G3" s="33">
        <f t="shared" si="1"/>
        <v>14174.32846841</v>
      </c>
    </row>
    <row r="4" spans="1:7" x14ac:dyDescent="0.25">
      <c r="A4" s="32" t="s">
        <v>23</v>
      </c>
      <c r="B4" s="34" t="s">
        <v>30</v>
      </c>
      <c r="C4" s="33">
        <f t="shared" si="1"/>
        <v>19419.071</v>
      </c>
      <c r="D4" s="33">
        <f t="shared" si="1"/>
        <v>15980.180455739997</v>
      </c>
      <c r="E4" s="33">
        <f t="shared" si="1"/>
        <v>12797.724988110002</v>
      </c>
      <c r="F4" s="33">
        <f t="shared" si="1"/>
        <v>5175.4825561299995</v>
      </c>
      <c r="G4" s="33">
        <f t="shared" si="1"/>
        <v>5153.3582191299993</v>
      </c>
    </row>
    <row r="5" spans="1:7" x14ac:dyDescent="0.25">
      <c r="A5" s="32" t="s">
        <v>24</v>
      </c>
      <c r="B5" s="34" t="s">
        <v>31</v>
      </c>
      <c r="C5" s="33">
        <f t="shared" si="1"/>
        <v>14851.09737</v>
      </c>
      <c r="D5" s="33">
        <f t="shared" si="1"/>
        <v>242.51400000000001</v>
      </c>
      <c r="E5" s="33">
        <f t="shared" si="1"/>
        <v>46.144428040000001</v>
      </c>
      <c r="F5" s="33">
        <f t="shared" si="1"/>
        <v>46.144428040000001</v>
      </c>
      <c r="G5" s="33">
        <f t="shared" si="1"/>
        <v>46.144428040000001</v>
      </c>
    </row>
    <row r="6" spans="1:7" ht="30" x14ac:dyDescent="0.25">
      <c r="A6" s="32" t="s">
        <v>25</v>
      </c>
      <c r="B6" s="34" t="s">
        <v>32</v>
      </c>
      <c r="C6" s="33">
        <f t="shared" si="1"/>
        <v>14051.472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</row>
    <row r="7" spans="1:7" x14ac:dyDescent="0.25">
      <c r="A7" s="32" t="s">
        <v>3</v>
      </c>
      <c r="B7" s="34" t="s">
        <v>27</v>
      </c>
      <c r="C7" s="33">
        <f t="shared" si="1"/>
        <v>1167604.3350470001</v>
      </c>
      <c r="D7" s="33">
        <f t="shared" si="1"/>
        <v>157603.58227700001</v>
      </c>
      <c r="E7" s="33">
        <f t="shared" si="1"/>
        <v>157603.58227700001</v>
      </c>
      <c r="F7" s="33">
        <f t="shared" si="1"/>
        <v>157603.58227700001</v>
      </c>
      <c r="G7" s="33">
        <f t="shared" si="1"/>
        <v>157603.58227700001</v>
      </c>
    </row>
    <row r="8" spans="1:7" x14ac:dyDescent="0.25">
      <c r="A8" s="32" t="s">
        <v>4</v>
      </c>
      <c r="B8" s="34" t="s">
        <v>28</v>
      </c>
      <c r="C8" s="33">
        <f t="shared" si="1"/>
        <v>4505182.0250120005</v>
      </c>
      <c r="D8" s="33">
        <f t="shared" si="1"/>
        <v>4326260.5932396101</v>
      </c>
      <c r="E8" s="33">
        <f t="shared" si="1"/>
        <v>4317204.7892314</v>
      </c>
      <c r="F8" s="33">
        <f t="shared" si="1"/>
        <v>332431.88560458005</v>
      </c>
      <c r="G8" s="33">
        <f t="shared" si="1"/>
        <v>332410.58650058007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71" t="s">
        <v>115</v>
      </c>
      <c r="C11" s="74" t="s">
        <v>118</v>
      </c>
      <c r="D11" s="74" t="s">
        <v>119</v>
      </c>
      <c r="E11" s="74" t="s">
        <v>120</v>
      </c>
      <c r="F11" s="74" t="s">
        <v>121</v>
      </c>
      <c r="G11" s="75" t="s">
        <v>122</v>
      </c>
    </row>
    <row r="12" spans="1:7" ht="19.5" thickBot="1" x14ac:dyDescent="0.3">
      <c r="B12" s="72" t="s">
        <v>116</v>
      </c>
      <c r="C12" s="76">
        <v>99785985370</v>
      </c>
      <c r="D12" s="76">
        <v>65404981455.739998</v>
      </c>
      <c r="E12" s="76">
        <v>27959434408.560001</v>
      </c>
      <c r="F12" s="76">
        <v>20337191976.580002</v>
      </c>
      <c r="G12" s="77">
        <v>19373831115.580002</v>
      </c>
    </row>
    <row r="13" spans="1:7" ht="15.75" x14ac:dyDescent="0.25">
      <c r="B13" s="73" t="s">
        <v>117</v>
      </c>
      <c r="C13" s="80">
        <v>51464345000</v>
      </c>
      <c r="D13" s="80">
        <v>49182287000</v>
      </c>
      <c r="E13" s="80">
        <v>15115564992.41</v>
      </c>
      <c r="F13" s="80">
        <v>15115564992.41</v>
      </c>
      <c r="G13" s="81">
        <v>14174328468.41</v>
      </c>
    </row>
    <row r="14" spans="1:7" ht="15.75" x14ac:dyDescent="0.25">
      <c r="B14" s="78" t="s">
        <v>123</v>
      </c>
      <c r="C14" s="82">
        <v>19419071000</v>
      </c>
      <c r="D14" s="82">
        <v>15980180455.739998</v>
      </c>
      <c r="E14" s="82">
        <v>12797724988.110001</v>
      </c>
      <c r="F14" s="82">
        <v>5175482556.1299992</v>
      </c>
      <c r="G14" s="83">
        <v>5153358219.1299992</v>
      </c>
    </row>
    <row r="15" spans="1:7" ht="15.75" x14ac:dyDescent="0.25">
      <c r="B15" s="78" t="s">
        <v>124</v>
      </c>
      <c r="C15" s="82">
        <v>14851097370</v>
      </c>
      <c r="D15" s="82">
        <v>242514000</v>
      </c>
      <c r="E15" s="82">
        <v>46144428.039999999</v>
      </c>
      <c r="F15" s="82">
        <v>46144428.039999999</v>
      </c>
      <c r="G15" s="83">
        <v>46144428.039999999</v>
      </c>
    </row>
    <row r="16" spans="1:7" ht="32.25" thickBot="1" x14ac:dyDescent="0.3">
      <c r="B16" s="78" t="s">
        <v>125</v>
      </c>
      <c r="C16" s="82">
        <v>14051472000</v>
      </c>
      <c r="D16" s="82">
        <v>0</v>
      </c>
      <c r="E16" s="82">
        <v>0</v>
      </c>
      <c r="F16" s="82">
        <v>0</v>
      </c>
      <c r="G16" s="83">
        <v>0</v>
      </c>
    </row>
    <row r="17" spans="2:7" ht="19.5" thickBot="1" x14ac:dyDescent="0.3">
      <c r="B17" s="72" t="s">
        <v>126</v>
      </c>
      <c r="C17" s="76">
        <v>1167604335047</v>
      </c>
      <c r="D17" s="76">
        <v>157603582277</v>
      </c>
      <c r="E17" s="76">
        <v>157603582277</v>
      </c>
      <c r="F17" s="76">
        <v>157603582277</v>
      </c>
      <c r="G17" s="77">
        <v>157603582277</v>
      </c>
    </row>
    <row r="18" spans="2:7" ht="19.5" thickBot="1" x14ac:dyDescent="0.3">
      <c r="B18" s="72" t="s">
        <v>127</v>
      </c>
      <c r="C18" s="76">
        <v>4505182025012</v>
      </c>
      <c r="D18" s="76">
        <v>4326260593239.6099</v>
      </c>
      <c r="E18" s="76">
        <v>4317204789231.4004</v>
      </c>
      <c r="F18" s="76">
        <v>332431885604.58008</v>
      </c>
      <c r="G18" s="77">
        <v>332410586500.58008</v>
      </c>
    </row>
    <row r="20" spans="2:7" x14ac:dyDescent="0.25">
      <c r="C20" s="84">
        <f>+SUM(C13:C18)</f>
        <v>5772572345429</v>
      </c>
      <c r="D20" s="84">
        <f t="shared" ref="D20:G20" si="2">+SUM(D13:D18)</f>
        <v>4549269156972.3496</v>
      </c>
      <c r="E20" s="84">
        <f t="shared" si="2"/>
        <v>4502767805916.96</v>
      </c>
      <c r="F20" s="84">
        <f t="shared" si="2"/>
        <v>510372659858.1601</v>
      </c>
      <c r="G20" s="84">
        <f t="shared" si="2"/>
        <v>509387999893.1601</v>
      </c>
    </row>
    <row r="21" spans="2:7" x14ac:dyDescent="0.25">
      <c r="C21" s="84"/>
      <c r="D21" s="84"/>
      <c r="E21" s="84"/>
      <c r="F21" s="84"/>
      <c r="G21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I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3" style="41" bestFit="1" customWidth="1"/>
    <col min="5" max="5" width="33.28515625" style="41" bestFit="1" customWidth="1"/>
    <col min="6" max="6" width="30.7109375" style="41" bestFit="1" customWidth="1"/>
    <col min="7" max="7" width="28.28515625" style="41" customWidth="1"/>
    <col min="8" max="8" width="23" style="41" bestFit="1" customWidth="1"/>
    <col min="9" max="9" width="37.7109375" style="41" bestFit="1" customWidth="1"/>
  </cols>
  <sheetData>
    <row r="1" spans="2:9" ht="15.75" thickBot="1" x14ac:dyDescent="0.3">
      <c r="B1" s="22" t="s">
        <v>33</v>
      </c>
      <c r="C1" s="22" t="s">
        <v>1</v>
      </c>
      <c r="D1" s="92" t="s">
        <v>7</v>
      </c>
      <c r="E1" s="92" t="s">
        <v>8</v>
      </c>
      <c r="F1" s="92" t="s">
        <v>9</v>
      </c>
      <c r="G1" s="92" t="s">
        <v>10</v>
      </c>
      <c r="H1" s="92" t="s">
        <v>14</v>
      </c>
      <c r="I1" s="93" t="s">
        <v>114</v>
      </c>
    </row>
    <row r="2" spans="2:9" ht="15.75" thickTop="1" x14ac:dyDescent="0.25">
      <c r="B2" s="21" t="s">
        <v>34</v>
      </c>
      <c r="C2" s="85" t="s">
        <v>105</v>
      </c>
      <c r="D2" s="86">
        <v>199229942693</v>
      </c>
      <c r="E2" s="86">
        <v>199229942693</v>
      </c>
      <c r="F2" s="86">
        <v>199229942693</v>
      </c>
      <c r="G2" s="86">
        <v>667460180</v>
      </c>
      <c r="H2" s="86">
        <v>667460180</v>
      </c>
      <c r="I2" s="95">
        <v>0</v>
      </c>
    </row>
    <row r="3" spans="2:9" x14ac:dyDescent="0.25">
      <c r="B3" s="21" t="s">
        <v>35</v>
      </c>
      <c r="C3" s="85" t="s">
        <v>36</v>
      </c>
      <c r="D3" s="86">
        <v>3111246158</v>
      </c>
      <c r="E3" s="86">
        <v>3111246158</v>
      </c>
      <c r="F3" s="86">
        <v>3111246158</v>
      </c>
      <c r="G3" s="86">
        <v>0</v>
      </c>
      <c r="H3" s="86">
        <v>0</v>
      </c>
      <c r="I3" s="94">
        <v>0</v>
      </c>
    </row>
    <row r="4" spans="2:9" x14ac:dyDescent="0.25">
      <c r="B4" s="21" t="s">
        <v>64</v>
      </c>
      <c r="C4" s="85" t="s">
        <v>48</v>
      </c>
      <c r="D4" s="86">
        <v>267568660974</v>
      </c>
      <c r="E4" s="86">
        <v>267568660974</v>
      </c>
      <c r="F4" s="86">
        <v>267568660974</v>
      </c>
      <c r="G4" s="86">
        <v>515340818</v>
      </c>
      <c r="H4" s="86">
        <v>515340818</v>
      </c>
      <c r="I4" s="94">
        <v>0</v>
      </c>
    </row>
    <row r="5" spans="2:9" x14ac:dyDescent="0.25">
      <c r="B5" s="21" t="s">
        <v>65</v>
      </c>
      <c r="C5" s="85" t="s">
        <v>49</v>
      </c>
      <c r="D5" s="86">
        <v>175859178607</v>
      </c>
      <c r="E5" s="86">
        <v>175859178607</v>
      </c>
      <c r="F5" s="86">
        <v>175859178607</v>
      </c>
      <c r="G5" s="86">
        <v>589163443</v>
      </c>
      <c r="H5" s="86">
        <v>589163443</v>
      </c>
      <c r="I5" s="94">
        <v>0</v>
      </c>
    </row>
    <row r="6" spans="2:9" x14ac:dyDescent="0.25">
      <c r="B6" s="21" t="s">
        <v>66</v>
      </c>
      <c r="C6" s="85" t="s">
        <v>50</v>
      </c>
      <c r="D6" s="86">
        <v>253083219752</v>
      </c>
      <c r="E6" s="86">
        <v>253083219752</v>
      </c>
      <c r="F6" s="86">
        <v>253083219752</v>
      </c>
      <c r="G6" s="86">
        <v>8076357952</v>
      </c>
      <c r="H6" s="86">
        <v>8076357952</v>
      </c>
      <c r="I6" s="94">
        <v>0</v>
      </c>
    </row>
    <row r="7" spans="2:9" x14ac:dyDescent="0.25">
      <c r="B7" s="21" t="s">
        <v>67</v>
      </c>
      <c r="C7" s="85" t="s">
        <v>106</v>
      </c>
      <c r="D7" s="86">
        <v>243923443489</v>
      </c>
      <c r="E7" s="86">
        <v>243923443489</v>
      </c>
      <c r="F7" s="86">
        <v>243923443489</v>
      </c>
      <c r="G7" s="86">
        <v>21653320129</v>
      </c>
      <c r="H7" s="86">
        <v>21653320129</v>
      </c>
      <c r="I7" s="94">
        <v>0</v>
      </c>
    </row>
    <row r="8" spans="2:9" x14ac:dyDescent="0.25">
      <c r="B8" s="21" t="s">
        <v>68</v>
      </c>
      <c r="C8" s="85" t="s">
        <v>51</v>
      </c>
      <c r="D8" s="86">
        <v>173754342655</v>
      </c>
      <c r="E8" s="86">
        <v>173754342655</v>
      </c>
      <c r="F8" s="86">
        <v>173754342655</v>
      </c>
      <c r="G8" s="86">
        <v>26218470693</v>
      </c>
      <c r="H8" s="86">
        <v>26218470693</v>
      </c>
      <c r="I8" s="94">
        <v>0</v>
      </c>
    </row>
    <row r="9" spans="2:9" x14ac:dyDescent="0.25">
      <c r="B9" s="21" t="s">
        <v>69</v>
      </c>
      <c r="C9" s="85" t="s">
        <v>52</v>
      </c>
      <c r="D9" s="86">
        <v>188036887431</v>
      </c>
      <c r="E9" s="86">
        <v>188036887431</v>
      </c>
      <c r="F9" s="86">
        <v>188036887431</v>
      </c>
      <c r="G9" s="86">
        <v>31914916292</v>
      </c>
      <c r="H9" s="86">
        <v>31914916292</v>
      </c>
      <c r="I9" s="94">
        <v>0</v>
      </c>
    </row>
    <row r="10" spans="2:9" x14ac:dyDescent="0.25">
      <c r="B10" s="21" t="s">
        <v>70</v>
      </c>
      <c r="C10" s="85" t="s">
        <v>53</v>
      </c>
      <c r="D10" s="86">
        <v>230526549416</v>
      </c>
      <c r="E10" s="86">
        <v>230526549416</v>
      </c>
      <c r="F10" s="86">
        <v>230526549416</v>
      </c>
      <c r="G10" s="86">
        <v>27184528940</v>
      </c>
      <c r="H10" s="86">
        <v>27184528940</v>
      </c>
      <c r="I10" s="94">
        <v>0</v>
      </c>
    </row>
    <row r="11" spans="2:9" x14ac:dyDescent="0.25">
      <c r="B11" s="21" t="s">
        <v>71</v>
      </c>
      <c r="C11" s="85" t="s">
        <v>133</v>
      </c>
      <c r="D11" s="86">
        <v>12654096592</v>
      </c>
      <c r="E11" s="86">
        <v>11910774963.5</v>
      </c>
      <c r="F11" s="86">
        <v>11087173460.690001</v>
      </c>
      <c r="G11" s="86">
        <v>2406423354.0799999</v>
      </c>
      <c r="H11" s="86">
        <v>2399906805.0799999</v>
      </c>
      <c r="I11" s="94">
        <v>0</v>
      </c>
    </row>
    <row r="12" spans="2:9" x14ac:dyDescent="0.25">
      <c r="B12" s="21" t="s">
        <v>72</v>
      </c>
      <c r="C12" s="85" t="s">
        <v>54</v>
      </c>
      <c r="D12" s="86">
        <v>222571821813</v>
      </c>
      <c r="E12" s="86">
        <v>222571821813</v>
      </c>
      <c r="F12" s="86">
        <v>222571821813</v>
      </c>
      <c r="G12" s="86">
        <v>7839829655</v>
      </c>
      <c r="H12" s="86">
        <v>7839829655</v>
      </c>
      <c r="I12" s="94">
        <v>0</v>
      </c>
    </row>
    <row r="13" spans="2:9" x14ac:dyDescent="0.25">
      <c r="B13" s="21" t="s">
        <v>73</v>
      </c>
      <c r="C13" s="85" t="s">
        <v>107</v>
      </c>
      <c r="D13" s="86">
        <v>256174672458</v>
      </c>
      <c r="E13" s="86">
        <v>256174672458</v>
      </c>
      <c r="F13" s="86">
        <v>256174672458</v>
      </c>
      <c r="G13" s="86">
        <v>783848182</v>
      </c>
      <c r="H13" s="86">
        <v>783848182</v>
      </c>
      <c r="I13" s="94">
        <v>0</v>
      </c>
    </row>
    <row r="14" spans="2:9" x14ac:dyDescent="0.25">
      <c r="B14" s="21" t="s">
        <v>74</v>
      </c>
      <c r="C14" s="85" t="s">
        <v>108</v>
      </c>
      <c r="D14" s="86">
        <v>133566456234</v>
      </c>
      <c r="E14" s="86">
        <v>133566456234</v>
      </c>
      <c r="F14" s="86">
        <v>133566456234</v>
      </c>
      <c r="G14" s="86">
        <v>426302018</v>
      </c>
      <c r="H14" s="86">
        <v>426302018</v>
      </c>
      <c r="I14" s="94">
        <v>0</v>
      </c>
    </row>
    <row r="15" spans="2:9" x14ac:dyDescent="0.25">
      <c r="B15" s="21" t="s">
        <v>75</v>
      </c>
      <c r="C15" s="85" t="s">
        <v>109</v>
      </c>
      <c r="D15" s="86">
        <v>92126982346</v>
      </c>
      <c r="E15" s="86">
        <v>92126982346</v>
      </c>
      <c r="F15" s="86">
        <v>92126982346</v>
      </c>
      <c r="G15" s="86">
        <v>308643829</v>
      </c>
      <c r="H15" s="86">
        <v>308643829</v>
      </c>
      <c r="I15" s="94">
        <v>0</v>
      </c>
    </row>
    <row r="16" spans="2:9" x14ac:dyDescent="0.25">
      <c r="B16" s="21" t="s">
        <v>76</v>
      </c>
      <c r="C16" s="85" t="s">
        <v>55</v>
      </c>
      <c r="D16" s="86">
        <v>177242188803</v>
      </c>
      <c r="E16" s="86">
        <v>177242188803</v>
      </c>
      <c r="F16" s="86">
        <v>177242188803</v>
      </c>
      <c r="G16" s="86">
        <v>12868469971</v>
      </c>
      <c r="H16" s="86">
        <v>12868469971</v>
      </c>
      <c r="I16" s="94">
        <v>0</v>
      </c>
    </row>
    <row r="17" spans="2:9" x14ac:dyDescent="0.25">
      <c r="B17" s="21" t="s">
        <v>63</v>
      </c>
      <c r="C17" s="85" t="s">
        <v>110</v>
      </c>
      <c r="D17" s="86">
        <v>186661572672</v>
      </c>
      <c r="E17" s="86">
        <v>186661572672</v>
      </c>
      <c r="F17" s="86">
        <v>186661572672</v>
      </c>
      <c r="G17" s="86">
        <v>65829708441</v>
      </c>
      <c r="H17" s="86">
        <v>65829708441</v>
      </c>
      <c r="I17" s="94">
        <v>0</v>
      </c>
    </row>
    <row r="18" spans="2:9" x14ac:dyDescent="0.25">
      <c r="B18" s="21" t="s">
        <v>77</v>
      </c>
      <c r="C18" s="85" t="s">
        <v>56</v>
      </c>
      <c r="D18" s="86">
        <v>217966528302</v>
      </c>
      <c r="E18" s="86">
        <v>217966528302</v>
      </c>
      <c r="F18" s="86">
        <v>217966528302</v>
      </c>
      <c r="G18" s="86">
        <v>35582322411</v>
      </c>
      <c r="H18" s="86">
        <v>35582322411</v>
      </c>
      <c r="I18" s="94">
        <v>0</v>
      </c>
    </row>
    <row r="19" spans="2:9" x14ac:dyDescent="0.25">
      <c r="B19" s="21" t="s">
        <v>78</v>
      </c>
      <c r="C19" s="85" t="s">
        <v>57</v>
      </c>
      <c r="D19" s="86">
        <v>264689746048</v>
      </c>
      <c r="E19" s="86">
        <v>264689746048</v>
      </c>
      <c r="F19" s="86">
        <v>264689746048</v>
      </c>
      <c r="G19" s="86">
        <v>18890851579</v>
      </c>
      <c r="H19" s="86">
        <v>18890851579</v>
      </c>
      <c r="I19" s="94">
        <v>0</v>
      </c>
    </row>
    <row r="20" spans="2:9" x14ac:dyDescent="0.25">
      <c r="B20" s="21" t="s">
        <v>79</v>
      </c>
      <c r="C20" s="85" t="s">
        <v>58</v>
      </c>
      <c r="D20" s="86">
        <v>141607661383</v>
      </c>
      <c r="E20" s="86">
        <v>141607661383</v>
      </c>
      <c r="F20" s="86">
        <v>141607661383</v>
      </c>
      <c r="G20" s="86">
        <v>35860807678</v>
      </c>
      <c r="H20" s="86">
        <v>35860807678</v>
      </c>
      <c r="I20" s="94">
        <v>0</v>
      </c>
    </row>
    <row r="21" spans="2:9" x14ac:dyDescent="0.25">
      <c r="B21" s="21" t="s">
        <v>80</v>
      </c>
      <c r="C21" s="85" t="s">
        <v>59</v>
      </c>
      <c r="D21" s="86">
        <v>326484319237</v>
      </c>
      <c r="E21" s="86">
        <v>326484319237</v>
      </c>
      <c r="F21" s="86">
        <v>326484319237</v>
      </c>
      <c r="G21" s="86">
        <v>18896410145</v>
      </c>
      <c r="H21" s="86">
        <v>18896410145</v>
      </c>
      <c r="I21" s="94">
        <v>0</v>
      </c>
    </row>
    <row r="22" spans="2:9" x14ac:dyDescent="0.25">
      <c r="B22" s="21" t="s">
        <v>81</v>
      </c>
      <c r="C22" s="85" t="s">
        <v>60</v>
      </c>
      <c r="D22" s="86">
        <v>103270216578</v>
      </c>
      <c r="E22" s="86">
        <v>103270216578</v>
      </c>
      <c r="F22" s="86">
        <v>103270216578</v>
      </c>
      <c r="G22" s="86">
        <v>2037283578</v>
      </c>
      <c r="H22" s="86">
        <v>2037283578</v>
      </c>
      <c r="I22" s="94">
        <v>0</v>
      </c>
    </row>
    <row r="23" spans="2:9" x14ac:dyDescent="0.25">
      <c r="B23" s="21" t="s">
        <v>82</v>
      </c>
      <c r="C23" s="85" t="s">
        <v>111</v>
      </c>
      <c r="D23" s="86">
        <v>323578411182</v>
      </c>
      <c r="E23" s="86">
        <v>323578411182</v>
      </c>
      <c r="F23" s="86">
        <v>323578411182</v>
      </c>
      <c r="G23" s="86">
        <v>1121067275</v>
      </c>
      <c r="H23" s="86">
        <v>1121067275</v>
      </c>
      <c r="I23" s="94">
        <v>0</v>
      </c>
    </row>
    <row r="24" spans="2:9" x14ac:dyDescent="0.25">
      <c r="B24" s="21" t="s">
        <v>83</v>
      </c>
      <c r="C24" s="85" t="s">
        <v>61</v>
      </c>
      <c r="D24" s="86">
        <v>53127095469</v>
      </c>
      <c r="E24" s="86">
        <v>53127095469</v>
      </c>
      <c r="F24" s="86">
        <v>53127095469</v>
      </c>
      <c r="G24" s="86">
        <v>0</v>
      </c>
      <c r="H24" s="86">
        <v>0</v>
      </c>
      <c r="I24" s="94">
        <v>0</v>
      </c>
    </row>
    <row r="25" spans="2:9" x14ac:dyDescent="0.25">
      <c r="B25" s="21" t="s">
        <v>104</v>
      </c>
      <c r="C25" s="85" t="s">
        <v>134</v>
      </c>
      <c r="D25" s="86">
        <v>105000000000</v>
      </c>
      <c r="E25" s="86">
        <v>4234124000</v>
      </c>
      <c r="F25" s="86">
        <v>715167733.46000004</v>
      </c>
      <c r="G25" s="86">
        <v>715167733.46000004</v>
      </c>
      <c r="H25" s="86">
        <v>715167733.46000004</v>
      </c>
      <c r="I25" s="94">
        <v>0</v>
      </c>
    </row>
    <row r="26" spans="2:9" x14ac:dyDescent="0.25">
      <c r="B26" s="21" t="s">
        <v>84</v>
      </c>
      <c r="C26" s="85" t="s">
        <v>112</v>
      </c>
      <c r="D26" s="86">
        <v>2257022926</v>
      </c>
      <c r="E26" s="86">
        <v>2042749771.5</v>
      </c>
      <c r="F26" s="86">
        <v>1980586100.6400001</v>
      </c>
      <c r="G26" s="86">
        <v>446254165.63999999</v>
      </c>
      <c r="H26" s="86">
        <v>445519603.63999999</v>
      </c>
      <c r="I26" s="94">
        <v>0</v>
      </c>
    </row>
    <row r="27" spans="2:9" x14ac:dyDescent="0.25">
      <c r="B27" s="21" t="s">
        <v>129</v>
      </c>
      <c r="C27" s="85" t="s">
        <v>130</v>
      </c>
      <c r="D27" s="86">
        <v>3785000000</v>
      </c>
      <c r="E27" s="86">
        <v>0</v>
      </c>
      <c r="F27" s="86">
        <v>0</v>
      </c>
      <c r="G27" s="86">
        <v>0</v>
      </c>
      <c r="H27" s="86">
        <v>0</v>
      </c>
      <c r="I27" s="94">
        <v>0</v>
      </c>
    </row>
    <row r="28" spans="2:9" s="10" customFormat="1" x14ac:dyDescent="0.25">
      <c r="B28" s="79" t="s">
        <v>37</v>
      </c>
      <c r="C28" s="85" t="s">
        <v>38</v>
      </c>
      <c r="D28" s="86">
        <v>76235881312</v>
      </c>
      <c r="E28" s="86">
        <v>49002053305</v>
      </c>
      <c r="F28" s="86">
        <v>46317131484</v>
      </c>
      <c r="G28" s="86">
        <v>5697780308.3000002</v>
      </c>
      <c r="H28" s="86">
        <v>5697780308.3000002</v>
      </c>
      <c r="I28" s="95">
        <v>0</v>
      </c>
    </row>
    <row r="29" spans="2:9" s="10" customFormat="1" x14ac:dyDescent="0.25">
      <c r="B29" s="79" t="s">
        <v>85</v>
      </c>
      <c r="C29" s="85" t="s">
        <v>113</v>
      </c>
      <c r="D29" s="86">
        <v>1124097372</v>
      </c>
      <c r="E29" s="86">
        <v>910021842</v>
      </c>
      <c r="F29" s="86">
        <v>842568728.99000001</v>
      </c>
      <c r="G29" s="86">
        <v>180422203.99000001</v>
      </c>
      <c r="H29" s="86">
        <v>179796680.99000001</v>
      </c>
      <c r="I29" s="95">
        <v>0</v>
      </c>
    </row>
    <row r="30" spans="2:9" x14ac:dyDescent="0.25">
      <c r="B30" s="21" t="s">
        <v>39</v>
      </c>
      <c r="C30" s="85" t="s">
        <v>135</v>
      </c>
      <c r="D30" s="86">
        <v>1000000000</v>
      </c>
      <c r="E30" s="86">
        <v>874002500</v>
      </c>
      <c r="F30" s="86">
        <v>367250432</v>
      </c>
      <c r="G30" s="86">
        <v>0</v>
      </c>
      <c r="H30" s="86">
        <v>0</v>
      </c>
      <c r="I30" s="94">
        <v>0</v>
      </c>
    </row>
    <row r="31" spans="2:9" x14ac:dyDescent="0.25">
      <c r="B31" s="21" t="s">
        <v>86</v>
      </c>
      <c r="C31" s="85" t="s">
        <v>62</v>
      </c>
      <c r="D31" s="86">
        <v>3056837754</v>
      </c>
      <c r="E31" s="86">
        <v>2899092640</v>
      </c>
      <c r="F31" s="86">
        <v>2789306409</v>
      </c>
      <c r="G31" s="86">
        <v>618744804.20000005</v>
      </c>
      <c r="H31" s="86">
        <v>617832804.20000005</v>
      </c>
      <c r="I31" s="94">
        <v>0</v>
      </c>
    </row>
    <row r="32" spans="2:9" x14ac:dyDescent="0.25">
      <c r="B32" s="21" t="s">
        <v>131</v>
      </c>
      <c r="C32" s="85" t="s">
        <v>132</v>
      </c>
      <c r="D32" s="86">
        <v>907945356</v>
      </c>
      <c r="E32" s="86">
        <v>161021128</v>
      </c>
      <c r="F32" s="86">
        <v>148998172.83000001</v>
      </c>
      <c r="G32" s="86">
        <v>40530619.32</v>
      </c>
      <c r="H32" s="86">
        <v>40530619.32</v>
      </c>
      <c r="I32" s="94"/>
    </row>
    <row r="33" spans="2:9" x14ac:dyDescent="0.25">
      <c r="B33" s="21" t="s">
        <v>40</v>
      </c>
      <c r="C33" s="85" t="s">
        <v>136</v>
      </c>
      <c r="D33" s="86">
        <v>200000000</v>
      </c>
      <c r="E33" s="86">
        <v>144566687</v>
      </c>
      <c r="F33" s="86">
        <v>79901202.659999996</v>
      </c>
      <c r="G33" s="86">
        <v>17289541.66</v>
      </c>
      <c r="H33" s="86">
        <v>17289541.66</v>
      </c>
      <c r="I33" s="94">
        <v>0</v>
      </c>
    </row>
    <row r="34" spans="2:9" x14ac:dyDescent="0.25">
      <c r="B34" s="21" t="s">
        <v>41</v>
      </c>
      <c r="C34" s="85" t="s">
        <v>137</v>
      </c>
      <c r="D34" s="86">
        <v>58800000000</v>
      </c>
      <c r="E34" s="86">
        <v>15663880286.82</v>
      </c>
      <c r="F34" s="86">
        <v>14638085319.33</v>
      </c>
      <c r="G34" s="86">
        <v>3250542167.1300001</v>
      </c>
      <c r="H34" s="86">
        <v>3238031697.1300001</v>
      </c>
      <c r="I34" s="94">
        <v>0</v>
      </c>
    </row>
    <row r="35" spans="2:9" x14ac:dyDescent="0.25">
      <c r="B35" s="21" t="s">
        <v>42</v>
      </c>
      <c r="C35" s="85" t="s">
        <v>138</v>
      </c>
      <c r="D35" s="86">
        <v>5000000000</v>
      </c>
      <c r="E35" s="86">
        <v>3346393199.79</v>
      </c>
      <c r="F35" s="86">
        <v>3166744597.0799999</v>
      </c>
      <c r="G35" s="86">
        <v>1591836306.0799999</v>
      </c>
      <c r="H35" s="86">
        <v>1591836306.0799999</v>
      </c>
      <c r="I35" s="94">
        <v>0</v>
      </c>
    </row>
    <row r="36" spans="2:9" x14ac:dyDescent="0.25">
      <c r="B36" s="21" t="s">
        <v>44</v>
      </c>
      <c r="C36" s="85" t="s">
        <v>139</v>
      </c>
      <c r="D36" s="86">
        <v>1000000000</v>
      </c>
      <c r="E36" s="86">
        <v>910769216</v>
      </c>
      <c r="F36" s="86">
        <v>910731890.72000003</v>
      </c>
      <c r="G36" s="86">
        <v>201791191.72</v>
      </c>
      <c r="H36" s="86">
        <v>201791191.72</v>
      </c>
      <c r="I36" s="94">
        <v>0</v>
      </c>
    </row>
    <row r="37" spans="2:9" x14ac:dyDescent="0.25">
      <c r="C37" s="1"/>
    </row>
    <row r="38" spans="2:9" x14ac:dyDescent="0.25">
      <c r="D38" s="41">
        <f>SUM(D2:D36)</f>
        <v>4505182025012</v>
      </c>
      <c r="E38" s="41">
        <f>+SUM(E2:E36)</f>
        <v>4326260593239.6099</v>
      </c>
      <c r="F38" s="41">
        <f>+SUM(F2:F36)</f>
        <v>4317204789231.4009</v>
      </c>
      <c r="G38" s="41">
        <f>+SUM(G2:G36)</f>
        <v>332431885604.58002</v>
      </c>
      <c r="H38" s="41">
        <f>+SUM(H2:H36)</f>
        <v>332410586500.58002</v>
      </c>
      <c r="I38" s="41">
        <f>+SUM(I2:I36)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O68"/>
  <sheetViews>
    <sheetView showGridLines="0" showRowColHeaders="0" workbookViewId="0">
      <selection activeCell="G41" sqref="G41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1.5703125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3">
        <v>99785.985369999995</v>
      </c>
      <c r="D7" s="23">
        <v>27959.434408560002</v>
      </c>
      <c r="E7" s="23">
        <v>20337.191976580001</v>
      </c>
      <c r="F7" s="23">
        <v>19373.83111558</v>
      </c>
    </row>
    <row r="8" spans="1:14" x14ac:dyDescent="0.25">
      <c r="B8" s="2" t="s">
        <v>27</v>
      </c>
      <c r="C8" s="23">
        <v>1167604.3350470001</v>
      </c>
      <c r="D8" s="23">
        <v>157603.58227700001</v>
      </c>
      <c r="E8" s="23">
        <v>157603.58227700001</v>
      </c>
      <c r="F8" s="23">
        <v>157603.58227700001</v>
      </c>
    </row>
    <row r="9" spans="1:14" x14ac:dyDescent="0.25">
      <c r="B9" s="2" t="s">
        <v>28</v>
      </c>
      <c r="C9" s="23">
        <v>4505182.0250120005</v>
      </c>
      <c r="D9" s="23">
        <v>4317204.7892314</v>
      </c>
      <c r="E9" s="23">
        <v>332431.88560458005</v>
      </c>
      <c r="F9" s="23">
        <v>332410.58650058007</v>
      </c>
    </row>
    <row r="10" spans="1:14" x14ac:dyDescent="0.25">
      <c r="B10" s="2" t="s">
        <v>6</v>
      </c>
      <c r="C10" s="23">
        <v>5772572.3454290004</v>
      </c>
      <c r="D10" s="23">
        <v>4502767.8059169604</v>
      </c>
      <c r="E10" s="23">
        <v>510372.65985816007</v>
      </c>
      <c r="F10" s="23">
        <v>509387.99989316007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6"/>
      <c r="O21" s="97"/>
    </row>
    <row r="22" spans="1:1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18"/>
      <c r="K39" s="18"/>
      <c r="L39" s="18"/>
      <c r="M39" s="18"/>
      <c r="N39" s="18"/>
    </row>
    <row r="40" spans="1:14" hidden="1" outlineLevel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20"/>
      <c r="K40" s="20"/>
      <c r="L40" s="18"/>
      <c r="M40" s="18"/>
      <c r="N40" s="18"/>
    </row>
    <row r="41" spans="1:14" s="11" customFormat="1" hidden="1" outlineLevel="1" x14ac:dyDescent="0.25">
      <c r="A41" s="36"/>
      <c r="B41" s="98" t="s">
        <v>5</v>
      </c>
      <c r="C41" s="98" t="s">
        <v>20</v>
      </c>
      <c r="D41" s="98" t="s">
        <v>43</v>
      </c>
      <c r="E41" s="98" t="s">
        <v>18</v>
      </c>
      <c r="F41" s="98" t="s">
        <v>19</v>
      </c>
      <c r="G41" s="36"/>
      <c r="H41" s="36"/>
      <c r="I41" s="36"/>
      <c r="L41" s="27"/>
      <c r="M41" s="27"/>
      <c r="N41" s="27"/>
    </row>
    <row r="42" spans="1:14" s="11" customFormat="1" hidden="1" outlineLevel="1" x14ac:dyDescent="0.25">
      <c r="A42" s="36"/>
      <c r="B42" s="99" t="s">
        <v>26</v>
      </c>
      <c r="C42" s="100">
        <f>+GETPIVOTDATA("APROPIACION",$B$6,"DESCRIPCION","A-FUNCIONAMIENTO")</f>
        <v>99785.985369999995</v>
      </c>
      <c r="D42" s="101">
        <f>+GETPIVOTDATA("COMPROMISOS",$B$6,"DESCRIPCION","A-FUNCIONAMIENTO")/C42</f>
        <v>0.28019400023849267</v>
      </c>
      <c r="E42" s="101">
        <f>+GETPIVOTDATA(" OBLIGACIONES",$B$6,"DESCRIPCION","A-FUNCIONAMIENTO")/C42</f>
        <v>0.20380809891460214</v>
      </c>
      <c r="F42" s="101">
        <f>+GETPIVOTDATA(" PAGOS",$B$6,"DESCRIPCION","A-FUNCIONAMIENTO")/GETPIVOTDATA("APROPIACION",$B$6,"DESCRIPCION","A-FUNCIONAMIENTO")</f>
        <v>0.1941538287540388</v>
      </c>
      <c r="G42" s="36"/>
      <c r="H42" s="36"/>
      <c r="I42" s="36"/>
      <c r="L42" s="27"/>
      <c r="M42" s="27"/>
      <c r="N42" s="27"/>
    </row>
    <row r="43" spans="1:14" s="11" customFormat="1" hidden="1" outlineLevel="1" x14ac:dyDescent="0.25">
      <c r="A43" s="36"/>
      <c r="B43" s="99" t="s">
        <v>27</v>
      </c>
      <c r="C43" s="100">
        <f>+GETPIVOTDATA("APROPIACION",$B$6,"DESCRIPCION","B-SERVICIO DE LA DEUDA PÚBLICA")</f>
        <v>1167604.3350470001</v>
      </c>
      <c r="D43" s="101">
        <f>+GETPIVOTDATA("COMPROMISOS",$B$6,"DESCRIPCION","B-SERVICIO DE LA DEUDA PÚBLICA")/C43</f>
        <v>0.13498029901598124</v>
      </c>
      <c r="E43" s="101">
        <f>+GETPIVOTDATA(" OBLIGACIONES",$B$6,"DESCRIPCION","B-SERVICIO DE LA DEUDA PÚBLICA")/GETPIVOTDATA("APROPIACION",$B$6,"DESCRIPCION","B-SERVICIO DE LA DEUDA PÚBLICA")</f>
        <v>0.13498029901598124</v>
      </c>
      <c r="F43" s="101">
        <f>+GETPIVOTDATA(" PAGOS",$B$6,"DESCRIPCION","B-SERVICIO DE LA DEUDA PÚBLICA")/GETPIVOTDATA("APROPIACION",$B$6,"DESCRIPCION","B-SERVICIO DE LA DEUDA PÚBLICA")</f>
        <v>0.13498029901598124</v>
      </c>
      <c r="G43" s="36"/>
      <c r="H43" s="36"/>
      <c r="I43" s="36"/>
      <c r="L43" s="27"/>
      <c r="M43" s="27"/>
      <c r="N43" s="27"/>
    </row>
    <row r="44" spans="1:14" s="11" customFormat="1" hidden="1" outlineLevel="1" x14ac:dyDescent="0.25">
      <c r="A44" s="36"/>
      <c r="B44" s="99" t="s">
        <v>28</v>
      </c>
      <c r="C44" s="102">
        <f>+GETPIVOTDATA("APROPIACION",$B$6,"DESCRIPCION","C- INVERSION")</f>
        <v>4505182.0250120005</v>
      </c>
      <c r="D44" s="101">
        <f>+GETPIVOTDATA("COMPROMISOS",$B$6,"DESCRIPCION","C- INVERSION")/C44</f>
        <v>0.95827532944573979</v>
      </c>
      <c r="E44" s="101">
        <f>+GETPIVOTDATA(" OBLIGACIONES",$B$6,"DESCRIPCION","C- INVERSION")/GETPIVOTDATA("APROPIACION",$B$6,"DESCRIPCION","C- INVERSION")</f>
        <v>7.3788780066815288E-2</v>
      </c>
      <c r="F44" s="101">
        <f>+GETPIVOTDATA(" PAGOS",$B$6,"DESCRIPCION","C- INVERSION")/GETPIVOTDATA("APROPIACION",$B$6,"DESCRIPCION","C- INVERSION")</f>
        <v>7.3784052376817039E-2</v>
      </c>
      <c r="G44" s="36"/>
      <c r="H44" s="36"/>
      <c r="I44" s="36"/>
      <c r="L44" s="27"/>
      <c r="M44" s="27"/>
      <c r="N44" s="27"/>
    </row>
    <row r="45" spans="1:14" s="11" customFormat="1" hidden="1" outlineLevel="1" x14ac:dyDescent="0.25">
      <c r="A45" s="36"/>
      <c r="B45" s="103" t="s">
        <v>6</v>
      </c>
      <c r="C45" s="104">
        <f>+GETPIVOTDATA("APROPIACION",$B$6)</f>
        <v>5772572.3454290004</v>
      </c>
      <c r="D45" s="123">
        <f>+GETPIVOTDATA("COMPROMISOS",$B$6)/GETPIVOTDATA("APROPIACION",$B$6)</f>
        <v>0.78002795573146311</v>
      </c>
      <c r="E45" s="123">
        <f>+GETPIVOTDATA(" OBLIGACIONES",$B$6)/GETPIVOTDATA("APROPIACION",$B$6)</f>
        <v>8.8413384764644415E-2</v>
      </c>
      <c r="F45" s="123">
        <f>+GETPIVOTDATA(" PAGOS",$B$6)/GETPIVOTDATA("APROPIACION",$B$6)</f>
        <v>8.8242809169211692E-2</v>
      </c>
      <c r="G45" s="36"/>
      <c r="H45" s="36"/>
      <c r="I45" s="36"/>
      <c r="L45" s="27"/>
      <c r="M45" s="27"/>
      <c r="N45" s="27"/>
    </row>
    <row r="46" spans="1:14" s="11" customFormat="1" hidden="1" outlineLevel="1" x14ac:dyDescent="0.25">
      <c r="A46" s="36"/>
      <c r="B46" s="36"/>
      <c r="C46" s="36"/>
      <c r="D46" s="36"/>
      <c r="E46" s="36"/>
      <c r="F46" s="36"/>
      <c r="G46" s="36"/>
      <c r="H46" s="36"/>
      <c r="I46" s="36"/>
      <c r="L46" s="28"/>
      <c r="M46" s="28"/>
      <c r="N46" s="28"/>
    </row>
    <row r="47" spans="1:14" hidden="1" outlineLevel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20"/>
      <c r="K47" s="20"/>
      <c r="L47" s="29"/>
      <c r="M47" s="29"/>
      <c r="N47" s="29"/>
    </row>
    <row r="48" spans="1:14" hidden="1" outlineLevel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0"/>
      <c r="K48" s="20"/>
      <c r="L48" s="29"/>
      <c r="M48" s="29"/>
      <c r="N48" s="29"/>
    </row>
    <row r="49" spans="1:14" hidden="1" outlineLevel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0"/>
      <c r="K49" s="20"/>
      <c r="L49" s="29"/>
      <c r="M49" s="29"/>
      <c r="N49" s="29"/>
    </row>
    <row r="50" spans="1:14" hidden="1" outlineLevel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20"/>
      <c r="K50" s="20"/>
      <c r="L50" s="29"/>
      <c r="M50" s="29"/>
      <c r="N50" s="29"/>
    </row>
    <row r="51" spans="1:14" hidden="1" outlineLevel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20"/>
      <c r="K51" s="20"/>
      <c r="L51" s="29"/>
      <c r="M51" s="29"/>
      <c r="N51" s="29"/>
    </row>
    <row r="52" spans="1:14" hidden="1" outlineLevel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20"/>
      <c r="K52" s="20"/>
      <c r="L52" s="29"/>
      <c r="M52" s="29"/>
      <c r="N52" s="29"/>
    </row>
    <row r="53" spans="1:14" hidden="1" outlineLevel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0"/>
      <c r="K53" s="20"/>
      <c r="L53" s="29"/>
      <c r="M53" s="29"/>
      <c r="N53" s="29"/>
    </row>
    <row r="54" spans="1:14" hidden="1" outlineLevel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hidden="1" outlineLevel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hidden="1" outlineLevel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collapsed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5"/>
      <c r="K57" s="29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5"/>
      <c r="K58" s="29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5"/>
      <c r="K59" s="29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6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89"/>
  <sheetViews>
    <sheetView showGridLines="0" showRowColHeaders="0" zoomScale="99" zoomScaleNormal="99" workbookViewId="0">
      <selection activeCell="H34" sqref="H34"/>
    </sheetView>
  </sheetViews>
  <sheetFormatPr baseColWidth="10" defaultRowHeight="15" outlineLevelRow="1" x14ac:dyDescent="0.25"/>
  <cols>
    <col min="1" max="1" width="7.42578125" customWidth="1"/>
    <col min="2" max="2" width="56.425781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4" t="s">
        <v>5</v>
      </c>
      <c r="C6" s="16" t="s">
        <v>21</v>
      </c>
      <c r="D6" s="16" t="s">
        <v>12</v>
      </c>
      <c r="E6" s="16" t="s">
        <v>13</v>
      </c>
      <c r="F6" s="16" t="s">
        <v>17</v>
      </c>
    </row>
    <row r="7" spans="2:6" x14ac:dyDescent="0.25">
      <c r="B7" s="2" t="s">
        <v>29</v>
      </c>
      <c r="C7" s="23">
        <v>51464.345000000001</v>
      </c>
      <c r="D7" s="23">
        <v>15115.56499241</v>
      </c>
      <c r="E7" s="23">
        <v>15115.56499241</v>
      </c>
      <c r="F7" s="23">
        <v>14174.32846841</v>
      </c>
    </row>
    <row r="8" spans="2:6" x14ac:dyDescent="0.25">
      <c r="B8" s="2" t="s">
        <v>30</v>
      </c>
      <c r="C8" s="23">
        <v>19419.071</v>
      </c>
      <c r="D8" s="23">
        <v>12797.724988110002</v>
      </c>
      <c r="E8" s="23">
        <v>5175.4825561299995</v>
      </c>
      <c r="F8" s="23">
        <v>5153.3582191299993</v>
      </c>
    </row>
    <row r="9" spans="2:6" x14ac:dyDescent="0.25">
      <c r="B9" s="2" t="s">
        <v>31</v>
      </c>
      <c r="C9" s="23">
        <v>14851.09737</v>
      </c>
      <c r="D9" s="23">
        <v>46.144428040000001</v>
      </c>
      <c r="E9" s="23">
        <v>46.144428040000001</v>
      </c>
      <c r="F9" s="23">
        <v>46.144428040000001</v>
      </c>
    </row>
    <row r="10" spans="2:6" ht="30" x14ac:dyDescent="0.25">
      <c r="B10" s="12" t="s">
        <v>32</v>
      </c>
      <c r="C10" s="23">
        <v>14051.472</v>
      </c>
      <c r="D10" s="23">
        <v>0</v>
      </c>
      <c r="E10" s="23">
        <v>0</v>
      </c>
      <c r="F10" s="23">
        <v>0</v>
      </c>
    </row>
    <row r="11" spans="2:6" x14ac:dyDescent="0.25">
      <c r="B11" s="2" t="s">
        <v>6</v>
      </c>
      <c r="C11" s="23">
        <v>99785.985369999995</v>
      </c>
      <c r="D11" s="23">
        <v>27959.434408559999</v>
      </c>
      <c r="E11" s="23">
        <v>20337.191976579998</v>
      </c>
      <c r="F11" s="23">
        <v>19373.83111558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21</v>
      </c>
      <c r="D43" s="20" t="s">
        <v>12</v>
      </c>
      <c r="E43" s="20" t="s">
        <v>13</v>
      </c>
      <c r="F43" s="20" t="s">
        <v>17</v>
      </c>
      <c r="G43" s="20"/>
      <c r="H43" s="10"/>
    </row>
    <row r="44" spans="1:11" hidden="1" outlineLevel="1" x14ac:dyDescent="0.25">
      <c r="A44" s="35"/>
      <c r="B44" s="106" t="s">
        <v>29</v>
      </c>
      <c r="C44" s="106">
        <f>+GETPIVOTDATA(" APROPIACION
 VIGENTE",$B$6,"DESCRIPCION","A-01 -GASTOS DE PERSONAL")</f>
        <v>51464.345000000001</v>
      </c>
      <c r="D44" s="107">
        <f>+GETPIVOTDATA(" COMPROMISOS
 ACUMULADOS",$B$6,"DESCRIPCION","A-01 -GASTOS DE PERSONAL")/GETPIVOTDATA(" APROPIACION
 VIGENTE",$B$6,"DESCRIPCION","A-01 -GASTOS DE PERSONAL")</f>
        <v>0.29370946025661065</v>
      </c>
      <c r="E44" s="107">
        <f>+GETPIVOTDATA(" OBLIGACIONES
 ACUMULADAS",$B$6,"DESCRIPCION","A-01 -GASTOS DE PERSONAL")/GETPIVOTDATA(" APROPIACION
 VIGENTE",$B$6,"DESCRIPCION","A-01 -GASTOS DE PERSONAL")</f>
        <v>0.29370946025661065</v>
      </c>
      <c r="F44" s="107">
        <f>+GETPIVOTDATA(" PAGOS
 ACUMULADOS",$B$6,"DESCRIPCION","A-01 -GASTOS DE PERSONAL")/GETPIVOTDATA(" APROPIACION
 VIGENTE",$B$6,"DESCRIPCION","A-01 -GASTOS DE PERSONAL")</f>
        <v>0.27542036080338728</v>
      </c>
      <c r="G44" s="15"/>
      <c r="H44" s="15"/>
      <c r="I44" s="15"/>
      <c r="J44" s="15"/>
      <c r="K44" s="15"/>
    </row>
    <row r="45" spans="1:11" hidden="1" outlineLevel="1" x14ac:dyDescent="0.25">
      <c r="A45" s="35"/>
      <c r="B45" s="106" t="s">
        <v>30</v>
      </c>
      <c r="C45" s="106">
        <f>+GETPIVOTDATA(" APROPIACION
 VIGENTE",$B$6,"DESCRIPCION","A-02 -ADQUISICIÓN DE BIENES  Y SERVICIOS")</f>
        <v>19419.071</v>
      </c>
      <c r="D45" s="107">
        <f>+GETPIVOTDATA(" COMPROMISOS
 ACUMULADOS",$B$6,"DESCRIPCION","A-02 -ADQUISICIÓN DE BIENES  Y SERVICIOS")/GETPIVOTDATA(" APROPIACION
 VIGENTE",$B$6,"DESCRIPCION","A-02 -ADQUISICIÓN DE BIENES  Y SERVICIOS")</f>
        <v>0.65902869339681602</v>
      </c>
      <c r="E45" s="107">
        <f>+GETPIVOTDATA(" OBLIGACIONES
 ACUMULADAS",$B$6,"DESCRIPCION","A-02 -ADQUISICIÓN DE BIENES  Y SERVICIOS")/GETPIVOTDATA(" APROPIACION
 VIGENTE",$B$6,"DESCRIPCION","A-02 -ADQUISICIÓN DE BIENES  Y SERVICIOS")</f>
        <v>0.26651545566366175</v>
      </c>
      <c r="F45" s="107">
        <f>+GETPIVOTDATA(" PAGOS
 ACUMULADOS",$B$6,"DESCRIPCION","A-02 -ADQUISICIÓN DE BIENES  Y SERVICIOS")/GETPIVOTDATA(" APROPIACION
 VIGENTE",$B$6,"DESCRIPCION","A-02 -ADQUISICIÓN DE BIENES  Y SERVICIOS")</f>
        <v>0.26537614590986353</v>
      </c>
      <c r="G45" s="15"/>
      <c r="H45" s="15"/>
      <c r="I45" s="15"/>
      <c r="J45" s="15"/>
      <c r="K45" s="15"/>
    </row>
    <row r="46" spans="1:11" hidden="1" outlineLevel="1" x14ac:dyDescent="0.25">
      <c r="A46" s="35"/>
      <c r="B46" s="106" t="s">
        <v>31</v>
      </c>
      <c r="C46" s="106">
        <f>+GETPIVOTDATA(" APROPIACION
 VIGENTE",$B$6,"DESCRIPCION","A-03-TRANSFERENCIAS CORRIENTES")</f>
        <v>14851.09737</v>
      </c>
      <c r="D46" s="107">
        <f>+GETPIVOTDATA(" COMPROMISOS
 ACUMULADOS",$B$6,"DESCRIPCION","A-03-TRANSFERENCIAS CORRIENTES")/GETPIVOTDATA(" APROPIACION
 VIGENTE",$B$6,"DESCRIPCION","A-03-TRANSFERENCIAS CORRIENTES")</f>
        <v>3.1071392834050218E-3</v>
      </c>
      <c r="E46" s="107">
        <f>+GETPIVOTDATA(" OBLIGACIONES
 ACUMULADAS",$B$6,"DESCRIPCION","A-03-TRANSFERENCIAS CORRIENTES")/GETPIVOTDATA(" APROPIACION
 VIGENTE",$B$6,"DESCRIPCION","A-03-TRANSFERENCIAS CORRIENTES")</f>
        <v>3.1071392834050218E-3</v>
      </c>
      <c r="F46" s="107">
        <f>+GETPIVOTDATA(" PAGOS
 ACUMULADOS",$B$6,"DESCRIPCION","A-03-TRANSFERENCIAS CORRIENTES")/GETPIVOTDATA(" APROPIACION
 VIGENTE",$B$6,"DESCRIPCION","A-03-TRANSFERENCIAS CORRIENTES")</f>
        <v>3.1071392834050218E-3</v>
      </c>
      <c r="G46" s="15"/>
      <c r="H46" s="15"/>
      <c r="I46" s="15"/>
      <c r="J46" s="15"/>
      <c r="K46" s="15"/>
    </row>
    <row r="47" spans="1:11" hidden="1" outlineLevel="1" x14ac:dyDescent="0.25">
      <c r="A47" s="35"/>
      <c r="B47" s="106" t="s">
        <v>32</v>
      </c>
      <c r="C47" s="106">
        <f>+GETPIVOTDATA(" APROPIACION
 VIGENTE",$B$6,"DESCRIPCION","A-08-GASTOS POR TRIBUTOS, MULTAS, SANCIONES E INTERESES DE MORA")</f>
        <v>14051.472</v>
      </c>
      <c r="D47" s="107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107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107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5"/>
      <c r="H47" s="15"/>
      <c r="I47" s="15"/>
      <c r="J47" s="15"/>
      <c r="K47" s="15"/>
    </row>
    <row r="48" spans="1:11" hidden="1" outlineLevel="1" x14ac:dyDescent="0.25">
      <c r="A48" s="35"/>
      <c r="B48" s="105" t="s">
        <v>6</v>
      </c>
      <c r="C48" s="105">
        <f>+GETPIVOTDATA(" APROPIACION
 VIGENTE",$B$6)</f>
        <v>99785.985369999995</v>
      </c>
      <c r="D48" s="124">
        <f>+GETPIVOTDATA(" COMPROMISOS
 ACUMULADOS",$B$6)/GETPIVOTDATA(" APROPIACION
 VIGENTE",$B$6)</f>
        <v>0.28019400023849261</v>
      </c>
      <c r="E48" s="124">
        <f>+GETPIVOTDATA(" OBLIGACIONES
 ACUMULADAS",$B$6)/GETPIVOTDATA(" APROPIACION
 VIGENTE",$B$6)</f>
        <v>0.20380809891460211</v>
      </c>
      <c r="F48" s="124">
        <f>+GETPIVOTDATA(" PAGOS
 ACUMULADOS",$B$6)/GETPIVOTDATA(" APROPIACION
 VIGENTE",$B$6)</f>
        <v>0.1941538287540388</v>
      </c>
      <c r="G48" s="15"/>
      <c r="H48" s="15"/>
      <c r="I48" s="15"/>
      <c r="J48" s="15"/>
      <c r="K48" s="15"/>
    </row>
    <row r="49" spans="1:11" collapsed="1" x14ac:dyDescent="0.25">
      <c r="A49" s="35"/>
      <c r="B49" s="35"/>
      <c r="C49" s="35"/>
      <c r="D49" s="35"/>
      <c r="E49" s="35"/>
      <c r="F49" s="25"/>
      <c r="G49" s="25"/>
      <c r="H49" s="25"/>
      <c r="I49" s="25"/>
      <c r="J49" s="25"/>
      <c r="K49" s="14"/>
    </row>
    <row r="50" spans="1:11" x14ac:dyDescent="0.25">
      <c r="A50" s="35"/>
      <c r="B50" s="35"/>
      <c r="C50" s="35"/>
      <c r="D50" s="35"/>
      <c r="E50" s="35"/>
      <c r="F50" s="25"/>
      <c r="G50" s="25"/>
      <c r="H50" s="25"/>
      <c r="I50" s="25"/>
      <c r="J50" s="25"/>
      <c r="K50" s="14"/>
    </row>
    <row r="51" spans="1:11" x14ac:dyDescent="0.25">
      <c r="A51" s="14"/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 x14ac:dyDescent="0.25">
      <c r="A52" s="14"/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 x14ac:dyDescent="0.2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4" spans="1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14"/>
    </row>
    <row r="55" spans="1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14"/>
    </row>
    <row r="56" spans="1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14"/>
    </row>
    <row r="57" spans="1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14"/>
    </row>
    <row r="58" spans="1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14"/>
    </row>
    <row r="59" spans="1:1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14"/>
    </row>
    <row r="60" spans="1:1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workbookViewId="0">
      <selection activeCell="F2" sqref="F2:F3"/>
    </sheetView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4">
        <v>4505182025012</v>
      </c>
      <c r="C9" s="24">
        <v>4317204789231.4009</v>
      </c>
      <c r="D9" s="24">
        <v>332431885604.58002</v>
      </c>
      <c r="E9" s="24">
        <v>332410586500.58002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25" t="str">
        <f>+CONCATENATE("PROYECTO","  ",C6)</f>
        <v>PROYECTO  (Todas)</v>
      </c>
      <c r="C36" s="125"/>
      <c r="D36" s="125"/>
    </row>
    <row r="37" spans="2:4" ht="52.5" customHeight="1" x14ac:dyDescent="0.25">
      <c r="B37" s="125"/>
      <c r="C37" s="125"/>
      <c r="D37" s="125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sqref="A1:E10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88</v>
      </c>
      <c r="D2" s="44" t="s">
        <v>89</v>
      </c>
      <c r="E2" s="45" t="s">
        <v>90</v>
      </c>
    </row>
    <row r="3" spans="2:7" ht="16.5" thickBot="1" x14ac:dyDescent="0.3">
      <c r="B3" s="50" t="s">
        <v>26</v>
      </c>
      <c r="C3" s="51">
        <f>2249648633.2/1000000</f>
        <v>2249.6486331999999</v>
      </c>
      <c r="D3" s="52">
        <v>0</v>
      </c>
      <c r="E3" s="53">
        <f>2158211484.01/1000000</f>
        <v>2158.2114840100003</v>
      </c>
      <c r="F3" s="68"/>
      <c r="G3" s="55"/>
    </row>
    <row r="4" spans="2:7" ht="19.5" thickBot="1" x14ac:dyDescent="0.3">
      <c r="B4" s="46" t="s">
        <v>128</v>
      </c>
      <c r="C4" s="47">
        <f>53197266014.59/1000000</f>
        <v>53197.266014589994</v>
      </c>
      <c r="D4" s="48">
        <f>0/1000000</f>
        <v>0</v>
      </c>
      <c r="E4" s="49">
        <f>29718810981.52/1000000</f>
        <v>29718.81098152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99</v>
      </c>
      <c r="E8" s="41"/>
    </row>
    <row r="9" spans="2:7" ht="19.5" thickBot="1" x14ac:dyDescent="0.3">
      <c r="B9" s="50" t="s">
        <v>26</v>
      </c>
      <c r="C9" s="49">
        <f>2249648633.2/1000000</f>
        <v>2249.6486331999999</v>
      </c>
    </row>
    <row r="10" spans="2:7" ht="19.5" thickBot="1" x14ac:dyDescent="0.3">
      <c r="B10" s="46" t="s">
        <v>91</v>
      </c>
      <c r="C10" s="45">
        <f>53197266014.59/1000000</f>
        <v>53197.266014589994</v>
      </c>
      <c r="D10" s="64"/>
      <c r="E10" s="55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/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3"/>
    </row>
    <row r="8" spans="2:6" x14ac:dyDescent="0.25">
      <c r="B8" s="59" t="s">
        <v>5</v>
      </c>
      <c r="C8" s="55" t="s">
        <v>100</v>
      </c>
    </row>
    <row r="9" spans="2:6" x14ac:dyDescent="0.25">
      <c r="B9" s="56" t="s">
        <v>26</v>
      </c>
      <c r="C9" s="55">
        <v>2249.6486331999999</v>
      </c>
    </row>
    <row r="10" spans="2:6" x14ac:dyDescent="0.25">
      <c r="B10" s="56" t="s">
        <v>91</v>
      </c>
      <c r="C10" s="55">
        <v>53197.266014589994</v>
      </c>
    </row>
    <row r="11" spans="2:6" x14ac:dyDescent="0.25">
      <c r="B11" s="56" t="s">
        <v>6</v>
      </c>
      <c r="C11" s="55">
        <v>55446.914647789992</v>
      </c>
      <c r="D11" s="63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2019-07-30T21:44:52Z</cp:lastPrinted>
  <dcterms:created xsi:type="dcterms:W3CDTF">2018-03-13T13:24:17Z</dcterms:created>
  <dcterms:modified xsi:type="dcterms:W3CDTF">2022-08-05T16:25:32Z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