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509" documentId="8_{DA0C1451-29D1-4995-8E20-8810810E9802}" xr6:coauthVersionLast="47" xr6:coauthVersionMax="47" xr10:uidLastSave="{A03ADCFD-A4F0-4352-BF61-084B73EFFB69}"/>
  <bookViews>
    <workbookView xWindow="-120" yWindow="-120" windowWidth="20730" windowHeight="11160" tabRatio="0" firstSheet="1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r:id="rId4"/>
    <sheet name="INVERSIÓN" sheetId="4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r:id="rId9"/>
    <sheet name="Participación por Concepto" sheetId="12" r:id="rId10"/>
    <sheet name="EJECUCIÓN  RESERVA" sheetId="10" r:id="rId11"/>
    <sheet name="CXP" sheetId="13" r:id="rId12"/>
    <sheet name="PART. CUENTA X PAGAR CONCEPTO " sheetId="17" r:id="rId13"/>
    <sheet name="EJECUCIÓN CUENTA POR PAGAR " sheetId="19" r:id="rId14"/>
  </sheets>
  <calcPr calcId="191029"/>
  <pivotCaches>
    <pivotCache cacheId="114" r:id="rId15"/>
    <pivotCache cacheId="115" r:id="rId16"/>
    <pivotCache cacheId="116" r:id="rId17"/>
    <pivotCache cacheId="117" r:id="rId18"/>
    <pivotCache cacheId="118" r:id="rId19"/>
    <pivotCache cacheId="119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C9" i="9"/>
  <c r="E4" i="9"/>
  <c r="D4" i="9"/>
  <c r="C4" i="9"/>
  <c r="E3" i="9"/>
  <c r="C3" i="9"/>
  <c r="I38" i="4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C10" i="13" l="1"/>
  <c r="C9" i="13"/>
  <c r="E4" i="13"/>
  <c r="D4" i="13"/>
  <c r="C4" i="13"/>
  <c r="E3" i="13"/>
  <c r="C3" i="13"/>
  <c r="E46" i="10"/>
  <c r="E45" i="10"/>
  <c r="C47" i="19"/>
  <c r="D45" i="10"/>
  <c r="E47" i="10"/>
  <c r="D46" i="19"/>
  <c r="C46" i="19"/>
  <c r="E48" i="19"/>
  <c r="D47" i="19"/>
  <c r="E46" i="19"/>
  <c r="D46" i="10"/>
  <c r="E47" i="19"/>
  <c r="C46" i="10"/>
  <c r="C45" i="10"/>
  <c r="C47" i="10" l="1"/>
  <c r="C48" i="19"/>
  <c r="D47" i="10"/>
  <c r="D48" i="19"/>
  <c r="B36" i="7"/>
  <c r="E47" i="5"/>
  <c r="D47" i="5"/>
  <c r="D44" i="5"/>
  <c r="C42" i="3"/>
  <c r="F44" i="5"/>
  <c r="F47" i="5"/>
  <c r="E48" i="5"/>
  <c r="F48" i="5"/>
  <c r="F44" i="3"/>
  <c r="C48" i="5"/>
  <c r="F43" i="3"/>
  <c r="F42" i="3"/>
  <c r="F45" i="5"/>
  <c r="E44" i="3"/>
  <c r="C46" i="5"/>
  <c r="C44" i="5"/>
  <c r="D48" i="5"/>
  <c r="E45" i="3"/>
  <c r="C45" i="5"/>
  <c r="E44" i="5"/>
  <c r="C47" i="5"/>
  <c r="D45" i="5"/>
  <c r="E46" i="5"/>
  <c r="C43" i="3"/>
  <c r="D45" i="3"/>
  <c r="C44" i="3"/>
  <c r="C45" i="3"/>
  <c r="F45" i="3"/>
  <c r="E45" i="5"/>
  <c r="D46" i="5"/>
  <c r="F46" i="5"/>
  <c r="E43" i="3"/>
  <c r="D42" i="3"/>
  <c r="E42" i="3"/>
  <c r="D43" i="3"/>
  <c r="D44" i="3"/>
</calcChain>
</file>

<file path=xl/sharedStrings.xml><?xml version="1.0" encoding="utf-8"?>
<sst xmlns="http://schemas.openxmlformats.org/spreadsheetml/2006/main" count="244" uniqueCount="161">
  <si>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</si>
  <si>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</si>
  <si>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</si>
  <si>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</si>
  <si>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</si>
  <si>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</si>
  <si>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</si>
  <si>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</si>
  <si>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</si>
  <si>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</si>
  <si>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</si>
  <si>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</si>
  <si>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</si>
  <si>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</si>
  <si>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</si>
  <si>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</si>
  <si>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</si>
  <si>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</si>
  <si>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</si>
  <si>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</si>
  <si>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</si>
  <si>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</si>
  <si>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</si>
  <si>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</si>
  <si>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</si>
  <si>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</si>
  <si>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</si>
  <si>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</si>
  <si>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</si>
  <si>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</si>
  <si>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</si>
  <si>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</si>
  <si>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</si>
  <si>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</si>
  <si>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</si>
  <si>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</si>
  <si>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</si>
  <si>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</si>
  <si>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</si>
  <si>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</si>
  <si>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</si>
  <si>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</si>
  <si>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</si>
  <si>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</si>
  <si>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</si>
  <si>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</si>
  <si>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</si>
  <si>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</si>
  <si>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</si>
  <si>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</si>
  <si>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</si>
  <si>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</si>
  <si>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</si>
  <si>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</si>
  <si>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</si>
  <si>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</si>
  <si>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</si>
  <si>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</si>
  <si>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</si>
  <si>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</si>
  <si>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</si>
  <si>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</si>
  <si>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</si>
  <si>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</si>
  <si>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</si>
  <si>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</si>
  <si>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</si>
  <si>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</si>
  <si>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</si>
  <si>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</si>
  <si>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</si>
  <si>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</si>
  <si>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</si>
  <si>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</si>
  <si>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</si>
  <si>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</si>
  <si>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</si>
  <si>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</si>
  <si>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</si>
  <si>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</si>
  <si>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</si>
  <si>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</si>
  <si>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</si>
  <si>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</si>
  <si>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</si>
  <si>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</si>
  <si>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</si>
  <si>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</si>
  <si>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</si>
  <si>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</si>
  <si>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</si>
  <si>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</si>
  <si>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</si>
  <si>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</si>
  <si>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</si>
  <si>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</si>
  <si>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</si>
  <si>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</si>
  <si>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</si>
  <si>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</si>
  <si>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</si>
  <si>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</si>
  <si>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</si>
  <si>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</si>
  <si>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</si>
  <si>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</si>
  <si>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</si>
  <si>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</si>
  <si>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</si>
  <si>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</si>
  <si>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</si>
  <si>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</si>
  <si>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</si>
  <si>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</si>
  <si>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</si>
  <si>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</si>
  <si>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</si>
  <si>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</si>
  <si>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</si>
  <si>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</si>
  <si>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</si>
  <si>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</si>
  <si>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</si>
  <si>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</si>
  <si>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</si>
  <si>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</si>
  <si>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</si>
  <si>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</si>
  <si>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</si>
  <si>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</si>
  <si>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</si>
  <si>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</si>
  <si>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</si>
  <si>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</si>
  <si>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</si>
  <si>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</si>
  <si>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</si>
  <si>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</si>
  <si>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</si>
  <si>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</si>
  <si>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</si>
  <si>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</si>
  <si>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</si>
  <si>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</si>
  <si>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</si>
  <si>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</si>
  <si>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</si>
  <si>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</si>
  <si>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</si>
  <si>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</si>
  <si>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</si>
  <si>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</si>
  <si>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</si>
  <si>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</si>
  <si>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</si>
  <si>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</si>
  <si>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</si>
  <si>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</si>
  <si>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 xml:space="preserve">CXP CONSTITUIDAS
</t>
  </si>
  <si>
    <t xml:space="preserve">CANCELACIONES CXP
 </t>
  </si>
  <si>
    <t>Ejecución  Presupuestal Acumulada al 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</si>
</sst>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left" wrapText="1"/>
    </xf>
    <xf numFmtId="0" fontId="10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16" fillId="2" borderId="0" xfId="0" applyFont="1" applyFill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/>
    <xf numFmtId="0" fontId="18" fillId="0" borderId="0" xfId="0" applyFont="1" applyAlignment="1">
      <alignment horizontal="left"/>
    </xf>
    <xf numFmtId="41" fontId="18" fillId="0" borderId="0" xfId="0" applyNumberFormat="1" applyFont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3" fillId="0" borderId="2" xfId="16" applyFont="1" applyBorder="1" applyAlignment="1">
      <alignment horizontal="center"/>
    </xf>
    <xf numFmtId="43" fontId="15" fillId="0" borderId="4" xfId="16" applyFont="1" applyBorder="1"/>
    <xf numFmtId="43" fontId="15" fillId="2" borderId="4" xfId="16" applyFont="1" applyFill="1" applyBorder="1"/>
    <xf numFmtId="10" fontId="11" fillId="0" borderId="0" xfId="0" applyNumberFormat="1" applyFont="1"/>
    <xf numFmtId="10" fontId="0" fillId="0" borderId="0" xfId="0" applyNumberFormat="1"/>
    <xf numFmtId="0" fontId="30" fillId="0" borderId="0" xfId="0" applyFont="1"/>
    <xf numFmtId="0" fontId="31" fillId="0" borderId="0" xfId="0" applyFont="1" applyAlignment="1">
      <alignment horizontal="left"/>
    </xf>
    <xf numFmtId="41" fontId="31" fillId="0" borderId="0" xfId="0" applyNumberFormat="1" applyFont="1"/>
    <xf numFmtId="10" fontId="31" fillId="0" borderId="0" xfId="13" applyNumberFormat="1" applyFont="1" applyFill="1" applyBorder="1"/>
    <xf numFmtId="41" fontId="31" fillId="0" borderId="0" xfId="1" applyFont="1" applyFill="1" applyBorder="1"/>
    <xf numFmtId="0" fontId="30" fillId="0" borderId="0" xfId="0" applyFont="1" applyAlignment="1">
      <alignment horizontal="left"/>
    </xf>
    <xf numFmtId="41" fontId="30" fillId="0" borderId="0" xfId="0" applyNumberFormat="1" applyFont="1"/>
    <xf numFmtId="0" fontId="31" fillId="0" borderId="0" xfId="0" applyFont="1"/>
    <xf numFmtId="10" fontId="31" fillId="0" borderId="0" xfId="13" applyNumberFormat="1" applyFont="1" applyFill="1"/>
    <xf numFmtId="0" fontId="29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168" fontId="33" fillId="0" borderId="0" xfId="0" applyNumberFormat="1" applyFont="1"/>
    <xf numFmtId="9" fontId="33" fillId="0" borderId="0" xfId="13" applyFont="1" applyFill="1" applyBorder="1"/>
    <xf numFmtId="10" fontId="33" fillId="0" borderId="0" xfId="13" applyNumberFormat="1" applyFont="1" applyFill="1" applyBorder="1"/>
    <xf numFmtId="0" fontId="32" fillId="0" borderId="0" xfId="0" applyFont="1" applyAlignment="1">
      <alignment horizontal="left"/>
    </xf>
    <xf numFmtId="168" fontId="32" fillId="0" borderId="0" xfId="1" applyNumberFormat="1" applyFont="1" applyFill="1" applyBorder="1"/>
    <xf numFmtId="10" fontId="32" fillId="0" borderId="0" xfId="13" applyNumberFormat="1" applyFont="1" applyFill="1" applyBorder="1"/>
    <xf numFmtId="41" fontId="32" fillId="0" borderId="0" xfId="0" applyNumberFormat="1" applyFont="1"/>
    <xf numFmtId="9" fontId="32" fillId="0" borderId="0" xfId="13" applyFont="1" applyFill="1" applyBorder="1"/>
    <xf numFmtId="167" fontId="32" fillId="0" borderId="0" xfId="13" applyNumberFormat="1" applyFont="1" applyFill="1" applyBorder="1"/>
    <xf numFmtId="10" fontId="30" fillId="0" borderId="0" xfId="13" applyNumberFormat="1" applyFont="1" applyFill="1"/>
    <xf numFmtId="10" fontId="16" fillId="0" borderId="0" xfId="0" applyNumberFormat="1" applyFont="1"/>
    <xf numFmtId="10" fontId="30" fillId="0" borderId="0" xfId="13" applyNumberFormat="1" applyFont="1" applyFill="1" applyBorder="1"/>
    <xf numFmtId="43" fontId="15" fillId="9" borderId="4" xfId="16" applyFont="1" applyFill="1" applyBorder="1"/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5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{F7B1B4EF-A93E-42BF-90F0-4AB72C8893A8}</c15:txfldGUID>
                  <c15:f>'EJECUCIÓN CUENTA POR PAGAR '!$E$46</c15:f>
                  <c15:dlblFieldTableCache>
                    <c:ptCount val="1"/>
                    <c:pt idx="0">
                      <c:v>86,88%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{69BF7C87-0A8A-4E75-8F35-E2BE6F5045AC}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'!$E$46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'!$E$46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'!$E$46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86,88%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{8AD65BB2-A85F-4FDB-99E5-B57E2272918D}</c15:txfldGUID>
                      <c15:f>'EJECUCIÓN CUENTA POR PAGAR '!$E$46</c15:f>
                      <c15:dlblFieldTableCache>
                        <c:ptCount val="1"/>
                        <c:pt idx="0">
                          <c:v>86,88%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{B992AF69-0941-4D72-96B3-C7331764E2BE}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{6C0C6324-98EA-4C8B-A1F8-461ED25B5D55}</c15:txfldGUID>
                  <c15:f>'EJECUCIÓN CUENTA POR PAGAR '!$E$48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{85623CD7-8091-43DE-8F5F-4C34702AACBF}</c15:txfldGUID>
                      <c15:f>'EJECUCIÓN CUENTA POR PAGAR '!$E$48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49,28%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{FAE0AA87-A89F-4E5F-AAE7-C314CE286068}</c15:txfldGUID>
                  <c15:f>'APR VS RP  Y OBLIGACIÓN Y PAGO'!$D$42</c15:f>
                  <c15:dlblFieldTableCache>
                    <c:ptCount val="1"/>
                    <c:pt idx="0">
                      <c:v>49,28%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59,70%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{D57804EC-B081-47D6-B3D1-AA6B7F436277}</c15:txfldGUID>
                  <c15:f>'APR VS RP  Y OBLIGACIÓN Y PAGO'!$D$43</c15:f>
                  <c15:dlblFieldTableCache>
                    <c:ptCount val="1"/>
                    <c:pt idx="0">
                      <c:v>59,70%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96,42%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{1A3980B2-5EB8-4FB9-9422-6D8D4AC92506}</c15:txfldGUID>
                  <c15:f>'APR VS RP  Y OBLIGACIÓN Y PAGO'!$D$44</c15:f>
                  <c15:dlblFieldTableCache>
                    <c:ptCount val="1"/>
                    <c:pt idx="0">
                      <c:v>96,42%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44,66%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{644E6CE5-0C8D-4864-B580-1132FF64D6C7}</c15:txfldGUID>
                  <c15:f>'APR VS RP  Y OBLIGACIÓN Y PAGO'!$E$42</c15:f>
                  <c15:dlblFieldTableCache>
                    <c:ptCount val="1"/>
                    <c:pt idx="0">
                      <c:v>44,66%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59,70%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{02A1BEC0-F97A-4970-A429-A5281AE430C5}</c15:txfldGUID>
                  <c15:f>'APR VS RP  Y OBLIGACIÓN Y PAGO'!$E$43</c15:f>
                  <c15:dlblFieldTableCache>
                    <c:ptCount val="1"/>
                    <c:pt idx="0">
                      <c:v>59,70%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7,95%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{1ABF26F0-DC4B-4C6E-AEBA-3BC4BD8887B9}</c15:txfldGUID>
                  <c15:f>'APR VS RP  Y OBLIGACIÓN Y PAGO'!$E$44</c15:f>
                  <c15:dlblFieldTableCache>
                    <c:ptCount val="1"/>
                    <c:pt idx="0">
                      <c:v>7,95%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43,41%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{D637E23C-81E6-4E18-8F50-AB9928AF0539}</c15:txfldGUID>
                  <c15:f>'APR VS RP  Y OBLIGACIÓN Y PAGO'!$F$42</c15:f>
                  <c15:dlblFieldTableCache>
                    <c:ptCount val="1"/>
                    <c:pt idx="0">
                      <c:v>43,41%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59,70%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{387B6855-D364-4154-8B0A-283D7721DC99}</c15:txfldGUID>
                  <c15:f>'APR VS RP  Y OBLIGACIÓN Y PAGO'!$F$43</c15:f>
                  <c15:dlblFieldTableCache>
                    <c:ptCount val="1"/>
                    <c:pt idx="0">
                      <c:v>59,70%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7,94%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{BA1651AC-870B-40D4-854E-B9510981F833}</c15:txfldGUID>
                  <c15:f>'APR VS RP  Y OBLIGACIÓN Y PAGO'!$F$44</c15:f>
                  <c15:dlblFieldTableCache>
                    <c:ptCount val="1"/>
                    <c:pt idx="0">
                      <c:v>7,94%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49,28%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{BE999F05-09C2-4FBC-B402-3B74C8B025FB}</c15:txfldGUID>
                      <c15:f>'APR VS RP  Y OBLIGACIÓN Y PAGO'!$D$42</c15:f>
                      <c15:dlblFieldTableCache>
                        <c:ptCount val="1"/>
                        <c:pt idx="0">
                          <c:v>49,28%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59,70%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{A00F2D8C-B6C0-4B7B-A912-C2CDE6B9F439}</c15:txfldGUID>
                      <c15:f>'APR VS RP  Y OBLIGACIÓN Y PAGO'!$D$43</c15:f>
                      <c15:dlblFieldTableCache>
                        <c:ptCount val="1"/>
                        <c:pt idx="0">
                          <c:v>59,70%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5.173499436174879E-2"/>
                  <c:y val="-1.2869966076227953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96,42%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{B7F0E242-F572-472A-A5FF-0D15363A7854}</c15:txfldGUID>
                      <c15:f>'APR VS RP  Y OBLIGACIÓN Y PAGO'!$D$44</c15:f>
                      <c15:dlblFieldTableCache>
                        <c:ptCount val="1"/>
                        <c:pt idx="0">
                          <c:v>96,42%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49170.518791320006</c:v>
                </c:pt>
                <c:pt idx="1">
                  <c:v>697064.47182199999</c:v>
                </c:pt>
                <c:pt idx="2">
                  <c:v>4344034.0607860601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44,66%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{D4E60634-83D3-4F13-9D07-648DAA5DDC74}</c15:txfldGUID>
                      <c15:f>'APR VS RP  Y OBLIGACIÓN Y PAGO'!$E$42</c15:f>
                      <c15:dlblFieldTableCache>
                        <c:ptCount val="1"/>
                        <c:pt idx="0">
                          <c:v>44,66%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59,70%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{70076059-F3F2-4573-80E7-6D09897731FE}</c15:txfldGUID>
                      <c15:f>'APR VS RP  Y OBLIGACIÓN Y PAGO'!$E$43</c15:f>
                      <c15:dlblFieldTableCache>
                        <c:ptCount val="1"/>
                        <c:pt idx="0">
                          <c:v>59,70%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3.4573502550783196E-2"/>
                  <c:y val="-3.9191430798663093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7,95%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{952261D2-959D-4D29-B9F0-A848F6FC53FF}</c15:txfldGUID>
                      <c15:f>'APR VS RP  Y OBLIGACIÓN Y PAGO'!$E$44</c15:f>
                      <c15:dlblFieldTableCache>
                        <c:ptCount val="1"/>
                        <c:pt idx="0">
                          <c:v>7,95%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44561.385595300002</c:v>
                </c:pt>
                <c:pt idx="1">
                  <c:v>697064.47182199999</c:v>
                </c:pt>
                <c:pt idx="2">
                  <c:v>358063.88634341996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ser>
          <c:idx val="3"/>
          <c:order val="3"/>
          <c:tx>
            <c:strRef>
              <c:f>'APR VS RP  Y OBLIGACIÓN Y PAGO'!$D$42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A-E6CC-45AB-A8A4-1667F93406DB}"/>
              </c:ext>
            </c:extLst>
          </c:dPt>
          <c:dLbls>
            <c:dLbl>
              <c:idx val="0"/>
              <c:layout>
                <c:manualLayout>
                  <c:x val="4.1576721279954376E-2"/>
                  <c:y val="-2.0592024765557975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43,41%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{00ECDE35-9595-468B-B4EF-EE17881FA6F5}</c15:txfldGUID>
                      <c15:f>'APR VS RP  Y OBLIGACIÓN Y PAGO'!$F$42</c15:f>
                      <c15:dlblFieldTableCache>
                        <c:ptCount val="1"/>
                        <c:pt idx="0">
                          <c:v>43,41%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6CC-45AB-A8A4-1667F93406DB}"/>
                </c:ext>
              </c:extLst>
            </c:dLbl>
            <c:dLbl>
              <c:idx val="1"/>
              <c:layout>
                <c:manualLayout>
                  <c:x val="5.6307887493506355E-2"/>
                  <c:y val="-2.5998391072446714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59,70%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{FCD27EBE-2B01-433F-8EA8-2C2E7CA8DD58}</c15:txfldGUID>
                      <c15:f>'APR VS RP  Y OBLIGACIÓN Y PAGO'!$F$43</c15:f>
                      <c15:dlblFieldTableCache>
                        <c:ptCount val="1"/>
                        <c:pt idx="0">
                          <c:v>59,70%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6CC-45AB-A8A4-1667F93406DB}"/>
                </c:ext>
              </c:extLst>
            </c:dLbl>
            <c:dLbl>
              <c:idx val="2"/>
              <c:layout>
                <c:manualLayout>
                  <c:x val="5.9763932493655338E-2"/>
                  <c:y val="-2.8830843207682963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7,94%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{11F0A5A5-C856-4D5A-B573-E6E7412257A2}</c15:txfldGUID>
                      <c15:f>'APR VS RP  Y OBLIGACIÓN Y PAGO'!$F$44</c15:f>
                      <c15:dlblFieldTableCache>
                        <c:ptCount val="1"/>
                        <c:pt idx="0">
                          <c:v>7,94%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43321.505879300006</c:v>
                </c:pt>
                <c:pt idx="1">
                  <c:v>697064.47182199999</c:v>
                </c:pt>
                <c:pt idx="2">
                  <c:v>357678.26950241998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799221989170927E-2"/>
              <c:y val="-3.5008454625033401E-2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56,77%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338162091192105E-2"/>
                  <c:h val="3.5865008726477923E-2"/>
                </c:manualLayout>
              </c15:layout>
              <c15:dlblFieldTable>
                <c15:dlblFTEntry>
                  <c15:txfldGUID>{ADEA4F49-E26F-47D6-A9A5-8DA35A2C08F8}</c15:txfldGUID>
                  <c15:f>'APR,RP´S,OBL Y PAGO FUNCIONAMIE'!$F$45</c15:f>
                  <c15:dlblFieldTableCache>
                    <c:ptCount val="1"/>
                    <c:pt idx="0">
                      <c:v>56,77%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4794832337668779E-2"/>
              <c:y val="-1.1236006372231959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58,14%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{6D6F28C8-D86B-479C-93CA-2F2DCECBF650}</c15:txfldGUID>
                  <c15:f>'APR,RP´S,OBL Y PAGO FUNCIONAMIE'!$E$45</c15:f>
                  <c15:dlblFieldTableCache>
                    <c:ptCount val="1"/>
                    <c:pt idx="0">
                      <c:v>58,14%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9785222331072616E-2"/>
              <c:y val="2.7083072807642327E-3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58,83%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{D21058AA-63C0-4810-BB86-DB54BB9641CA}</c15:txfldGUID>
                  <c15:f>'APR,RP´S,OBL Y PAGO FUNCIONAMIE'!$F$44</c15:f>
                  <c15:dlblFieldTableCache>
                    <c:ptCount val="1"/>
                    <c:pt idx="0">
                      <c:v>58,83%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81,87%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{5D8F4A41-C06D-4530-BA66-968BFD6A361A}</c15:txfldGUID>
                  <c15:f>'APR,RP´S,OBL Y PAGO FUNCIONAMIE'!$D$45</c15:f>
                  <c15:dlblFieldTableCache>
                    <c:ptCount val="1"/>
                    <c:pt idx="0">
                      <c:v>81,87%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6184722843036922E-2"/>
              <c:y val="-1.4614811633129081E-3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60,59%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3998075675607719E-2"/>
                  <c:h val="3.6454603285070386E-2"/>
                </c:manualLayout>
              </c15:layout>
              <c15:dlblFieldTable>
                <c15:dlblFTEntry>
                  <c15:txfldGUID>{A595A3A1-A2B1-4DB8-A1C4-D279D6BE1AE2}</c15:txfldGUID>
                  <c15:f>'APR,RP´S,OBL Y PAGO FUNCIONAMIE'!$E$44</c15:f>
                  <c15:dlblFieldTableCache>
                    <c:ptCount val="1"/>
                    <c:pt idx="0">
                      <c:v>60,59%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60,59%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{167DED15-CC85-4501-BB6B-0F7213A98A44}</c15:txfldGUID>
                  <c15:f>'APR,RP´S,OBL Y PAGO FUNCIONAMIE'!$D$44</c15:f>
                  <c15:dlblFieldTableCache>
                    <c:ptCount val="1"/>
                    <c:pt idx="0">
                      <c:v>60,59%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1327041907439347E-2"/>
              <c:y val="-2.7888627305992182E-2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14,08%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{3448323C-E786-491C-9B70-0B95BE161425}</c15:txfldGUID>
                  <c15:f>'APR,RP´S,OBL Y PAGO FUNCIONAMIE'!$D$46</c15:f>
                  <c15:dlblFieldTableCache>
                    <c:ptCount val="1"/>
                    <c:pt idx="0">
                      <c:v>14,08%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8160555230856752E-2"/>
              <c:y val="-1.65721524768518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9.9463055827680915E-3"/>
              <c:y val="-2.4911946847322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13,62%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{9050F52D-4735-4F36-9230-790A41F88B21}</c15:txfldGUID>
                  <c15:f>'APR,RP´S,OBL Y PAGO FUNCIONAMIE'!$F$46</c15:f>
                  <c15:dlblFieldTableCache>
                    <c:ptCount val="1"/>
                    <c:pt idx="0">
                      <c:v>13,62%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tx>
            <c:strRef>
              <c:f>'APR,RP´S,OBL Y PAGO FUNCIONAMIE'!$E$46</c:f>
              <c:strCache>
                <c:ptCount val="1"/>
                <c:pt idx="0">
                  <c:v>14,08%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{C02F5439-C227-4FC8-8B0B-B08CDE024B36}</c15:txfldGUID>
                  <c15:f>'APR,RP´S,OBL Y PAGO FUNCIONAMIE'!$E$46</c15:f>
                  <c15:dlblFieldTableCache>
                    <c:ptCount val="1"/>
                    <c:pt idx="0">
                      <c:v>14,08%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3193551750483369E-2"/>
              <c:y val="-1.9334177889660246E-2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{72E3FD0F-D301-44C5-BC1C-2F220E9224B5}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5226796838926178E-2"/>
              <c:y val="-5.5240508256172421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{5E90734D-2C48-439E-9666-9577875A48AF}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81583920398943E-2"/>
              <c:y val="8.2860762384258622E-3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{7CD6FE60-3274-4B10-9FFA-E718BB89EA45}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7354722185743902E-3"/>
              <c:y val="-1.104810165123448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FUNCIONAMIE'!$F$45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490A-41BA-A430-F1FA2F9F4A04}"/>
              </c:ext>
            </c:extLst>
          </c:dPt>
          <c:dLbls>
            <c:dLbl>
              <c:idx val="1"/>
              <c:layout>
                <c:manualLayout>
                  <c:x val="1.8160555230856752E-2"/>
                  <c:y val="-1.6572152476851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9.9463055827680915E-3"/>
                  <c:y val="-2.49119468473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dLbl>
              <c:idx val="3"/>
              <c:layout>
                <c:manualLayout>
                  <c:x val="1.7354722185743902E-3"/>
                  <c:y val="-1.104810165123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0A-41BA-A430-F1FA2F9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FUNCIONAMIE'!$F$45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60,59%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{A618F242-2431-4964-8E37-98479B5BDA55}</c15:txfldGUID>
                      <c15:f>'APR,RP´S,OBL Y PAGO FUNCIONAMIE'!$D$44</c15:f>
                      <c15:dlblFieldTableCache>
                        <c:ptCount val="1"/>
                        <c:pt idx="0">
                          <c:v>60,59%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81,87%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{A10686E0-CCE7-44F5-864F-911E3C9A7988}</c15:txfldGUID>
                      <c15:f>'APR,RP´S,OBL Y PAGO FUNCIONAMIE'!$D$45</c15:f>
                      <c15:dlblFieldTableCache>
                        <c:ptCount val="1"/>
                        <c:pt idx="0">
                          <c:v>81,87%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1327041907439347E-2"/>
                  <c:y val="-2.7888627305992182E-2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14,08%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{79EB5C5D-1323-493F-B56B-E231BDE8725C}</c15:txfldGUID>
                      <c15:f>'APR,RP´S,OBL Y PAGO FUNCIONAMIE'!$D$46</c15:f>
                      <c15:dlblFieldTableCache>
                        <c:ptCount val="1"/>
                        <c:pt idx="0">
                          <c:v>14,08%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3193551750483369E-2"/>
                  <c:y val="-1.9334177889660246E-2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{37266859-D6D7-40BC-BC73-252E86BC881B}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31180.192670389999</c:v>
                </c:pt>
                <c:pt idx="1">
                  <c:v>15898.931180270001</c:v>
                </c:pt>
                <c:pt idx="2">
                  <c:v>2091.39494066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FUNCIONAMIE'!$F$45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2.6184722843036922E-2"/>
                  <c:y val="-1.4614811633129081E-3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60,59%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98075675607719E-2"/>
                      <c:h val="3.6454603285070386E-2"/>
                    </c:manualLayout>
                  </c15:layout>
                  <c15:dlblFieldTable>
                    <c15:dlblFTEntry>
                      <c15:txfldGUID>{80EAAE4F-79F7-42E3-A96F-B490380CCBE2}</c15:txfldGUID>
                      <c15:f>'APR,RP´S,OBL Y PAGO FUNCIONAMIE'!$E$44</c15:f>
                      <c15:dlblFieldTableCache>
                        <c:ptCount val="1"/>
                        <c:pt idx="0">
                          <c:v>60,59%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4794832337668779E-2"/>
                  <c:y val="-1.1236006372231959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58,14%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{8BE8B81E-5617-4AB5-BA30-381DA9BAB1B1}</c15:txfldGUID>
                      <c15:f>'APR,RP´S,OBL Y PAGO FUNCIONAMIE'!$E$45</c15:f>
                      <c15:dlblFieldTableCache>
                        <c:ptCount val="1"/>
                        <c:pt idx="0">
                          <c:v>58,14%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tx>
                <c:strRef>
                  <c:f>'APR,RP´S,OBL Y PAGO FUNCIONAMIE'!$E$46</c:f>
                  <c:strCache>
                    <c:ptCount val="1"/>
                    <c:pt idx="0">
                      <c:v>14,08%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{FEF66705-9D35-47A3-BCC8-94176D1F964D}</c15:txfldGUID>
                      <c15:f>'APR,RP´S,OBL Y PAGO FUNCIONAMIE'!$E$46</c15:f>
                      <c15:dlblFieldTableCache>
                        <c:ptCount val="1"/>
                        <c:pt idx="0">
                          <c:v>14,08%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2.5226796838926178E-2"/>
                  <c:y val="-5.5240508256172421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{B6A78FDB-E91F-4C66-9DCE-ACF5C75B617D}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31180.192670389999</c:v>
                </c:pt>
                <c:pt idx="1">
                  <c:v>11289.797984250001</c:v>
                </c:pt>
                <c:pt idx="2">
                  <c:v>2091.39494066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FUNCIONAMIE'!$F$45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02A-417B-8088-C82007E187AB}"/>
              </c:ext>
            </c:extLst>
          </c:dPt>
          <c:dLbls>
            <c:dLbl>
              <c:idx val="0"/>
              <c:layout>
                <c:manualLayout>
                  <c:x val="3.9785222331072616E-2"/>
                  <c:y val="2.7083072807642327E-3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58,83%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{3836F4D6-894E-42BB-BDE0-D196C2BC705C}</c15:txfldGUID>
                      <c15:f>'APR,RP´S,OBL Y PAGO FUNCIONAMIE'!$F$44</c15:f>
                      <c15:dlblFieldTableCache>
                        <c:ptCount val="1"/>
                        <c:pt idx="0">
                          <c:v>58,83%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3.799221989170927E-2"/>
                  <c:y val="-3.5008454625033401E-2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56,77%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338162091192105E-2"/>
                      <c:h val="3.5865008726477923E-2"/>
                    </c:manualLayout>
                  </c15:layout>
                  <c15:dlblFieldTable>
                    <c15:dlblFTEntry>
                      <c15:txfldGUID>{CA32E0BC-B338-4894-818A-C7F3A656F42A}</c15:txfldGUID>
                      <c15:f>'APR,RP´S,OBL Y PAGO FUNCIONAMIE'!$F$45</c15:f>
                      <c15:dlblFieldTableCache>
                        <c:ptCount val="1"/>
                        <c:pt idx="0">
                          <c:v>56,77%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2963418279874331E-2"/>
                  <c:y val="-1.0127309522087815E-16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13,62%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{DE95B74D-7C99-4987-8A15-7718001BE325}</c15:txfldGUID>
                      <c15:f>'APR,RP´S,OBL Y PAGO FUNCIONAMIE'!$F$46</c15:f>
                      <c15:dlblFieldTableCache>
                        <c:ptCount val="1"/>
                        <c:pt idx="0">
                          <c:v>13,62%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02A-417B-8088-C82007E187AB}"/>
                </c:ext>
              </c:extLst>
            </c:dLbl>
            <c:dLbl>
              <c:idx val="3"/>
              <c:layout>
                <c:manualLayout>
                  <c:x val="4.3281583920398943E-2"/>
                  <c:y val="8.2860762384258622E-3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{C8130622-2EB6-402A-9D1E-5EB95CC08908}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30274.485708389999</c:v>
                </c:pt>
                <c:pt idx="1">
                  <c:v>11024.51348725</c:v>
                </c:pt>
                <c:pt idx="2">
                  <c:v>2022.5066836599999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4344034060786.0596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358063886343.41986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357678269502.41986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agosto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52189.047171860002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78,93%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{CE591EF9-D78B-46D9-B51D-569F05DF7EE5}</c15:txfldGUID>
                  <c15:f>'EJECUCIÓN  RESERVA'!$E$47</c15:f>
                  <c15:dlblFieldTableCache>
                    <c:ptCount val="1"/>
                    <c:pt idx="0">
                      <c:v>78,93%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78,93%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{D54C5558-EC68-40EE-8DC3-7F83A525C48C}</c15:txfldGUID>
                      <c15:f>'EJECUCIÓN  RESERVA'!$E$47</c15:f>
                      <c15:dlblFieldTableCache>
                        <c:ptCount val="1"/>
                        <c:pt idx="0">
                          <c:v>78,93%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43766.223890909998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78,07%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{2663D3F3-0F34-4411-AF56-E6DB2EA5DF19}</c15:txfldGUID>
                  <c15:f>'EJECUCIÓN  RESERVA'!$E$46</c15:f>
                  <c15:dlblFieldTableCache>
                    <c:ptCount val="1"/>
                    <c:pt idx="0">
                      <c:v>78,07%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99,26%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{FD795D95-5EED-4D2D-B550-D69DBD08A49E}</c15:txfldGUID>
                  <c15:f>'EJECUCIÓN  RESERVA'!$E$45</c15:f>
                  <c15:dlblFieldTableCache>
                    <c:ptCount val="1"/>
                    <c:pt idx="0">
                      <c:v>99,26%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1008.21884273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99,26%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{FDCD73C9-0525-443A-80B4-A3255539F796}</c15:txfldGUID>
                      <c15:f>'EJECUCIÓN  RESERVA'!$E$45</c15:f>
                      <c15:dlblFieldTableCache>
                        <c:ptCount val="1"/>
                        <c:pt idx="0">
                          <c:v>99,26%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78,07%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{C1559F0A-B68C-4392-B1AB-E43846D2647D}</c15:txfldGUID>
                      <c15:f>'EJECUCIÓN  RESERVA'!$E$46</c15:f>
                      <c15:dlblFieldTableCache>
                        <c:ptCount val="1"/>
                        <c:pt idx="0">
                          <c:v>78,07%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2233.0090866599999</c:v>
                </c:pt>
                <c:pt idx="1">
                  <c:v>41533.214804249998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Agosto_2022.xlsx]PART.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agosto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5.xml"/><Relationship Id="rId6" Type="http://schemas.microsoft.com/office/2007/relationships/hdphoto" Target="../media/hdphoto2.wdp"/><Relationship Id="rId5" Type="http://schemas.openxmlformats.org/officeDocument/2006/relationships/image" Target="../media/image8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31 de agosto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3</xdr:col>
      <xdr:colOff>139542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agosto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7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420040</xdr:colOff>
      <xdr:row>29</xdr:row>
      <xdr:rowOff>96773</xdr:rowOff>
    </xdr:from>
    <xdr:to>
      <xdr:col>6</xdr:col>
      <xdr:colOff>406793</xdr:colOff>
      <xdr:row>54</xdr:row>
      <xdr:rowOff>161772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agosto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937600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agosto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685223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37619</xdr:colOff>
      <xdr:row>29</xdr:row>
      <xdr:rowOff>86879</xdr:rowOff>
    </xdr:from>
    <xdr:to>
      <xdr:col>5</xdr:col>
      <xdr:colOff>574387</xdr:colOff>
      <xdr:row>55</xdr:row>
      <xdr:rowOff>48971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1628774</xdr:colOff>
      <xdr:row>0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199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agosto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161925</xdr:rowOff>
    </xdr:from>
    <xdr:to>
      <xdr:col>7</xdr:col>
      <xdr:colOff>247650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agosto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776231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agosto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04821" y="2228850"/>
          <a:ext cx="11153778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400051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2747529</xdr:colOff>
      <xdr:row>0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agosto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271318</xdr:colOff>
      <xdr:row>12</xdr:row>
      <xdr:rowOff>865</xdr:rowOff>
    </xdr:from>
    <xdr:to>
      <xdr:col>5</xdr:col>
      <xdr:colOff>912090</xdr:colOff>
      <xdr:row>35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agosto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Gr&#225;ficas%20Presupuesto%20de%20Gastos%20Vigencia_Reservas_CxP%20Cierre%20Mes%20de%20Julio_2022%20-%20copia.xlsx?7FB9E67A" TargetMode="External"/><Relationship Id="rId2" Type="http://schemas.openxmlformats.org/officeDocument/2006/relationships/externalLinkPath" Target="file:///\\7FB9E67A\Gr&#225;ficas%20Presupuesto%20de%20Gastos%20Vigencia_Reservas_CxP%20Cierre%20Mes%20de%20Julio_2022%20-%20copi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3" Type="http://schemas.microsoft.com/office/2019/04/relationships/externalLinkLongPath" Target="Gr&#225;ficas%20Presupuesto%20de%20Gastos%20Vigencia_Reservas_CxP%20Cierre%20Mes%20de%20Julio_2022%20-%20copia.xlsx?7FB9E67A" TargetMode="External"/><Relationship Id="rId2" Type="http://schemas.openxmlformats.org/officeDocument/2006/relationships/externalLinkPath" Target="file:///\\7FB9E67A\Gr&#225;ficas%20Presupuesto%20de%20Gastos%20Vigencia_Reservas_CxP%20Cierre%20Mes%20de%20Julio_2022%20-%20copia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3" Type="http://schemas.microsoft.com/office/2019/04/relationships/externalLinkLongPath" Target="Gr&#225;ficas%20Presupuesto%20de%20Gastos%20Vigencia_Reservas_CxP%20Cierre%20Mes%20de%20Julio_2022%20-%20copia.xlsx?7FB9E67A" TargetMode="External"/><Relationship Id="rId2" Type="http://schemas.openxmlformats.org/officeDocument/2006/relationships/externalLinkPath" Target="file:///\\7FB9E67A\Gr&#225;ficas%20Presupuesto%20de%20Gastos%20Vigencia_Reservas_CxP%20Cierre%20Mes%20de%20Julio_2022%20-%20copi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3" Type="http://schemas.microsoft.com/office/2019/04/relationships/externalLinkLongPath" Target="Gr&#225;ficas%20Presupuesto%20de%20Gastos%20Vigencia_Reservas_CxP%20Cierre%20Mes%20de%20Julio_2022%20-%20copia.xlsx?7FB9E67A" TargetMode="External"/><Relationship Id="rId2" Type="http://schemas.openxmlformats.org/officeDocument/2006/relationships/externalLinkPath" Target="file:///\\7FB9E67A\Gr&#225;ficas%20Presupuesto%20de%20Gastos%20Vigencia_Reservas_CxP%20Cierre%20Mes%20de%20Julio_2022%20-%20copia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1296296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1643519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2337965" createdVersion="6" refreshedVersion="8" minRefreshableVersion="3" recordCount="7" xr:uid="{00000000-000A-0000-FFFF-FFFF21000000}">
  <cacheSource type="worksheet">
    <worksheetSource ref="A1:G8" sheet="Resumen Eje Egreso" r:id="rId2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50735.2991513899"/>
    </cacheField>
    <cacheField name="COMPROMISOS_x000a_ ACUMULADOS" numFmtId="168">
      <sharedItems containsSemiMixedTypes="0" containsString="0" containsNumber="1" minValue="0" maxValue="4344034.0607860601"/>
    </cacheField>
    <cacheField name="OBLIGACIONES_x000a_ ACUMULADAS" numFmtId="168">
      <sharedItems containsSemiMixedTypes="0" containsString="0" containsNumber="1" minValue="0" maxValue="697064.47182199999"/>
    </cacheField>
    <cacheField name="PAGOS_x000a_A CUMULADOS" numFmtId="168">
      <sharedItems containsSemiMixedTypes="0" containsString="0" containsNumber="1" minValue="0" maxValue="697064.471821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3263889" createdVersion="8" refreshedVersion="8" minRefreshableVersion="3" recordCount="35" xr:uid="{43C55DC2-2A1A-4A14-87E7-DE790057C0A3}">
  <cacheSource type="worksheet">
    <worksheetSource ref="B1:H36" sheet="INVERSIÓN" r:id="rId2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55653740" maxValue="326484319237"/>
    </cacheField>
    <cacheField name="COMPROMISOS_x000a_ ACUMULADOS" numFmtId="4">
      <sharedItems containsSemiMixedTypes="0" containsString="0" containsNumber="1" minValue="79902061.659999996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3726851" createdVersion="6" refreshedVersion="8" minRefreshableVersion="3" recordCount="2" xr:uid="{00000000-000A-0000-FFFF-FFFF15000000}">
  <cacheSource type="worksheet">
    <worksheetSource ref="B8:C10" sheet="Reservas Presupuestales" r:id="rId2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4">
      <sharedItems containsSemiMixedTypes="0" containsString="0" containsNumber="1" minValue="2249.6486331999999" maxValue="52189.04717186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816.382924305559" createdVersion="6" refreshedVersion="8" minRefreshableVersion="3" recordCount="2" xr:uid="{00000000-000A-0000-FFFF-FFFF12000000}">
  <cacheSource type="worksheet">
    <worksheetSource ref="B2:E4" sheet="Reservas Presupuestales" r:id="rId2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43">
      <sharedItems containsSemiMixedTypes="0" containsString="0" containsNumber="1" minValue="2249.6486331999999" maxValue="53197.266014589994"/>
    </cacheField>
    <cacheField name="CANCELACIONES RESERVAS PRESUPUESTALES_x000a_ (2)" numFmtId="0">
      <sharedItems containsSemiMixedTypes="0" containsString="0" containsNumber="1" minValue="0" maxValue="1008.21884273"/>
    </cacheField>
    <cacheField name="TOTAL PAGOS_x000a_ACUMULADOS_x000a_(5)" numFmtId="4">
      <sharedItems containsSemiMixedTypes="0" containsString="0" containsNumber="1" minValue="2233.0090866599999" maxValue="41533.21480424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8919.307997979995"/>
    <n v="49170.518791320006"/>
    <n v="44561.385595300002"/>
    <n v="43321.505879300006"/>
  </r>
  <r>
    <s v="A-01"/>
    <x v="1"/>
    <n v="51464.345000000001"/>
    <n v="49182.286999999997"/>
    <n v="31180.192670389999"/>
    <n v="31180.192670389999"/>
    <n v="30274.485708389999"/>
  </r>
  <r>
    <s v="A-02"/>
    <x v="2"/>
    <n v="19419.071"/>
    <n v="16892.912915339999"/>
    <n v="15898.931180270001"/>
    <n v="11289.797984250001"/>
    <n v="11024.51348725"/>
  </r>
  <r>
    <s v="A-03"/>
    <x v="3"/>
    <n v="14851.09737"/>
    <n v="2844.1080826400002"/>
    <n v="2091.39494066"/>
    <n v="2091.39494066"/>
    <n v="2022.5066836599999"/>
  </r>
  <r>
    <s v="A-08"/>
    <x v="4"/>
    <n v="14051.472"/>
    <n v="0"/>
    <n v="0"/>
    <n v="0"/>
    <n v="0"/>
  </r>
  <r>
    <s v="B"/>
    <x v="5"/>
    <n v="1167604.3350470001"/>
    <n v="697064.47182199999"/>
    <n v="697064.47182199999"/>
    <n v="697064.47182199999"/>
    <n v="697064.47182199999"/>
  </r>
  <r>
    <s v="C"/>
    <x v="6"/>
    <n v="4505182.0250120005"/>
    <n v="4350735.2991513899"/>
    <n v="4344034.0607860601"/>
    <n v="358063.88634341996"/>
    <n v="357678.2695024199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949729986.59"/>
    <n v="11496777869.18"/>
    <n v="6708678522.3400002"/>
    <n v="6650800702.3400002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4391290743.8699999"/>
    <n v="2303964423.7199998"/>
    <n v="1413785948.22"/>
    <n v="1215968509.22"/>
  </r>
  <r>
    <s v="C-2403-0600-4"/>
    <x v="24"/>
    <n v="2257022926"/>
    <n v="2077848175.5"/>
    <n v="2047563297.77"/>
    <n v="1163760455.77"/>
    <n v="1162460455.77"/>
  </r>
  <r>
    <s v="C-2403-0600-5"/>
    <x v="25"/>
    <n v="3785000000"/>
    <n v="3231206898"/>
    <n v="3231206898"/>
    <n v="530764770.92000002"/>
    <n v="530764770.92000002"/>
  </r>
  <r>
    <s v="C-2404-0600-2"/>
    <x v="26"/>
    <n v="76235881312"/>
    <n v="67875461101.620003"/>
    <n v="66305133313.620003"/>
    <n v="16340887254.129999"/>
    <n v="16340887254.129999"/>
  </r>
  <r>
    <s v="C-2404-0600-4"/>
    <x v="27"/>
    <n v="1124097372"/>
    <n v="903530455.25999999"/>
    <n v="863203030.21000004"/>
    <n v="510675898.20999998"/>
    <n v="506004191.20999998"/>
  </r>
  <r>
    <s v="C-2405-0600-2"/>
    <x v="28"/>
    <n v="1000000000"/>
    <n v="944022500"/>
    <n v="367253888.27999997"/>
    <n v="3456.28"/>
    <n v="3456.28"/>
  </r>
  <r>
    <s v="C-2405-0600-4"/>
    <x v="29"/>
    <n v="3056837754"/>
    <n v="2885515284.6500001"/>
    <n v="2808788154.8400002"/>
    <n v="1606882900.04"/>
    <n v="1593089242.04"/>
  </r>
  <r>
    <s v="C-2406-0600-1"/>
    <x v="30"/>
    <n v="907945356"/>
    <n v="155653740"/>
    <n v="150308484.16999999"/>
    <n v="89237586.170000002"/>
    <n v="88637586.170000002"/>
  </r>
  <r>
    <s v="C-2499-0600-7"/>
    <x v="31"/>
    <n v="200000000"/>
    <n v="157133932"/>
    <n v="79902061.659999996"/>
    <n v="52334240.659999996"/>
    <n v="45325472.659999996"/>
  </r>
  <r>
    <s v="C-2499-0600-8"/>
    <x v="32"/>
    <n v="58800000000"/>
    <n v="16316554414.110001"/>
    <n v="15640806100.779999"/>
    <n v="8950040526.8500004"/>
    <n v="8877163375.8500004"/>
  </r>
  <r>
    <s v="C-2499-0600-9"/>
    <x v="33"/>
    <n v="5000000000"/>
    <n v="4764692227.79"/>
    <n v="3667254019.54"/>
    <n v="2877987054.54"/>
    <n v="2851003450.54"/>
  </r>
  <r>
    <s v="C-2499-0600-10"/>
    <x v="34"/>
    <n v="1000000000"/>
    <n v="921515992"/>
    <n v="910755544.28999996"/>
    <n v="553744520.28999996"/>
    <n v="551057826.2899999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2189.04717186000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233.0090866599999"/>
  </r>
  <r>
    <x v="1"/>
    <n v="53197.266014589994"/>
    <n v="1008.21884273"/>
    <n v="41533.21480424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1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4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1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 numFmtId="43"/>
  </dataFields>
  <formats count="1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11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3">
      <pivotArea outline="0" fieldPosition="0">
        <references count="1">
          <reference field="4294967294" count="1">
            <x v="0"/>
          </reference>
        </references>
      </pivotArea>
    </format>
    <format dxfId="62">
      <pivotArea outline="0" fieldPosition="0">
        <references count="1">
          <reference field="4294967294" count="1">
            <x v="2"/>
          </reference>
        </references>
      </pivotArea>
    </format>
    <format dxfId="61">
      <pivotArea outline="0" fieldPosition="0">
        <references count="1">
          <reference field="4294967294" count="1">
            <x v="3"/>
          </reference>
        </references>
      </pivotArea>
    </format>
    <format dxfId="60">
      <pivotArea outline="0" fieldPosition="0">
        <references count="1">
          <reference field="4294967294" count="1">
            <x v="0"/>
          </reference>
        </references>
      </pivotArea>
    </format>
    <format dxfId="59">
      <pivotArea outline="0" fieldPosition="0">
        <references count="1">
          <reference field="4294967294" count="1">
            <x v="2"/>
          </reference>
        </references>
      </pivotArea>
    </format>
    <format dxfId="58">
      <pivotArea outline="0" fieldPosition="0">
        <references count="1">
          <reference field="4294967294" count="1">
            <x v="3"/>
          </reference>
        </references>
      </pivotArea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2">
      <pivotArea outline="0" fieldPosition="0">
        <references count="1">
          <reference field="4294967294" count="1">
            <x v="1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/>
    </format>
  </formats>
  <chartFormats count="13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6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6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62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63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11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9">
      <pivotArea dataOnly="0" labelOnly="1" fieldPosition="0">
        <references count="1">
          <reference field="1" count="1">
            <x v="4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outline="0" collapsedLevelsAreSubtotals="1" fieldPosition="0"/>
    </format>
  </formats>
  <chartFormats count="45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4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11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1">
      <pivotArea collapsedLevelsAreSubtotals="1" fieldPosition="0">
        <references count="1">
          <reference field="1" count="0"/>
        </references>
      </pivotArea>
    </format>
    <format dxfId="40">
      <pivotArea grandRow="1" outline="0" collapsedLevelsAreSubtotals="1" fieldPosition="0"/>
    </format>
    <format dxfId="39">
      <pivotArea collapsedLevelsAreSubtotals="1" fieldPosition="0">
        <references count="1">
          <reference field="1" count="0"/>
        </references>
      </pivotArea>
    </format>
    <format dxfId="3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dataOnly="0" outline="0" fieldPosition="0">
        <references count="1">
          <reference field="1" count="0"/>
        </references>
      </pivotArea>
    </format>
    <format dxfId="35">
      <pivotArea field="1" type="button" dataOnly="0" labelOnly="1" outline="0" axis="axisPage" fieldPosition="0"/>
    </format>
    <format dxfId="34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11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3">
      <pivotArea collapsedLevelsAreSubtotals="1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field="0" type="button" dataOnly="0" labelOnly="1" outline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1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2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1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77" t="s">
        <v>146</v>
      </c>
    </row>
    <row r="8" spans="1:2" ht="36" x14ac:dyDescent="0.55000000000000004">
      <c r="B8" s="54" t="s">
        <v>96</v>
      </c>
    </row>
    <row r="9" spans="1:2" ht="36" x14ac:dyDescent="0.55000000000000004">
      <c r="B9" s="52" t="s">
        <v>45</v>
      </c>
    </row>
    <row r="10" spans="1:2" ht="36" x14ac:dyDescent="0.55000000000000004">
      <c r="B10" s="52" t="s">
        <v>160</v>
      </c>
    </row>
    <row r="11" spans="1:2" ht="36" x14ac:dyDescent="0.55000000000000004">
      <c r="B11" s="52" t="s">
        <v>46</v>
      </c>
    </row>
    <row r="12" spans="1:2" ht="36" x14ac:dyDescent="0.55000000000000004">
      <c r="B12" s="52" t="s">
        <v>47</v>
      </c>
    </row>
    <row r="13" spans="1:2" ht="36" x14ac:dyDescent="0.55000000000000004">
      <c r="B13" s="53"/>
    </row>
    <row r="14" spans="1:2" ht="36" x14ac:dyDescent="0.55000000000000004">
      <c r="B14" s="54" t="s">
        <v>97</v>
      </c>
    </row>
    <row r="15" spans="1:2" ht="36" x14ac:dyDescent="0.55000000000000004">
      <c r="B15" s="52" t="s">
        <v>98</v>
      </c>
    </row>
    <row r="16" spans="1:2" ht="36" x14ac:dyDescent="0.55000000000000004">
      <c r="B16" s="52" t="s">
        <v>97</v>
      </c>
    </row>
    <row r="17" spans="2:2" ht="36" x14ac:dyDescent="0.55000000000000004">
      <c r="B17" s="13"/>
    </row>
    <row r="19" spans="2:2" ht="36" x14ac:dyDescent="0.55000000000000004">
      <c r="B19" s="54" t="s">
        <v>143</v>
      </c>
    </row>
    <row r="20" spans="2:2" ht="36" x14ac:dyDescent="0.55000000000000004">
      <c r="B20" s="52" t="s">
        <v>144</v>
      </c>
    </row>
    <row r="21" spans="2:2" ht="36" x14ac:dyDescent="0.55000000000000004">
      <c r="B21" s="52" t="s">
        <v>145</v>
      </c>
    </row>
    <row r="22" spans="2:2" ht="36" x14ac:dyDescent="0.55000000000000004">
      <c r="B22" s="76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Ó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4"/>
  <sheetViews>
    <sheetView showGridLines="0" showRowColHeaders="0" zoomScaleNormal="100" workbookViewId="0"/>
  </sheetViews>
  <sheetFormatPr baseColWidth="10" defaultRowHeight="15" outlineLevelRow="2" x14ac:dyDescent="0.25"/>
  <cols>
    <col min="2" max="2" width="21.42578125" bestFit="1" customWidth="1"/>
    <col min="3" max="3" width="10.5703125" bestFit="1" customWidth="1"/>
    <col min="4" max="4" width="10.28515625" bestFit="1" customWidth="1"/>
    <col min="5" max="5" width="14" bestFit="1" customWidth="1"/>
    <col min="6" max="6" width="11.5703125" bestFit="1" customWidth="1"/>
  </cols>
  <sheetData>
    <row r="6" spans="2:10" ht="105" x14ac:dyDescent="0.25">
      <c r="B6" s="49" t="s">
        <v>93</v>
      </c>
      <c r="C6" s="50" t="s">
        <v>92</v>
      </c>
      <c r="D6" s="50" t="s">
        <v>94</v>
      </c>
      <c r="E6" s="50" t="s">
        <v>95</v>
      </c>
      <c r="F6" s="20"/>
    </row>
    <row r="7" spans="2:10" x14ac:dyDescent="0.25">
      <c r="B7" s="48" t="s">
        <v>26</v>
      </c>
      <c r="C7" s="47">
        <v>2249.6486331999999</v>
      </c>
      <c r="D7" s="47">
        <v>0</v>
      </c>
      <c r="E7" s="47">
        <v>2233.0090866599999</v>
      </c>
      <c r="F7" s="58"/>
    </row>
    <row r="8" spans="2:10" x14ac:dyDescent="0.25">
      <c r="B8" s="48" t="s">
        <v>128</v>
      </c>
      <c r="C8" s="47">
        <v>53197.266014589994</v>
      </c>
      <c r="D8" s="47">
        <v>1008.21884273</v>
      </c>
      <c r="E8" s="47">
        <v>41533.214804249998</v>
      </c>
      <c r="F8" s="59"/>
    </row>
    <row r="9" spans="2:10" x14ac:dyDescent="0.25">
      <c r="B9" s="48" t="s">
        <v>6</v>
      </c>
      <c r="C9" s="47">
        <v>55446.914647789992</v>
      </c>
      <c r="D9" s="47">
        <v>1008.21884273</v>
      </c>
      <c r="E9" s="47">
        <v>43766.223890909998</v>
      </c>
    </row>
    <row r="10" spans="2:10" x14ac:dyDescent="0.25">
      <c r="B10" s="48"/>
      <c r="C10" s="47"/>
      <c r="D10" s="47"/>
      <c r="E10" s="47"/>
    </row>
    <row r="11" spans="2:10" ht="18.75" x14ac:dyDescent="0.3">
      <c r="B11" s="114" t="s">
        <v>102</v>
      </c>
      <c r="C11" s="114"/>
      <c r="D11" s="114"/>
      <c r="E11" s="114"/>
      <c r="F11" s="114"/>
      <c r="G11" s="114"/>
    </row>
    <row r="12" spans="2:10" x14ac:dyDescent="0.25">
      <c r="H12" s="5"/>
      <c r="J12" s="5"/>
    </row>
    <row r="14" spans="2:10" x14ac:dyDescent="0.25">
      <c r="E14" s="17"/>
      <c r="F14" s="17"/>
    </row>
    <row r="15" spans="2:10" x14ac:dyDescent="0.25">
      <c r="E15" s="17"/>
      <c r="F15" s="17"/>
    </row>
    <row r="16" spans="2:10" x14ac:dyDescent="0.25">
      <c r="B16" s="57"/>
      <c r="C16" s="57"/>
      <c r="D16" s="57"/>
      <c r="E16" s="57"/>
      <c r="F16" s="57"/>
    </row>
    <row r="17" spans="1:14" x14ac:dyDescent="0.25">
      <c r="B17" s="57"/>
      <c r="C17" s="57"/>
      <c r="D17" s="57"/>
      <c r="E17" s="57"/>
      <c r="F17" s="57"/>
    </row>
    <row r="18" spans="1:14" x14ac:dyDescent="0.25">
      <c r="A18" s="17"/>
      <c r="B18" s="57"/>
      <c r="C18" s="57"/>
      <c r="D18" s="57"/>
      <c r="E18" s="57"/>
      <c r="F18" s="5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17"/>
      <c r="B19" s="57"/>
      <c r="C19" s="57"/>
      <c r="D19" s="57"/>
      <c r="E19" s="57"/>
      <c r="F19" s="57"/>
      <c r="G19" s="17"/>
      <c r="H19" s="17"/>
      <c r="I19" s="85"/>
      <c r="J19" s="17"/>
      <c r="K19" s="17"/>
      <c r="L19" s="17"/>
      <c r="M19" s="17"/>
      <c r="N19" s="17"/>
    </row>
    <row r="20" spans="1:14" x14ac:dyDescent="0.25">
      <c r="A20" s="17"/>
      <c r="B20" s="57"/>
      <c r="C20" s="57"/>
      <c r="D20" s="57"/>
      <c r="E20" s="57"/>
      <c r="F20" s="57"/>
      <c r="G20" s="17"/>
      <c r="H20" s="17"/>
      <c r="I20" s="79"/>
      <c r="J20" s="17"/>
      <c r="K20" s="17"/>
      <c r="L20" s="17"/>
      <c r="M20" s="17"/>
      <c r="N20" s="17"/>
    </row>
    <row r="21" spans="1:14" x14ac:dyDescent="0.25">
      <c r="A21" s="17"/>
      <c r="B21" s="57"/>
      <c r="C21" s="57"/>
      <c r="D21" s="57"/>
      <c r="E21" s="57"/>
      <c r="F21" s="57"/>
      <c r="G21" s="17"/>
      <c r="H21" s="17"/>
      <c r="I21" s="80"/>
      <c r="J21" s="85"/>
      <c r="K21" s="17"/>
      <c r="L21" s="17"/>
      <c r="M21" s="17"/>
      <c r="N21" s="17"/>
    </row>
    <row r="22" spans="1:14" x14ac:dyDescent="0.25">
      <c r="A22" s="17"/>
      <c r="B22" s="57"/>
      <c r="C22" s="57"/>
      <c r="D22" s="57"/>
      <c r="E22" s="57"/>
      <c r="F22" s="57"/>
      <c r="G22" s="17"/>
      <c r="H22" s="17"/>
      <c r="I22" s="17"/>
      <c r="J22" s="80"/>
      <c r="K22" s="17"/>
      <c r="L22" s="17"/>
      <c r="M22" s="17"/>
      <c r="N22" s="17"/>
    </row>
    <row r="23" spans="1:14" x14ac:dyDescent="0.25">
      <c r="A23" s="17"/>
      <c r="B23" s="57"/>
      <c r="C23" s="57"/>
      <c r="D23" s="57"/>
      <c r="E23" s="57"/>
      <c r="F23" s="5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7"/>
      <c r="B24" s="57"/>
      <c r="C24" s="57"/>
      <c r="D24" s="57"/>
      <c r="E24" s="57"/>
      <c r="F24" s="5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7"/>
      <c r="B25" s="57"/>
      <c r="C25" s="57"/>
      <c r="D25" s="57"/>
      <c r="E25" s="57"/>
      <c r="F25" s="5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7"/>
      <c r="B26" s="57"/>
      <c r="C26" s="57"/>
      <c r="D26" s="57"/>
      <c r="E26" s="57"/>
      <c r="F26" s="5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85"/>
      <c r="K27" s="17"/>
      <c r="L27" s="17"/>
      <c r="M27" s="17"/>
      <c r="N27" s="17"/>
    </row>
    <row r="28" spans="1:14" ht="18.75" x14ac:dyDescent="0.3">
      <c r="A28" s="17"/>
      <c r="B28" s="113" t="s">
        <v>101</v>
      </c>
      <c r="C28" s="113"/>
      <c r="D28" s="113"/>
      <c r="E28" s="113"/>
      <c r="F28" s="113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05" hidden="1" outlineLevel="2" x14ac:dyDescent="0.25">
      <c r="A31" s="17"/>
      <c r="B31" s="50" t="s">
        <v>92</v>
      </c>
      <c r="C31" s="50" t="s">
        <v>94</v>
      </c>
      <c r="D31" s="50" t="s">
        <v>95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4" hidden="1" outlineLevel="2" x14ac:dyDescent="0.25">
      <c r="A32" s="17"/>
      <c r="B32" s="47">
        <v>55446.914647789992</v>
      </c>
      <c r="C32" s="47">
        <v>1008.21884273</v>
      </c>
      <c r="D32" s="47">
        <v>43766.223890909998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collapsed="1" x14ac:dyDescent="0.25">
      <c r="A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F37" s="17"/>
      <c r="G37" s="17"/>
      <c r="H37" s="17"/>
      <c r="I37" s="85"/>
      <c r="J37" s="17"/>
      <c r="K37" s="17"/>
      <c r="L37" s="17"/>
      <c r="M37" s="17"/>
      <c r="N37" s="17"/>
    </row>
    <row r="38" spans="1:14" x14ac:dyDescent="0.25">
      <c r="A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7"/>
      <c r="F40" s="17"/>
      <c r="G40" s="17"/>
      <c r="H40" s="17"/>
      <c r="I40" s="17"/>
      <c r="J40" s="85"/>
      <c r="K40" s="17"/>
      <c r="L40" s="17"/>
      <c r="M40" s="17"/>
      <c r="N40" s="17"/>
    </row>
    <row r="41" spans="1:14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7"/>
      <c r="B42" s="28"/>
      <c r="C42" s="28"/>
      <c r="D42" s="28"/>
      <c r="E42" s="28"/>
      <c r="F42" s="28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7"/>
      <c r="B43" s="28"/>
      <c r="C43" s="28"/>
      <c r="D43" s="28"/>
      <c r="E43" s="28"/>
      <c r="F43" s="28"/>
      <c r="G43" s="17"/>
      <c r="H43" s="17"/>
      <c r="I43" s="17"/>
      <c r="J43" s="85"/>
      <c r="K43" s="17"/>
      <c r="L43" s="17"/>
      <c r="M43" s="17"/>
      <c r="N43" s="17"/>
    </row>
    <row r="44" spans="1:14" hidden="1" outlineLevel="1" x14ac:dyDescent="0.25">
      <c r="A44" s="17"/>
      <c r="B44" s="97" t="s">
        <v>93</v>
      </c>
      <c r="C44" s="97" t="s">
        <v>92</v>
      </c>
      <c r="D44" s="97" t="s">
        <v>94</v>
      </c>
      <c r="E44" s="97" t="s">
        <v>95</v>
      </c>
      <c r="F44" s="97"/>
      <c r="G44" s="17"/>
      <c r="H44" s="17"/>
      <c r="I44" s="17"/>
      <c r="J44" s="17"/>
      <c r="K44" s="17"/>
      <c r="L44" s="17"/>
      <c r="M44" s="17"/>
      <c r="N44" s="17"/>
    </row>
    <row r="45" spans="1:14" hidden="1" outlineLevel="1" x14ac:dyDescent="0.25">
      <c r="A45" s="17"/>
      <c r="B45" s="98" t="s">
        <v>26</v>
      </c>
      <c r="C45" s="99">
        <f>GETPIVOTDATA("RESERVAS CONSTITUIDAS
",$B$6,"DENOMINACIÓN DEL CÓDIGO PRESUPUESTAL
","A-FUNCIONAMIENTO")</f>
        <v>2249.6486331999999</v>
      </c>
      <c r="D45" s="99">
        <f>GETPIVOTDATA("CANCELACIONES RESERVAS PRESUPUESTALES
 ",$B$6,"DENOMINACIÓN DEL CÓDIGO PRESUPUESTAL
","A-FUNCIONAMIENTO")</f>
        <v>0</v>
      </c>
      <c r="E45" s="101">
        <f>+GETPIVOTDATA("PAGOS
ACUMULADOS
",$B$6,"DENOMINACIÓN DEL CÓDIGO PRESUPUESTAL
","A-FUNCIONAMIENTO")/GETPIVOTDATA("RESERVAS CONSTITUIDAS
",$B$6,"DENOMINACIÓN DEL CÓDIGO PRESUPUESTAL
","A-FUNCIONAMIENTO")</f>
        <v>0.99260349092101052</v>
      </c>
      <c r="F45" s="100"/>
      <c r="G45" s="17"/>
      <c r="H45" s="17"/>
      <c r="I45" s="17"/>
      <c r="J45" s="17"/>
      <c r="K45" s="17"/>
      <c r="L45" s="17"/>
      <c r="M45" s="17"/>
      <c r="N45" s="17"/>
    </row>
    <row r="46" spans="1:14" hidden="1" outlineLevel="1" x14ac:dyDescent="0.25">
      <c r="A46" s="28"/>
      <c r="B46" s="98" t="s">
        <v>128</v>
      </c>
      <c r="C46" s="99">
        <f>GETPIVOTDATA("RESERVAS CONSTITUIDAS
",$B$6,"DENOMINACIÓN DEL CÓDIGO PRESUPUESTAL
","C-INVERSIÓN")</f>
        <v>53197.266014589994</v>
      </c>
      <c r="D46" s="99">
        <f>GETPIVOTDATA("CANCELACIONES RESERVAS PRESUPUESTALES
 ",$B$6,"DENOMINACIÓN DEL CÓDIGO PRESUPUESTAL
","C-INVERSIÓN")</f>
        <v>1008.21884273</v>
      </c>
      <c r="E46" s="101">
        <f>+GETPIVOTDATA("PAGOS
ACUMULADOS
",$B$6,"DENOMINACIÓN DEL CÓDIGO PRESUPUESTAL
","C-INVERSIÓN")/GETPIVOTDATA("RESERVAS CONSTITUIDAS
",$B$6,"DENOMINACIÓN DEL CÓDIGO PRESUPUESTAL
","C-INVERSIÓN")</f>
        <v>0.7807396491552594</v>
      </c>
      <c r="F46" s="100"/>
      <c r="G46" s="28"/>
      <c r="H46" s="28"/>
      <c r="I46" s="28"/>
      <c r="J46" s="17"/>
      <c r="K46" s="17"/>
      <c r="L46" s="17"/>
      <c r="M46" s="17"/>
      <c r="N46" s="17"/>
    </row>
    <row r="47" spans="1:14" hidden="1" outlineLevel="1" x14ac:dyDescent="0.25">
      <c r="A47" s="28"/>
      <c r="B47" s="102" t="s">
        <v>6</v>
      </c>
      <c r="C47" s="103">
        <f>+C45+C46</f>
        <v>55446.914647789992</v>
      </c>
      <c r="D47" s="103">
        <f>+D46+D45</f>
        <v>1008.21884273</v>
      </c>
      <c r="E47" s="104">
        <f>+GETPIVOTDATA("PAGOS
ACUMULADOS
",$B$6)/GETPIVOTDATA("RESERVAS CONSTITUIDAS
",$B$6)</f>
        <v>0.78933560449525275</v>
      </c>
      <c r="F47" s="101"/>
      <c r="G47" s="28"/>
      <c r="H47" s="28"/>
      <c r="I47" s="28"/>
      <c r="J47" s="11"/>
      <c r="K47" s="11"/>
      <c r="L47" s="17"/>
      <c r="M47" s="17"/>
      <c r="N47" s="17"/>
    </row>
    <row r="48" spans="1:14" s="11" customFormat="1" collapsed="1" x14ac:dyDescent="0.25">
      <c r="A48" s="28"/>
      <c r="B48" s="29"/>
      <c r="C48" s="30"/>
      <c r="D48" s="31"/>
      <c r="E48" s="32"/>
      <c r="F48" s="32"/>
      <c r="G48" s="28"/>
      <c r="H48" s="28"/>
      <c r="I48" s="28"/>
      <c r="L48"/>
      <c r="M48"/>
      <c r="N48"/>
    </row>
    <row r="49" spans="1:14" s="11" customFormat="1" x14ac:dyDescent="0.25">
      <c r="A49" s="28"/>
      <c r="B49" s="28"/>
      <c r="C49" s="28"/>
      <c r="D49" s="28"/>
      <c r="E49" s="28"/>
      <c r="F49" s="28"/>
      <c r="G49" s="28"/>
      <c r="H49" s="28"/>
      <c r="I49" s="28"/>
      <c r="L49"/>
      <c r="M49"/>
      <c r="N49"/>
    </row>
    <row r="50" spans="1:14" s="11" customFormat="1" x14ac:dyDescent="0.25">
      <c r="A50" s="28"/>
      <c r="B50" s="28"/>
      <c r="C50" s="28"/>
      <c r="D50" s="28"/>
      <c r="E50" s="28"/>
      <c r="F50" s="28"/>
      <c r="G50" s="28"/>
      <c r="H50" s="28"/>
      <c r="I50" s="28"/>
      <c r="L50"/>
      <c r="M50"/>
      <c r="N50"/>
    </row>
    <row r="51" spans="1:14" s="11" customFormat="1" x14ac:dyDescent="0.25">
      <c r="A51" s="28"/>
      <c r="B51" s="28"/>
      <c r="C51" s="28"/>
      <c r="D51" s="28"/>
      <c r="E51" s="28"/>
      <c r="F51" s="28"/>
      <c r="G51" s="28"/>
      <c r="H51" s="28"/>
      <c r="I51" s="28"/>
      <c r="L51"/>
      <c r="M51"/>
      <c r="N51"/>
    </row>
    <row r="52" spans="1:14" s="11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L52"/>
      <c r="M52"/>
      <c r="N52"/>
    </row>
    <row r="53" spans="1:14" s="11" customFormat="1" x14ac:dyDescent="0.25">
      <c r="A53" s="28"/>
      <c r="B53" s="28"/>
      <c r="C53" s="28"/>
      <c r="D53" s="28"/>
      <c r="E53" s="28"/>
      <c r="F53" s="28"/>
      <c r="G53" s="28"/>
      <c r="H53" s="28"/>
      <c r="I53" s="28"/>
      <c r="L53" s="10"/>
      <c r="M53" s="10"/>
      <c r="N53" s="10"/>
    </row>
    <row r="54" spans="1:14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11"/>
      <c r="K54" s="11"/>
    </row>
    <row r="55" spans="1:14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11"/>
      <c r="K55" s="11"/>
    </row>
    <row r="56" spans="1:14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11"/>
      <c r="K56" s="11"/>
    </row>
    <row r="57" spans="1:14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11"/>
      <c r="K57" s="11"/>
    </row>
    <row r="58" spans="1:14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11"/>
      <c r="K58" s="11"/>
    </row>
    <row r="59" spans="1:14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11"/>
      <c r="K59" s="11"/>
    </row>
    <row r="60" spans="1:14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11"/>
      <c r="K60" s="11"/>
    </row>
    <row r="61" spans="1:14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11"/>
      <c r="K61" s="11"/>
    </row>
    <row r="62" spans="1:14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11"/>
      <c r="K62" s="11"/>
    </row>
    <row r="63" spans="1:14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11"/>
      <c r="K63" s="11"/>
    </row>
    <row r="64" spans="1:14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10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10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10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2"/>
    </row>
    <row r="68" spans="1:10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11"/>
    </row>
    <row r="69" spans="1:10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10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10" x14ac:dyDescent="0.25">
      <c r="A71" s="28"/>
      <c r="G71" s="28"/>
      <c r="H71" s="28"/>
      <c r="I71" s="28"/>
    </row>
    <row r="72" spans="1:10" x14ac:dyDescent="0.25">
      <c r="A72" s="28"/>
      <c r="G72" s="28"/>
      <c r="H72" s="28"/>
      <c r="I72" s="28"/>
    </row>
    <row r="73" spans="1:10" x14ac:dyDescent="0.25">
      <c r="A73" s="28"/>
      <c r="G73" s="28"/>
      <c r="H73" s="28"/>
      <c r="I73" s="28"/>
    </row>
    <row r="74" spans="1:10" x14ac:dyDescent="0.25">
      <c r="A74" s="28"/>
      <c r="G74" s="28"/>
      <c r="H74" s="28"/>
      <c r="I74" s="28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/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34" t="s">
        <v>87</v>
      </c>
      <c r="C2" s="35" t="s">
        <v>140</v>
      </c>
      <c r="D2" s="36" t="s">
        <v>141</v>
      </c>
      <c r="E2" s="37" t="s">
        <v>90</v>
      </c>
    </row>
    <row r="3" spans="2:7" ht="16.5" thickBot="1" x14ac:dyDescent="0.3">
      <c r="B3" s="42" t="s">
        <v>26</v>
      </c>
      <c r="C3" s="43">
        <f>7893784910.4/1000000</f>
        <v>7893.7849103999997</v>
      </c>
      <c r="D3" s="44">
        <v>0</v>
      </c>
      <c r="E3" s="45">
        <f>6858440499.4/1000000</f>
        <v>6858.4404993999997</v>
      </c>
      <c r="F3" s="59"/>
      <c r="G3" s="47"/>
    </row>
    <row r="4" spans="2:7" ht="19.5" thickBot="1" x14ac:dyDescent="0.3">
      <c r="B4" s="38" t="s">
        <v>128</v>
      </c>
      <c r="C4" s="39">
        <f>182428674/1000000</f>
        <v>182.428674</v>
      </c>
      <c r="D4" s="40">
        <f>0/1000000</f>
        <v>0</v>
      </c>
      <c r="E4" s="41">
        <f>182428674/1000000</f>
        <v>182.428674</v>
      </c>
      <c r="F4" s="58"/>
      <c r="G4" s="59"/>
    </row>
    <row r="6" spans="2:7" x14ac:dyDescent="0.25">
      <c r="C6" s="46"/>
      <c r="D6" s="46"/>
      <c r="E6" s="46"/>
    </row>
    <row r="7" spans="2:7" ht="15.75" thickBot="1" x14ac:dyDescent="0.3">
      <c r="E7" s="33"/>
    </row>
    <row r="8" spans="2:7" ht="63.75" thickBot="1" x14ac:dyDescent="0.3">
      <c r="B8" s="34" t="s">
        <v>87</v>
      </c>
      <c r="C8" s="45" t="s">
        <v>142</v>
      </c>
      <c r="E8" s="33"/>
    </row>
    <row r="9" spans="2:7" ht="19.5" thickBot="1" x14ac:dyDescent="0.3">
      <c r="B9" s="42" t="s">
        <v>26</v>
      </c>
      <c r="C9" s="41">
        <f>7893784910.4/1000000</f>
        <v>7893.7849103999997</v>
      </c>
      <c r="E9" s="47"/>
    </row>
    <row r="10" spans="2:7" ht="19.5" thickBot="1" x14ac:dyDescent="0.3">
      <c r="B10" s="38" t="s">
        <v>91</v>
      </c>
      <c r="C10" s="37">
        <f>182428674/1000000</f>
        <v>182.428674</v>
      </c>
      <c r="D10" s="56"/>
    </row>
    <row r="12" spans="2:7" x14ac:dyDescent="0.25">
      <c r="C12" s="56"/>
      <c r="D12" s="56"/>
      <c r="E12" s="56"/>
      <c r="F12" s="59"/>
      <c r="G12" s="60"/>
    </row>
    <row r="13" spans="2:7" x14ac:dyDescent="0.25">
      <c r="C13" s="33"/>
    </row>
    <row r="14" spans="2:7" x14ac:dyDescent="0.25">
      <c r="C14" s="33"/>
    </row>
    <row r="16" spans="2:7" x14ac:dyDescent="0.25">
      <c r="C16" s="33"/>
    </row>
    <row r="17" spans="3:3" x14ac:dyDescent="0.25">
      <c r="C17" s="3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Normal="100" workbookViewId="0"/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0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47">
        <v>7893.7849103999997</v>
      </c>
    </row>
    <row r="10" spans="2:6" x14ac:dyDescent="0.25">
      <c r="B10" s="2" t="s">
        <v>91</v>
      </c>
      <c r="C10" s="47">
        <v>182.428674</v>
      </c>
    </row>
    <row r="11" spans="2:6" x14ac:dyDescent="0.25">
      <c r="B11" s="2" t="s">
        <v>6</v>
      </c>
      <c r="C11" s="47">
        <v>8076.2135843999995</v>
      </c>
      <c r="D11" s="55" t="s">
        <v>103</v>
      </c>
    </row>
    <row r="12" spans="2:6" x14ac:dyDescent="0.25">
      <c r="C12" s="47"/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5"/>
  <sheetViews>
    <sheetView zoomScaleNormal="100" workbookViewId="0"/>
  </sheetViews>
  <sheetFormatPr baseColWidth="10" defaultRowHeight="15" outlineLevelRow="2" x14ac:dyDescent="0.25"/>
  <cols>
    <col min="2" max="2" width="19.85546875" bestFit="1" customWidth="1"/>
    <col min="3" max="3" width="18.140625" bestFit="1" customWidth="1"/>
    <col min="4" max="4" width="19.7109375" bestFit="1" customWidth="1"/>
    <col min="5" max="5" width="13.285156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47">
        <v>8076.2135843999995</v>
      </c>
      <c r="K4" s="47">
        <v>0</v>
      </c>
      <c r="L4" s="47">
        <v>7040.8691733999995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47">
        <v>7893.7849103999997</v>
      </c>
      <c r="D7" s="47">
        <v>0</v>
      </c>
      <c r="E7" s="47">
        <v>6858.4404993999997</v>
      </c>
    </row>
    <row r="8" spans="2:12" x14ac:dyDescent="0.25">
      <c r="B8" s="2" t="s">
        <v>128</v>
      </c>
      <c r="C8" s="47">
        <v>182.428674</v>
      </c>
      <c r="D8" s="47">
        <v>0</v>
      </c>
      <c r="E8" s="47">
        <v>182.428674</v>
      </c>
    </row>
    <row r="9" spans="2:12" x14ac:dyDescent="0.25">
      <c r="B9" s="2" t="s">
        <v>6</v>
      </c>
      <c r="C9" s="47">
        <v>8076.2135843999995</v>
      </c>
      <c r="D9" s="47">
        <v>0</v>
      </c>
      <c r="E9" s="47">
        <v>7040.8691733999995</v>
      </c>
    </row>
    <row r="11" spans="2:12" x14ac:dyDescent="0.25">
      <c r="B11" s="48"/>
      <c r="C11" s="47"/>
      <c r="D11" s="47"/>
      <c r="E11" s="47"/>
    </row>
    <row r="12" spans="2:12" ht="18.75" x14ac:dyDescent="0.3">
      <c r="B12" s="114" t="s">
        <v>155</v>
      </c>
      <c r="C12" s="114"/>
      <c r="D12" s="114"/>
      <c r="E12" s="114"/>
      <c r="F12" s="114"/>
      <c r="G12" s="114"/>
    </row>
    <row r="13" spans="2:12" x14ac:dyDescent="0.25">
      <c r="H13" s="5"/>
    </row>
    <row r="15" spans="2:12" x14ac:dyDescent="0.25">
      <c r="E15" s="17"/>
      <c r="F15" s="17"/>
    </row>
    <row r="16" spans="2:12" x14ac:dyDescent="0.25">
      <c r="E16" s="17"/>
      <c r="F16" s="17"/>
    </row>
    <row r="17" spans="1:14" x14ac:dyDescent="0.25">
      <c r="B17" s="57"/>
      <c r="C17" s="57"/>
      <c r="D17" s="57"/>
      <c r="E17" s="57"/>
      <c r="F17" s="57"/>
      <c r="N17" s="86"/>
    </row>
    <row r="18" spans="1:14" x14ac:dyDescent="0.25">
      <c r="B18" s="57"/>
      <c r="C18" s="57"/>
      <c r="D18" s="57"/>
      <c r="E18" s="57"/>
      <c r="F18" s="57"/>
    </row>
    <row r="19" spans="1:14" x14ac:dyDescent="0.25">
      <c r="A19" s="17"/>
      <c r="B19" s="57"/>
      <c r="C19" s="57"/>
      <c r="D19" s="57"/>
      <c r="E19" s="57"/>
      <c r="F19" s="57"/>
      <c r="G19" s="17"/>
      <c r="H19" s="17"/>
      <c r="I19" s="17"/>
      <c r="M19" s="85"/>
      <c r="N19" s="17"/>
    </row>
    <row r="20" spans="1:14" x14ac:dyDescent="0.25">
      <c r="A20" s="17"/>
      <c r="B20" s="57"/>
      <c r="C20" s="57"/>
      <c r="D20" s="57"/>
      <c r="E20" s="57"/>
      <c r="F20" s="57"/>
      <c r="G20" s="17"/>
      <c r="H20" s="17"/>
      <c r="I20" s="78"/>
      <c r="M20" s="17"/>
      <c r="N20" s="17"/>
    </row>
    <row r="21" spans="1:14" x14ac:dyDescent="0.25">
      <c r="A21" s="17"/>
      <c r="B21" s="57"/>
      <c r="C21" s="57"/>
      <c r="D21" s="57"/>
      <c r="E21" s="57"/>
      <c r="F21" s="57"/>
      <c r="G21" s="17"/>
      <c r="H21" s="17"/>
      <c r="I21" s="80"/>
      <c r="J21" s="17"/>
      <c r="K21" s="17"/>
      <c r="L21" s="17"/>
      <c r="M21" s="17"/>
      <c r="N21" s="17"/>
    </row>
    <row r="22" spans="1:14" x14ac:dyDescent="0.25">
      <c r="A22" s="17"/>
      <c r="B22" s="57"/>
      <c r="C22" s="57"/>
      <c r="D22" s="57"/>
      <c r="E22" s="57"/>
      <c r="F22" s="5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7"/>
      <c r="B23" s="57"/>
      <c r="C23" s="57"/>
      <c r="D23" s="57"/>
      <c r="E23" s="57"/>
      <c r="F23" s="5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7"/>
      <c r="B24" s="57"/>
      <c r="C24" s="57"/>
      <c r="D24" s="57"/>
      <c r="E24" s="57"/>
      <c r="F24" s="5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7"/>
      <c r="B25" s="57"/>
      <c r="C25" s="57"/>
      <c r="D25" s="57"/>
      <c r="E25" s="57"/>
      <c r="F25" s="5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7"/>
      <c r="B26" s="57"/>
      <c r="C26" s="57"/>
      <c r="D26" s="57"/>
      <c r="E26" s="57"/>
      <c r="F26" s="5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7"/>
      <c r="B27" s="57"/>
      <c r="C27" s="57"/>
      <c r="D27" s="57"/>
      <c r="E27" s="57"/>
      <c r="F27" s="5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8.75" x14ac:dyDescent="0.3">
      <c r="A29" s="17"/>
      <c r="B29" s="113" t="s">
        <v>154</v>
      </c>
      <c r="C29" s="113"/>
      <c r="D29" s="113"/>
      <c r="E29" s="113"/>
      <c r="F29" s="113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idden="1" outlineLevel="2" x14ac:dyDescent="0.25">
      <c r="A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idden="1" outlineLevel="2" x14ac:dyDescent="0.25">
      <c r="A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collapsed="1" x14ac:dyDescent="0.25">
      <c r="A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F37" s="17"/>
      <c r="G37" s="17"/>
      <c r="H37" s="17"/>
      <c r="I37" s="17"/>
      <c r="J37" s="17"/>
      <c r="K37" s="17"/>
      <c r="L37" s="17"/>
      <c r="M37" s="85"/>
      <c r="N37" s="17"/>
    </row>
    <row r="38" spans="1:14" x14ac:dyDescent="0.25">
      <c r="A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7"/>
      <c r="B43" s="28"/>
      <c r="C43" s="28"/>
      <c r="D43" s="28"/>
      <c r="E43" s="28"/>
      <c r="F43" s="28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7"/>
      <c r="B44" s="28"/>
      <c r="C44" s="28"/>
      <c r="D44" s="28"/>
      <c r="E44" s="28"/>
      <c r="F44" s="28"/>
      <c r="G44" s="17"/>
      <c r="H44" s="80"/>
      <c r="I44" s="17"/>
      <c r="J44" s="17"/>
      <c r="K44" s="17"/>
      <c r="L44" s="17"/>
      <c r="M44" s="17"/>
      <c r="N44" s="17"/>
    </row>
    <row r="45" spans="1:14" hidden="1" outlineLevel="1" x14ac:dyDescent="0.25">
      <c r="A45" s="17"/>
      <c r="B45" s="97" t="s">
        <v>93</v>
      </c>
      <c r="C45" s="97" t="s">
        <v>158</v>
      </c>
      <c r="D45" s="97" t="s">
        <v>159</v>
      </c>
      <c r="E45" s="97" t="s">
        <v>95</v>
      </c>
      <c r="F45" s="97"/>
      <c r="G45" s="17"/>
      <c r="H45" s="17"/>
      <c r="I45" s="17"/>
      <c r="J45" s="17"/>
      <c r="K45" s="17"/>
      <c r="L45" s="17"/>
      <c r="M45" s="17"/>
      <c r="N45" s="17"/>
    </row>
    <row r="46" spans="1:14" hidden="1" outlineLevel="1" x14ac:dyDescent="0.25">
      <c r="A46" s="17"/>
      <c r="B46" s="98" t="s">
        <v>26</v>
      </c>
      <c r="C46" s="99">
        <f>GETPIVOTDATA("CXP CONSTITUIDAS",$B$6,"DENOMINACIÓN DEL CÓDIGO PRESUPUESTAL
","A-FUNCIONAMIENTO")</f>
        <v>7893.7849103999997</v>
      </c>
      <c r="D46" s="99">
        <f>GETPIVOTDATA("CANCELACIONES CXP",$B$6,"DENOMINACIÓN DEL CÓDIGO PRESUPUESTAL
","A-FUNCIONAMIENTO")</f>
        <v>0</v>
      </c>
      <c r="E46" s="101">
        <f>+GETPIVOTDATA("TOTAL PAGOS",$B$6,"DENOMINACIÓN DEL CÓDIGO PRESUPUESTAL
","A-FUNCIONAMIENTO")/GETPIVOTDATA("CXP CONSTITUIDAS",$B$6,"DENOMINACIÓN DEL CÓDIGO PRESUPUESTAL
","A-FUNCIONAMIENTO")</f>
        <v>0.86884055966157103</v>
      </c>
      <c r="F46" s="100"/>
      <c r="G46" s="17"/>
      <c r="H46" s="17"/>
      <c r="I46" s="17"/>
      <c r="J46" s="17"/>
      <c r="K46" s="17"/>
      <c r="L46" s="17"/>
      <c r="M46" s="17"/>
      <c r="N46" s="17"/>
    </row>
    <row r="47" spans="1:14" hidden="1" outlineLevel="1" x14ac:dyDescent="0.25">
      <c r="A47" s="28"/>
      <c r="B47" s="98" t="s">
        <v>128</v>
      </c>
      <c r="C47" s="99">
        <f>+GETPIVOTDATA("CXP CONSTITUIDAS",$B$6,"DENOMINACIÓN DEL CÓDIGO PRESUPUESTAL
","C-INVERSIÓN")</f>
        <v>182.428674</v>
      </c>
      <c r="D47" s="99">
        <f>GETPIVOTDATA("CANCELACIONES CXP",$B$6,"DENOMINACIÓN DEL CÓDIGO PRESUPUESTAL
","C-INVERSIÓN")</f>
        <v>0</v>
      </c>
      <c r="E47" s="101">
        <f>+GETPIVOTDATA("TOTAL PAGOS",$B$6,"DENOMINACIÓN DEL CÓDIGO PRESUPUESTAL
","C-INVERSIÓN")/GETPIVOTDATA("CXP CONSTITUIDAS",$B$6,"DENOMINACIÓN DEL CÓDIGO PRESUPUESTAL
","C-INVERSIÓN")</f>
        <v>1</v>
      </c>
      <c r="F47" s="100"/>
      <c r="G47" s="28"/>
      <c r="H47" s="28"/>
      <c r="I47" s="28"/>
      <c r="J47" s="17"/>
      <c r="K47" s="17"/>
      <c r="L47" s="17"/>
      <c r="M47" s="17"/>
      <c r="N47" s="17"/>
    </row>
    <row r="48" spans="1:14" hidden="1" outlineLevel="1" x14ac:dyDescent="0.25">
      <c r="A48" s="28"/>
      <c r="B48" s="102" t="s">
        <v>6</v>
      </c>
      <c r="C48" s="103">
        <f>+C46+C47</f>
        <v>8076.2135843999995</v>
      </c>
      <c r="D48" s="103">
        <f>+D46+D47</f>
        <v>0</v>
      </c>
      <c r="E48" s="104">
        <f>+GETPIVOTDATA("TOTAL PAGOS",$B$6)/GETPIVOTDATA("CXP CONSTITUIDAS",$B$6)</f>
        <v>0.87180324044427582</v>
      </c>
      <c r="F48" s="101"/>
      <c r="G48" s="28"/>
      <c r="H48" s="28"/>
      <c r="I48" s="28"/>
      <c r="J48" s="11"/>
      <c r="K48" s="11"/>
      <c r="L48" s="17"/>
      <c r="M48" s="17"/>
      <c r="N48" s="17"/>
    </row>
    <row r="49" spans="1:14" s="11" customFormat="1" collapsed="1" x14ac:dyDescent="0.25">
      <c r="A49" s="28"/>
      <c r="B49" s="102"/>
      <c r="C49" s="105"/>
      <c r="D49" s="106"/>
      <c r="E49" s="107"/>
      <c r="F49" s="107"/>
      <c r="G49" s="28"/>
      <c r="H49" s="28"/>
      <c r="I49" s="28"/>
      <c r="L49"/>
      <c r="M49"/>
      <c r="N49"/>
    </row>
    <row r="50" spans="1:14" s="11" customFormat="1" x14ac:dyDescent="0.25">
      <c r="A50" s="28"/>
      <c r="B50" s="28"/>
      <c r="C50" s="28"/>
      <c r="D50" s="28"/>
      <c r="E50" s="28"/>
      <c r="F50" s="28"/>
      <c r="G50" s="28"/>
      <c r="H50" s="28"/>
      <c r="I50" s="28"/>
      <c r="L50"/>
      <c r="M50"/>
      <c r="N50"/>
    </row>
    <row r="51" spans="1:14" s="11" customFormat="1" x14ac:dyDescent="0.25">
      <c r="A51" s="28"/>
      <c r="B51" s="28"/>
      <c r="C51" s="28"/>
      <c r="D51" s="28"/>
      <c r="E51" s="28"/>
      <c r="F51" s="28"/>
      <c r="G51" s="28"/>
      <c r="H51" s="28"/>
      <c r="I51" s="28"/>
      <c r="L51"/>
      <c r="M51"/>
      <c r="N51"/>
    </row>
    <row r="52" spans="1:14" s="11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L52"/>
      <c r="M52"/>
      <c r="N52"/>
    </row>
    <row r="53" spans="1:14" s="11" customFormat="1" x14ac:dyDescent="0.25">
      <c r="A53" s="28"/>
      <c r="B53" s="28"/>
      <c r="C53" s="28"/>
      <c r="D53" s="28"/>
      <c r="E53" s="28"/>
      <c r="F53" s="28"/>
      <c r="G53" s="28"/>
      <c r="H53" s="28"/>
      <c r="I53" s="28"/>
      <c r="L53"/>
      <c r="M53"/>
      <c r="N53"/>
    </row>
    <row r="54" spans="1:14" s="11" customFormat="1" x14ac:dyDescent="0.25">
      <c r="A54" s="28"/>
      <c r="B54" s="28"/>
      <c r="C54" s="28"/>
      <c r="D54" s="28"/>
      <c r="E54" s="28"/>
      <c r="F54" s="28"/>
      <c r="G54" s="28"/>
      <c r="H54" s="28"/>
      <c r="I54" s="28"/>
      <c r="L54" s="10"/>
      <c r="M54" s="10"/>
      <c r="N54" s="10"/>
    </row>
    <row r="55" spans="1:14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11"/>
      <c r="K55" s="11"/>
    </row>
    <row r="56" spans="1:14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11"/>
      <c r="K56" s="11"/>
    </row>
    <row r="57" spans="1:14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11"/>
      <c r="K57" s="11"/>
    </row>
    <row r="58" spans="1:14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11"/>
      <c r="K58" s="11"/>
    </row>
    <row r="59" spans="1:14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11"/>
      <c r="K59" s="11"/>
    </row>
    <row r="60" spans="1:14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11"/>
      <c r="K60" s="11"/>
    </row>
    <row r="61" spans="1:14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11"/>
      <c r="K61" s="11"/>
    </row>
    <row r="62" spans="1:14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11"/>
      <c r="K62" s="11"/>
    </row>
    <row r="63" spans="1:14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11"/>
      <c r="K63" s="11"/>
    </row>
    <row r="64" spans="1:14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11"/>
      <c r="K64" s="11"/>
    </row>
    <row r="65" spans="1:10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10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10" x14ac:dyDescent="0.25">
      <c r="A67" s="28"/>
      <c r="B67" s="28"/>
      <c r="C67" s="28"/>
      <c r="D67" s="28"/>
      <c r="E67" s="28"/>
      <c r="F67" s="28"/>
      <c r="G67" s="28"/>
      <c r="H67" s="28"/>
      <c r="I67" s="28"/>
    </row>
    <row r="68" spans="1:10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2"/>
    </row>
    <row r="69" spans="1:10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11"/>
    </row>
    <row r="70" spans="1:10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10" x14ac:dyDescent="0.25">
      <c r="A71" s="28"/>
      <c r="B71" s="28"/>
      <c r="C71" s="28"/>
      <c r="D71" s="28"/>
      <c r="E71" s="28"/>
      <c r="F71" s="28"/>
      <c r="G71" s="28"/>
      <c r="H71" s="28"/>
      <c r="I71" s="28"/>
    </row>
    <row r="72" spans="1:10" x14ac:dyDescent="0.25">
      <c r="A72" s="28"/>
      <c r="G72" s="28"/>
      <c r="H72" s="28"/>
      <c r="I72" s="28"/>
    </row>
    <row r="73" spans="1:10" x14ac:dyDescent="0.25">
      <c r="A73" s="28"/>
      <c r="G73" s="28"/>
      <c r="H73" s="28"/>
      <c r="I73" s="28"/>
    </row>
    <row r="74" spans="1:10" x14ac:dyDescent="0.25">
      <c r="A74" s="28"/>
      <c r="G74" s="28"/>
      <c r="H74" s="28"/>
      <c r="I74" s="28"/>
    </row>
    <row r="75" spans="1:10" x14ac:dyDescent="0.25">
      <c r="A75" s="28"/>
      <c r="G75" s="28"/>
      <c r="H75" s="28"/>
      <c r="I75" s="28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/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0">
        <v>99785.985369999995</v>
      </c>
    </row>
    <row r="8" spans="2:6" x14ac:dyDescent="0.25">
      <c r="B8" s="2" t="s">
        <v>27</v>
      </c>
      <c r="C8" s="20">
        <v>1167604.3350470001</v>
      </c>
    </row>
    <row r="9" spans="2:6" x14ac:dyDescent="0.25">
      <c r="B9" s="2" t="s">
        <v>28</v>
      </c>
      <c r="C9" s="20">
        <v>4505182.0250120005</v>
      </c>
    </row>
    <row r="10" spans="2:6" x14ac:dyDescent="0.25">
      <c r="B10" s="2" t="s">
        <v>6</v>
      </c>
      <c r="C10" s="20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topLeftCell="A10" zoomScale="86" zoomScaleNormal="86" workbookViewId="0">
      <selection sqref="A1:XFD1048576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  <col min="8" max="8" width="24.42578125" bestFit="1" customWidth="1"/>
    <col min="9" max="9" width="16.28515625" bestFit="1" customWidth="1"/>
  </cols>
  <sheetData>
    <row r="1" spans="1:7" ht="30" x14ac:dyDescent="0.25">
      <c r="A1" s="23" t="s">
        <v>0</v>
      </c>
      <c r="B1" s="23" t="s">
        <v>1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</row>
    <row r="2" spans="1:7" x14ac:dyDescent="0.25">
      <c r="A2" s="25" t="s">
        <v>2</v>
      </c>
      <c r="B2" s="27" t="s">
        <v>26</v>
      </c>
      <c r="C2" s="26">
        <f t="shared" ref="C2:C7" si="0">+C12/1000000</f>
        <v>99785.985369999995</v>
      </c>
      <c r="D2" s="26">
        <f t="shared" ref="C2:G8" si="1">+D12/1000000</f>
        <v>68919.307997979995</v>
      </c>
      <c r="E2" s="26">
        <f t="shared" si="1"/>
        <v>49170.518791320006</v>
      </c>
      <c r="F2" s="26">
        <f t="shared" si="1"/>
        <v>44561.385595300002</v>
      </c>
      <c r="G2" s="26">
        <f t="shared" si="1"/>
        <v>43321.505879300006</v>
      </c>
    </row>
    <row r="3" spans="1:7" x14ac:dyDescent="0.25">
      <c r="A3" s="25" t="s">
        <v>22</v>
      </c>
      <c r="B3" s="27" t="s">
        <v>29</v>
      </c>
      <c r="C3" s="26">
        <f t="shared" si="0"/>
        <v>51464.345000000001</v>
      </c>
      <c r="D3" s="26">
        <f t="shared" si="1"/>
        <v>49182.286999999997</v>
      </c>
      <c r="E3" s="26">
        <f t="shared" si="1"/>
        <v>31180.192670389999</v>
      </c>
      <c r="F3" s="26">
        <f t="shared" si="1"/>
        <v>31180.192670389999</v>
      </c>
      <c r="G3" s="26">
        <f t="shared" si="1"/>
        <v>30274.485708389999</v>
      </c>
    </row>
    <row r="4" spans="1:7" x14ac:dyDescent="0.25">
      <c r="A4" s="25" t="s">
        <v>23</v>
      </c>
      <c r="B4" s="27" t="s">
        <v>30</v>
      </c>
      <c r="C4" s="26">
        <f t="shared" si="0"/>
        <v>19419.071</v>
      </c>
      <c r="D4" s="26">
        <f t="shared" si="1"/>
        <v>16892.912915339999</v>
      </c>
      <c r="E4" s="26">
        <f t="shared" si="1"/>
        <v>15898.931180270001</v>
      </c>
      <c r="F4" s="26">
        <f t="shared" si="1"/>
        <v>11289.797984250001</v>
      </c>
      <c r="G4" s="26">
        <f t="shared" si="1"/>
        <v>11024.51348725</v>
      </c>
    </row>
    <row r="5" spans="1:7" x14ac:dyDescent="0.25">
      <c r="A5" s="25" t="s">
        <v>24</v>
      </c>
      <c r="B5" s="27" t="s">
        <v>31</v>
      </c>
      <c r="C5" s="26">
        <f t="shared" si="0"/>
        <v>14851.09737</v>
      </c>
      <c r="D5" s="26">
        <f t="shared" si="1"/>
        <v>2844.1080826400002</v>
      </c>
      <c r="E5" s="26">
        <f t="shared" si="1"/>
        <v>2091.39494066</v>
      </c>
      <c r="F5" s="26">
        <f t="shared" si="1"/>
        <v>2091.39494066</v>
      </c>
      <c r="G5" s="26">
        <f t="shared" si="1"/>
        <v>2022.5066836599999</v>
      </c>
    </row>
    <row r="6" spans="1:7" ht="30" x14ac:dyDescent="0.25">
      <c r="A6" s="25" t="s">
        <v>25</v>
      </c>
      <c r="B6" s="27" t="s">
        <v>32</v>
      </c>
      <c r="C6" s="26">
        <f t="shared" si="0"/>
        <v>14051.472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</row>
    <row r="7" spans="1:7" x14ac:dyDescent="0.25">
      <c r="A7" s="25" t="s">
        <v>3</v>
      </c>
      <c r="B7" s="27" t="s">
        <v>27</v>
      </c>
      <c r="C7" s="26">
        <f t="shared" si="0"/>
        <v>1167604.3350470001</v>
      </c>
      <c r="D7" s="26">
        <f t="shared" si="1"/>
        <v>697064.47182199999</v>
      </c>
      <c r="E7" s="26">
        <f t="shared" si="1"/>
        <v>697064.47182199999</v>
      </c>
      <c r="F7" s="26">
        <f t="shared" si="1"/>
        <v>697064.47182199999</v>
      </c>
      <c r="G7" s="26">
        <f t="shared" si="1"/>
        <v>697064.47182199999</v>
      </c>
    </row>
    <row r="8" spans="1:7" x14ac:dyDescent="0.25">
      <c r="A8" s="25" t="s">
        <v>4</v>
      </c>
      <c r="B8" s="27" t="s">
        <v>28</v>
      </c>
      <c r="C8" s="26">
        <f t="shared" si="1"/>
        <v>4505182.0250120005</v>
      </c>
      <c r="D8" s="26">
        <f t="shared" si="1"/>
        <v>4350735.2991513899</v>
      </c>
      <c r="E8" s="26">
        <f t="shared" si="1"/>
        <v>4344034.0607860601</v>
      </c>
      <c r="F8" s="26">
        <f t="shared" si="1"/>
        <v>358063.88634341996</v>
      </c>
      <c r="G8" s="26">
        <f t="shared" si="1"/>
        <v>357678.26950241998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61" t="s">
        <v>115</v>
      </c>
      <c r="C11" s="64" t="s">
        <v>118</v>
      </c>
      <c r="D11" s="64" t="s">
        <v>119</v>
      </c>
      <c r="E11" s="64" t="s">
        <v>120</v>
      </c>
      <c r="F11" s="64" t="s">
        <v>121</v>
      </c>
      <c r="G11" s="65" t="s">
        <v>122</v>
      </c>
    </row>
    <row r="12" spans="1:7" ht="19.5" thickBot="1" x14ac:dyDescent="0.3">
      <c r="B12" s="62" t="s">
        <v>116</v>
      </c>
      <c r="C12" s="66">
        <v>99785985370</v>
      </c>
      <c r="D12" s="66">
        <v>68919307997.979996</v>
      </c>
      <c r="E12" s="66">
        <v>49170518791.320007</v>
      </c>
      <c r="F12" s="66">
        <v>44561385595.300003</v>
      </c>
      <c r="G12" s="67">
        <v>43321505879.300003</v>
      </c>
    </row>
    <row r="13" spans="1:7" ht="15.75" x14ac:dyDescent="0.25">
      <c r="B13" s="63" t="s">
        <v>117</v>
      </c>
      <c r="C13" s="69">
        <v>51464345000</v>
      </c>
      <c r="D13" s="69">
        <v>49182287000</v>
      </c>
      <c r="E13" s="69">
        <v>31180192670.389999</v>
      </c>
      <c r="F13" s="69">
        <v>31180192670.389999</v>
      </c>
      <c r="G13" s="70">
        <v>30274485708.389999</v>
      </c>
    </row>
    <row r="14" spans="1:7" ht="15.75" x14ac:dyDescent="0.25">
      <c r="B14" s="68" t="s">
        <v>123</v>
      </c>
      <c r="C14" s="71">
        <v>19419071000</v>
      </c>
      <c r="D14" s="71">
        <v>16892912915.339998</v>
      </c>
      <c r="E14" s="71">
        <v>15898931180.27</v>
      </c>
      <c r="F14" s="71">
        <v>11289797984.25</v>
      </c>
      <c r="G14" s="72">
        <v>11024513487.25</v>
      </c>
    </row>
    <row r="15" spans="1:7" ht="15.75" x14ac:dyDescent="0.25">
      <c r="B15" s="68" t="s">
        <v>124</v>
      </c>
      <c r="C15" s="71">
        <v>14851097370</v>
      </c>
      <c r="D15" s="71">
        <v>2844108082.6400003</v>
      </c>
      <c r="E15" s="71">
        <v>2091394940.6599998</v>
      </c>
      <c r="F15" s="71">
        <v>2091394940.6599998</v>
      </c>
      <c r="G15" s="72">
        <v>2022506683.6599998</v>
      </c>
    </row>
    <row r="16" spans="1:7" ht="32.25" thickBot="1" x14ac:dyDescent="0.3">
      <c r="B16" s="68" t="s">
        <v>125</v>
      </c>
      <c r="C16" s="71">
        <v>14051472000</v>
      </c>
      <c r="D16" s="71">
        <v>0</v>
      </c>
      <c r="E16" s="71">
        <v>0</v>
      </c>
      <c r="F16" s="71">
        <v>0</v>
      </c>
      <c r="G16" s="72">
        <v>0</v>
      </c>
    </row>
    <row r="17" spans="2:7" ht="19.5" thickBot="1" x14ac:dyDescent="0.3">
      <c r="B17" s="62" t="s">
        <v>126</v>
      </c>
      <c r="C17" s="66">
        <v>1167604335047</v>
      </c>
      <c r="D17" s="66">
        <v>697064471822</v>
      </c>
      <c r="E17" s="66">
        <v>697064471822</v>
      </c>
      <c r="F17" s="66">
        <v>697064471822</v>
      </c>
      <c r="G17" s="67">
        <v>697064471822</v>
      </c>
    </row>
    <row r="18" spans="2:7" ht="19.5" thickBot="1" x14ac:dyDescent="0.3">
      <c r="B18" s="62" t="s">
        <v>127</v>
      </c>
      <c r="C18" s="66">
        <v>4505182025012</v>
      </c>
      <c r="D18" s="66">
        <v>4350735299151.3896</v>
      </c>
      <c r="E18" s="66">
        <v>4344034060786.0601</v>
      </c>
      <c r="F18" s="66">
        <v>358063886343.41998</v>
      </c>
      <c r="G18" s="67">
        <v>357678269502.41998</v>
      </c>
    </row>
    <row r="20" spans="2:7" x14ac:dyDescent="0.25">
      <c r="C20" s="73">
        <f>+SUM(C13:C18)</f>
        <v>5772572345429</v>
      </c>
      <c r="D20" s="73">
        <f>+SUM(D13:D18)</f>
        <v>5116719078971.3691</v>
      </c>
      <c r="E20" s="73">
        <f>+SUM(E13:E18)</f>
        <v>5090269051399.3799</v>
      </c>
      <c r="F20" s="73">
        <f t="shared" ref="F20:G20" si="2">+SUM(F13:F18)</f>
        <v>1099689743760.72</v>
      </c>
      <c r="G20" s="73">
        <f t="shared" si="2"/>
        <v>1098064247203.72</v>
      </c>
    </row>
    <row r="21" spans="2:7" x14ac:dyDescent="0.25">
      <c r="C21" s="73"/>
      <c r="D21" s="73"/>
      <c r="E21" s="73"/>
      <c r="F21" s="73"/>
      <c r="G21" s="73"/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I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9" sqref="C19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6.28515625" style="33" customWidth="1"/>
    <col min="5" max="5" width="33.28515625" style="33" bestFit="1" customWidth="1"/>
    <col min="6" max="6" width="30.7109375" style="33" bestFit="1" customWidth="1"/>
    <col min="7" max="7" width="28.28515625" style="33" customWidth="1"/>
    <col min="8" max="8" width="23" style="33" bestFit="1" customWidth="1"/>
    <col min="9" max="9" width="37.7109375" style="33" bestFit="1" customWidth="1"/>
  </cols>
  <sheetData>
    <row r="1" spans="2:9" ht="15.75" thickBot="1" x14ac:dyDescent="0.3">
      <c r="B1" s="19" t="s">
        <v>33</v>
      </c>
      <c r="C1" s="19" t="s">
        <v>1</v>
      </c>
      <c r="D1" s="81" t="s">
        <v>7</v>
      </c>
      <c r="E1" s="81" t="s">
        <v>8</v>
      </c>
      <c r="F1" s="81" t="s">
        <v>9</v>
      </c>
      <c r="G1" s="81" t="s">
        <v>10</v>
      </c>
      <c r="H1" s="81" t="s">
        <v>14</v>
      </c>
      <c r="I1" s="82" t="s">
        <v>114</v>
      </c>
    </row>
    <row r="2" spans="2:9" ht="15.75" thickTop="1" x14ac:dyDescent="0.25">
      <c r="B2" s="18" t="s">
        <v>34</v>
      </c>
      <c r="C2" s="74" t="s">
        <v>105</v>
      </c>
      <c r="D2" s="75">
        <v>199229942693</v>
      </c>
      <c r="E2" s="75">
        <v>199229942693</v>
      </c>
      <c r="F2" s="75">
        <v>199229942693</v>
      </c>
      <c r="G2" s="75">
        <v>667460180</v>
      </c>
      <c r="H2" s="75">
        <v>667460180</v>
      </c>
      <c r="I2" s="111">
        <v>0</v>
      </c>
    </row>
    <row r="3" spans="2:9" x14ac:dyDescent="0.25">
      <c r="B3" s="18" t="s">
        <v>35</v>
      </c>
      <c r="C3" s="74" t="s">
        <v>36</v>
      </c>
      <c r="D3" s="75">
        <v>3111246158</v>
      </c>
      <c r="E3" s="75">
        <v>3111246158</v>
      </c>
      <c r="F3" s="75">
        <v>3111246158</v>
      </c>
      <c r="G3" s="75">
        <v>0</v>
      </c>
      <c r="H3" s="75">
        <v>0</v>
      </c>
      <c r="I3" s="83">
        <v>0</v>
      </c>
    </row>
    <row r="4" spans="2:9" x14ac:dyDescent="0.25">
      <c r="B4" s="18" t="s">
        <v>64</v>
      </c>
      <c r="C4" s="74" t="s">
        <v>48</v>
      </c>
      <c r="D4" s="75">
        <v>267568660974</v>
      </c>
      <c r="E4" s="75">
        <v>267568660974</v>
      </c>
      <c r="F4" s="75">
        <v>267568660974</v>
      </c>
      <c r="G4" s="75">
        <v>515340818</v>
      </c>
      <c r="H4" s="75">
        <v>515340818</v>
      </c>
      <c r="I4" s="83">
        <v>0</v>
      </c>
    </row>
    <row r="5" spans="2:9" x14ac:dyDescent="0.25">
      <c r="B5" s="18" t="s">
        <v>65</v>
      </c>
      <c r="C5" s="74" t="s">
        <v>49</v>
      </c>
      <c r="D5" s="75">
        <v>175859178607</v>
      </c>
      <c r="E5" s="75">
        <v>175859178607</v>
      </c>
      <c r="F5" s="75">
        <v>175859178607</v>
      </c>
      <c r="G5" s="75">
        <v>589163443</v>
      </c>
      <c r="H5" s="75">
        <v>589163443</v>
      </c>
      <c r="I5" s="83">
        <v>0</v>
      </c>
    </row>
    <row r="6" spans="2:9" x14ac:dyDescent="0.25">
      <c r="B6" s="18" t="s">
        <v>66</v>
      </c>
      <c r="C6" s="74" t="s">
        <v>50</v>
      </c>
      <c r="D6" s="75">
        <v>253083219752</v>
      </c>
      <c r="E6" s="75">
        <v>253083219752</v>
      </c>
      <c r="F6" s="75">
        <v>253083219752</v>
      </c>
      <c r="G6" s="75">
        <v>8076357952</v>
      </c>
      <c r="H6" s="75">
        <v>8076357952</v>
      </c>
      <c r="I6" s="83">
        <v>0</v>
      </c>
    </row>
    <row r="7" spans="2:9" x14ac:dyDescent="0.25">
      <c r="B7" s="18" t="s">
        <v>67</v>
      </c>
      <c r="C7" s="74" t="s">
        <v>106</v>
      </c>
      <c r="D7" s="75">
        <v>243923443489</v>
      </c>
      <c r="E7" s="75">
        <v>243923443489</v>
      </c>
      <c r="F7" s="75">
        <v>243923443489</v>
      </c>
      <c r="G7" s="75">
        <v>21653320129</v>
      </c>
      <c r="H7" s="75">
        <v>21653320129</v>
      </c>
      <c r="I7" s="83">
        <v>0</v>
      </c>
    </row>
    <row r="8" spans="2:9" x14ac:dyDescent="0.25">
      <c r="B8" s="18" t="s">
        <v>68</v>
      </c>
      <c r="C8" s="74" t="s">
        <v>51</v>
      </c>
      <c r="D8" s="75">
        <v>173754342655</v>
      </c>
      <c r="E8" s="75">
        <v>173754342655</v>
      </c>
      <c r="F8" s="75">
        <v>173754342655</v>
      </c>
      <c r="G8" s="75">
        <v>26218470693</v>
      </c>
      <c r="H8" s="75">
        <v>26218470693</v>
      </c>
      <c r="I8" s="83">
        <v>0</v>
      </c>
    </row>
    <row r="9" spans="2:9" x14ac:dyDescent="0.25">
      <c r="B9" s="18" t="s">
        <v>69</v>
      </c>
      <c r="C9" s="74" t="s">
        <v>52</v>
      </c>
      <c r="D9" s="75">
        <v>188036887431</v>
      </c>
      <c r="E9" s="75">
        <v>188036887431</v>
      </c>
      <c r="F9" s="75">
        <v>188036887431</v>
      </c>
      <c r="G9" s="75">
        <v>31914916292</v>
      </c>
      <c r="H9" s="75">
        <v>31914916292</v>
      </c>
      <c r="I9" s="83">
        <v>0</v>
      </c>
    </row>
    <row r="10" spans="2:9" x14ac:dyDescent="0.25">
      <c r="B10" s="18" t="s">
        <v>70</v>
      </c>
      <c r="C10" s="74" t="s">
        <v>53</v>
      </c>
      <c r="D10" s="75">
        <v>230526549416</v>
      </c>
      <c r="E10" s="75">
        <v>230526549416</v>
      </c>
      <c r="F10" s="75">
        <v>230526549416</v>
      </c>
      <c r="G10" s="75">
        <v>27184528940</v>
      </c>
      <c r="H10" s="75">
        <v>27184528940</v>
      </c>
      <c r="I10" s="83">
        <v>0</v>
      </c>
    </row>
    <row r="11" spans="2:9" x14ac:dyDescent="0.25">
      <c r="B11" s="18" t="s">
        <v>71</v>
      </c>
      <c r="C11" s="74" t="s">
        <v>133</v>
      </c>
      <c r="D11" s="75">
        <v>12654096592</v>
      </c>
      <c r="E11" s="75">
        <v>11949729986.59</v>
      </c>
      <c r="F11" s="75">
        <v>11496777869.18</v>
      </c>
      <c r="G11" s="75">
        <v>6708678522.3400002</v>
      </c>
      <c r="H11" s="75">
        <v>6650800702.3400002</v>
      </c>
      <c r="I11" s="83">
        <v>0</v>
      </c>
    </row>
    <row r="12" spans="2:9" x14ac:dyDescent="0.25">
      <c r="B12" s="18" t="s">
        <v>72</v>
      </c>
      <c r="C12" s="74" t="s">
        <v>54</v>
      </c>
      <c r="D12" s="75">
        <v>222571821813</v>
      </c>
      <c r="E12" s="75">
        <v>222571821813</v>
      </c>
      <c r="F12" s="75">
        <v>222571821813</v>
      </c>
      <c r="G12" s="75">
        <v>7839829655</v>
      </c>
      <c r="H12" s="75">
        <v>7839829655</v>
      </c>
      <c r="I12" s="83">
        <v>0</v>
      </c>
    </row>
    <row r="13" spans="2:9" x14ac:dyDescent="0.25">
      <c r="B13" s="18" t="s">
        <v>73</v>
      </c>
      <c r="C13" s="74" t="s">
        <v>107</v>
      </c>
      <c r="D13" s="75">
        <v>256174672458</v>
      </c>
      <c r="E13" s="75">
        <v>256174672458</v>
      </c>
      <c r="F13" s="75">
        <v>256174672458</v>
      </c>
      <c r="G13" s="75">
        <v>783848182</v>
      </c>
      <c r="H13" s="75">
        <v>783848182</v>
      </c>
      <c r="I13" s="83">
        <v>0</v>
      </c>
    </row>
    <row r="14" spans="2:9" x14ac:dyDescent="0.25">
      <c r="B14" s="18" t="s">
        <v>74</v>
      </c>
      <c r="C14" s="74" t="s">
        <v>108</v>
      </c>
      <c r="D14" s="75">
        <v>133566456234</v>
      </c>
      <c r="E14" s="75">
        <v>133566456234</v>
      </c>
      <c r="F14" s="75">
        <v>133566456234</v>
      </c>
      <c r="G14" s="75">
        <v>426302018</v>
      </c>
      <c r="H14" s="75">
        <v>426302018</v>
      </c>
      <c r="I14" s="83">
        <v>0</v>
      </c>
    </row>
    <row r="15" spans="2:9" x14ac:dyDescent="0.25">
      <c r="B15" s="18" t="s">
        <v>75</v>
      </c>
      <c r="C15" s="74" t="s">
        <v>109</v>
      </c>
      <c r="D15" s="75">
        <v>92126982346</v>
      </c>
      <c r="E15" s="75">
        <v>92126982346</v>
      </c>
      <c r="F15" s="75">
        <v>92126982346</v>
      </c>
      <c r="G15" s="75">
        <v>308643829</v>
      </c>
      <c r="H15" s="75">
        <v>308643829</v>
      </c>
      <c r="I15" s="83">
        <v>0</v>
      </c>
    </row>
    <row r="16" spans="2:9" x14ac:dyDescent="0.25">
      <c r="B16" s="18" t="s">
        <v>76</v>
      </c>
      <c r="C16" s="74" t="s">
        <v>55</v>
      </c>
      <c r="D16" s="75">
        <v>177242188803</v>
      </c>
      <c r="E16" s="75">
        <v>177242188803</v>
      </c>
      <c r="F16" s="75">
        <v>177242188803</v>
      </c>
      <c r="G16" s="75">
        <v>12868469971</v>
      </c>
      <c r="H16" s="75">
        <v>12868469971</v>
      </c>
      <c r="I16" s="83">
        <v>0</v>
      </c>
    </row>
    <row r="17" spans="2:9" x14ac:dyDescent="0.25">
      <c r="B17" s="18" t="s">
        <v>63</v>
      </c>
      <c r="C17" s="74" t="s">
        <v>110</v>
      </c>
      <c r="D17" s="75">
        <v>186661572672</v>
      </c>
      <c r="E17" s="75">
        <v>186661572672</v>
      </c>
      <c r="F17" s="75">
        <v>186661572672</v>
      </c>
      <c r="G17" s="75">
        <v>65829708441</v>
      </c>
      <c r="H17" s="75">
        <v>65829708441</v>
      </c>
      <c r="I17" s="83">
        <v>0</v>
      </c>
    </row>
    <row r="18" spans="2:9" x14ac:dyDescent="0.25">
      <c r="B18" s="18" t="s">
        <v>77</v>
      </c>
      <c r="C18" s="74" t="s">
        <v>56</v>
      </c>
      <c r="D18" s="75">
        <v>217966528302</v>
      </c>
      <c r="E18" s="75">
        <v>217966528302</v>
      </c>
      <c r="F18" s="75">
        <v>217966528302</v>
      </c>
      <c r="G18" s="75">
        <v>35582322411</v>
      </c>
      <c r="H18" s="75">
        <v>35582322411</v>
      </c>
      <c r="I18" s="83">
        <v>0</v>
      </c>
    </row>
    <row r="19" spans="2:9" x14ac:dyDescent="0.25">
      <c r="B19" s="18" t="s">
        <v>78</v>
      </c>
      <c r="C19" s="74" t="s">
        <v>57</v>
      </c>
      <c r="D19" s="75">
        <v>264689746048</v>
      </c>
      <c r="E19" s="75">
        <v>264689746048</v>
      </c>
      <c r="F19" s="75">
        <v>264689746048</v>
      </c>
      <c r="G19" s="75">
        <v>18890851579</v>
      </c>
      <c r="H19" s="75">
        <v>18890851579</v>
      </c>
      <c r="I19" s="83">
        <v>0</v>
      </c>
    </row>
    <row r="20" spans="2:9" x14ac:dyDescent="0.25">
      <c r="B20" s="18" t="s">
        <v>79</v>
      </c>
      <c r="C20" s="74" t="s">
        <v>58</v>
      </c>
      <c r="D20" s="75">
        <v>141607661383</v>
      </c>
      <c r="E20" s="75">
        <v>141607661383</v>
      </c>
      <c r="F20" s="75">
        <v>141607661383</v>
      </c>
      <c r="G20" s="75">
        <v>35860807678</v>
      </c>
      <c r="H20" s="75">
        <v>35860807678</v>
      </c>
      <c r="I20" s="83">
        <v>0</v>
      </c>
    </row>
    <row r="21" spans="2:9" x14ac:dyDescent="0.25">
      <c r="B21" s="18" t="s">
        <v>80</v>
      </c>
      <c r="C21" s="74" t="s">
        <v>59</v>
      </c>
      <c r="D21" s="75">
        <v>326484319237</v>
      </c>
      <c r="E21" s="75">
        <v>326484319237</v>
      </c>
      <c r="F21" s="75">
        <v>326484319237</v>
      </c>
      <c r="G21" s="75">
        <v>18896410145</v>
      </c>
      <c r="H21" s="75">
        <v>18896410145</v>
      </c>
      <c r="I21" s="83">
        <v>0</v>
      </c>
    </row>
    <row r="22" spans="2:9" x14ac:dyDescent="0.25">
      <c r="B22" s="18" t="s">
        <v>81</v>
      </c>
      <c r="C22" s="74" t="s">
        <v>60</v>
      </c>
      <c r="D22" s="75">
        <v>103270216578</v>
      </c>
      <c r="E22" s="75">
        <v>103270216578</v>
      </c>
      <c r="F22" s="75">
        <v>103270216578</v>
      </c>
      <c r="G22" s="75">
        <v>2037283578</v>
      </c>
      <c r="H22" s="75">
        <v>2037283578</v>
      </c>
      <c r="I22" s="83">
        <v>0</v>
      </c>
    </row>
    <row r="23" spans="2:9" x14ac:dyDescent="0.25">
      <c r="B23" s="18" t="s">
        <v>82</v>
      </c>
      <c r="C23" s="74" t="s">
        <v>111</v>
      </c>
      <c r="D23" s="75">
        <v>323578411182</v>
      </c>
      <c r="E23" s="75">
        <v>323578411182</v>
      </c>
      <c r="F23" s="75">
        <v>323578411182</v>
      </c>
      <c r="G23" s="75">
        <v>1121067275</v>
      </c>
      <c r="H23" s="75">
        <v>1121067275</v>
      </c>
      <c r="I23" s="83">
        <v>0</v>
      </c>
    </row>
    <row r="24" spans="2:9" x14ac:dyDescent="0.25">
      <c r="B24" s="18" t="s">
        <v>83</v>
      </c>
      <c r="C24" s="74" t="s">
        <v>61</v>
      </c>
      <c r="D24" s="75">
        <v>53127095469</v>
      </c>
      <c r="E24" s="75">
        <v>53127095469</v>
      </c>
      <c r="F24" s="75">
        <v>53127095469</v>
      </c>
      <c r="G24" s="75">
        <v>0</v>
      </c>
      <c r="H24" s="75">
        <v>0</v>
      </c>
      <c r="I24" s="83">
        <v>0</v>
      </c>
    </row>
    <row r="25" spans="2:9" x14ac:dyDescent="0.25">
      <c r="B25" s="18" t="s">
        <v>104</v>
      </c>
      <c r="C25" s="74" t="s">
        <v>134</v>
      </c>
      <c r="D25" s="75">
        <v>105000000000</v>
      </c>
      <c r="E25" s="75">
        <v>4391290743.8699999</v>
      </c>
      <c r="F25" s="75">
        <v>2303964423.7199998</v>
      </c>
      <c r="G25" s="75">
        <v>1413785948.22</v>
      </c>
      <c r="H25" s="75">
        <v>1215968509.22</v>
      </c>
      <c r="I25" s="83">
        <v>0</v>
      </c>
    </row>
    <row r="26" spans="2:9" x14ac:dyDescent="0.25">
      <c r="B26" s="18" t="s">
        <v>84</v>
      </c>
      <c r="C26" s="74" t="s">
        <v>112</v>
      </c>
      <c r="D26" s="75">
        <v>2257022926</v>
      </c>
      <c r="E26" s="75">
        <v>2077848175.5</v>
      </c>
      <c r="F26" s="75">
        <v>2047563297.77</v>
      </c>
      <c r="G26" s="75">
        <v>1163760455.77</v>
      </c>
      <c r="H26" s="75">
        <v>1162460455.77</v>
      </c>
      <c r="I26" s="83">
        <v>0</v>
      </c>
    </row>
    <row r="27" spans="2:9" x14ac:dyDescent="0.25">
      <c r="B27" s="18" t="s">
        <v>129</v>
      </c>
      <c r="C27" s="74" t="s">
        <v>130</v>
      </c>
      <c r="D27" s="75">
        <v>3785000000</v>
      </c>
      <c r="E27" s="75">
        <v>3231206898</v>
      </c>
      <c r="F27" s="75">
        <v>3231206898</v>
      </c>
      <c r="G27" s="75">
        <v>530764770.92000002</v>
      </c>
      <c r="H27" s="75">
        <v>530764770.92000002</v>
      </c>
      <c r="I27" s="83">
        <v>0</v>
      </c>
    </row>
    <row r="28" spans="2:9" s="10" customFormat="1" x14ac:dyDescent="0.25">
      <c r="B28" s="18" t="s">
        <v>37</v>
      </c>
      <c r="C28" s="74" t="s">
        <v>38</v>
      </c>
      <c r="D28" s="75">
        <v>76235881312</v>
      </c>
      <c r="E28" s="75">
        <v>67875461101.620003</v>
      </c>
      <c r="F28" s="75">
        <v>66305133313.620003</v>
      </c>
      <c r="G28" s="75">
        <v>16340887254.129999</v>
      </c>
      <c r="H28" s="75">
        <v>16340887254.129999</v>
      </c>
      <c r="I28" s="84">
        <v>0</v>
      </c>
    </row>
    <row r="29" spans="2:9" s="10" customFormat="1" x14ac:dyDescent="0.25">
      <c r="B29" s="18" t="s">
        <v>85</v>
      </c>
      <c r="C29" s="74" t="s">
        <v>113</v>
      </c>
      <c r="D29" s="75">
        <v>1124097372</v>
      </c>
      <c r="E29" s="75">
        <v>903530455.25999999</v>
      </c>
      <c r="F29" s="75">
        <v>863203030.21000004</v>
      </c>
      <c r="G29" s="75">
        <v>510675898.20999998</v>
      </c>
      <c r="H29" s="75">
        <v>506004191.20999998</v>
      </c>
      <c r="I29" s="84">
        <v>0</v>
      </c>
    </row>
    <row r="30" spans="2:9" x14ac:dyDescent="0.25">
      <c r="B30" s="18" t="s">
        <v>39</v>
      </c>
      <c r="C30" s="74" t="s">
        <v>135</v>
      </c>
      <c r="D30" s="75">
        <v>1000000000</v>
      </c>
      <c r="E30" s="75">
        <v>944022500</v>
      </c>
      <c r="F30" s="75">
        <v>367253888.27999997</v>
      </c>
      <c r="G30" s="75">
        <v>3456.28</v>
      </c>
      <c r="H30" s="75">
        <v>3456.28</v>
      </c>
      <c r="I30" s="83">
        <v>0</v>
      </c>
    </row>
    <row r="31" spans="2:9" x14ac:dyDescent="0.25">
      <c r="B31" s="18" t="s">
        <v>86</v>
      </c>
      <c r="C31" s="74" t="s">
        <v>62</v>
      </c>
      <c r="D31" s="75">
        <v>3056837754</v>
      </c>
      <c r="E31" s="75">
        <v>2885515284.6500001</v>
      </c>
      <c r="F31" s="75">
        <v>2808788154.8400002</v>
      </c>
      <c r="G31" s="75">
        <v>1606882900.04</v>
      </c>
      <c r="H31" s="75">
        <v>1593089242.04</v>
      </c>
      <c r="I31" s="83">
        <v>0</v>
      </c>
    </row>
    <row r="32" spans="2:9" x14ac:dyDescent="0.25">
      <c r="B32" s="18" t="s">
        <v>131</v>
      </c>
      <c r="C32" s="74" t="s">
        <v>132</v>
      </c>
      <c r="D32" s="75">
        <v>907945356</v>
      </c>
      <c r="E32" s="75">
        <v>155653740</v>
      </c>
      <c r="F32" s="75">
        <v>150308484.16999999</v>
      </c>
      <c r="G32" s="75">
        <v>89237586.170000002</v>
      </c>
      <c r="H32" s="75">
        <v>88637586.170000002</v>
      </c>
      <c r="I32" s="83"/>
    </row>
    <row r="33" spans="2:9" x14ac:dyDescent="0.25">
      <c r="B33" s="18" t="s">
        <v>40</v>
      </c>
      <c r="C33" s="74" t="s">
        <v>136</v>
      </c>
      <c r="D33" s="75">
        <v>200000000</v>
      </c>
      <c r="E33" s="75">
        <v>157133932</v>
      </c>
      <c r="F33" s="75">
        <v>79902061.659999996</v>
      </c>
      <c r="G33" s="75">
        <v>52334240.659999996</v>
      </c>
      <c r="H33" s="75">
        <v>45325472.659999996</v>
      </c>
      <c r="I33" s="83">
        <v>0</v>
      </c>
    </row>
    <row r="34" spans="2:9" x14ac:dyDescent="0.25">
      <c r="B34" s="18" t="s">
        <v>41</v>
      </c>
      <c r="C34" s="74" t="s">
        <v>137</v>
      </c>
      <c r="D34" s="75">
        <v>58800000000</v>
      </c>
      <c r="E34" s="75">
        <v>16316554414.110001</v>
      </c>
      <c r="F34" s="75">
        <v>15640806100.779999</v>
      </c>
      <c r="G34" s="75">
        <v>8950040526.8500004</v>
      </c>
      <c r="H34" s="75">
        <v>8877163375.8500004</v>
      </c>
      <c r="I34" s="83">
        <v>0</v>
      </c>
    </row>
    <row r="35" spans="2:9" x14ac:dyDescent="0.25">
      <c r="B35" s="18" t="s">
        <v>42</v>
      </c>
      <c r="C35" s="74" t="s">
        <v>138</v>
      </c>
      <c r="D35" s="75">
        <v>5000000000</v>
      </c>
      <c r="E35" s="75">
        <v>4764692227.79</v>
      </c>
      <c r="F35" s="75">
        <v>3667254019.54</v>
      </c>
      <c r="G35" s="75">
        <v>2877987054.54</v>
      </c>
      <c r="H35" s="75">
        <v>2851003450.54</v>
      </c>
      <c r="I35" s="83">
        <v>0</v>
      </c>
    </row>
    <row r="36" spans="2:9" x14ac:dyDescent="0.25">
      <c r="B36" s="18" t="s">
        <v>44</v>
      </c>
      <c r="C36" s="74" t="s">
        <v>139</v>
      </c>
      <c r="D36" s="75">
        <v>1000000000</v>
      </c>
      <c r="E36" s="75">
        <v>921515992</v>
      </c>
      <c r="F36" s="75">
        <v>910755544.28999996</v>
      </c>
      <c r="G36" s="75">
        <v>553744520.28999996</v>
      </c>
      <c r="H36" s="75">
        <v>551057826.28999996</v>
      </c>
      <c r="I36" s="83">
        <v>0</v>
      </c>
    </row>
    <row r="37" spans="2:9" x14ac:dyDescent="0.25">
      <c r="C37" s="1"/>
    </row>
    <row r="38" spans="2:9" x14ac:dyDescent="0.25">
      <c r="D38" s="33">
        <f>SUM(D2:D36)</f>
        <v>4505182025012</v>
      </c>
      <c r="E38" s="33">
        <f t="shared" ref="E38:H38" si="0">SUM(E2:E36)</f>
        <v>4350735299151.3896</v>
      </c>
      <c r="F38" s="33">
        <f t="shared" si="0"/>
        <v>4344034060786.0596</v>
      </c>
      <c r="G38" s="33">
        <f t="shared" si="0"/>
        <v>358063886343.41986</v>
      </c>
      <c r="H38" s="33">
        <f t="shared" si="0"/>
        <v>357678269502.41986</v>
      </c>
      <c r="I38" s="33">
        <f>+SUM(I2:I36)</f>
        <v>0</v>
      </c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O67"/>
  <sheetViews>
    <sheetView showGridLines="0" showRowColHeaders="0" zoomScaleNormal="100" workbookViewId="0"/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0">
        <v>99785.985369999995</v>
      </c>
      <c r="D7" s="20">
        <v>49170.518791320006</v>
      </c>
      <c r="E7" s="20">
        <v>44561.385595300002</v>
      </c>
      <c r="F7" s="20">
        <v>43321.505879300006</v>
      </c>
    </row>
    <row r="8" spans="1:14" x14ac:dyDescent="0.25">
      <c r="B8" s="2" t="s">
        <v>27</v>
      </c>
      <c r="C8" s="20">
        <v>1167604.3350470001</v>
      </c>
      <c r="D8" s="20">
        <v>697064.47182199999</v>
      </c>
      <c r="E8" s="20">
        <v>697064.47182199999</v>
      </c>
      <c r="F8" s="20">
        <v>697064.47182199999</v>
      </c>
    </row>
    <row r="9" spans="1:14" x14ac:dyDescent="0.25">
      <c r="B9" s="2" t="s">
        <v>28</v>
      </c>
      <c r="C9" s="20">
        <v>4505182.0250120005</v>
      </c>
      <c r="D9" s="20">
        <v>4344034.0607860601</v>
      </c>
      <c r="E9" s="20">
        <v>358063.88634341996</v>
      </c>
      <c r="F9" s="20">
        <v>357678.26950241998</v>
      </c>
    </row>
    <row r="10" spans="1:14" x14ac:dyDescent="0.25">
      <c r="B10" s="2" t="s">
        <v>6</v>
      </c>
      <c r="C10" s="20">
        <v>5772572.3454290004</v>
      </c>
      <c r="D10" s="20">
        <v>5090269.05139938</v>
      </c>
      <c r="E10" s="20">
        <v>1099689.7437607199</v>
      </c>
      <c r="F10" s="20">
        <v>1098064.24720372</v>
      </c>
      <c r="H10" s="5"/>
      <c r="J10" s="5"/>
    </row>
    <row r="16" spans="1:1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5"/>
      <c r="O21" s="86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5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17"/>
      <c r="L39" s="17"/>
      <c r="M39" s="17"/>
      <c r="N39" s="17"/>
    </row>
    <row r="40" spans="1:14" hidden="1" outlineLevel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11"/>
      <c r="K40" s="11"/>
      <c r="L40" s="17"/>
      <c r="M40" s="17"/>
      <c r="N40" s="17"/>
    </row>
    <row r="41" spans="1:14" s="11" customFormat="1" hidden="1" outlineLevel="1" x14ac:dyDescent="0.25">
      <c r="A41" s="28"/>
      <c r="B41" s="87" t="s">
        <v>5</v>
      </c>
      <c r="C41" s="87" t="s">
        <v>20</v>
      </c>
      <c r="D41" s="87" t="s">
        <v>43</v>
      </c>
      <c r="E41" s="87" t="s">
        <v>18</v>
      </c>
      <c r="F41" s="87" t="s">
        <v>19</v>
      </c>
      <c r="G41" s="28"/>
      <c r="H41" s="28"/>
      <c r="I41" s="28"/>
      <c r="L41"/>
      <c r="M41"/>
      <c r="N41"/>
    </row>
    <row r="42" spans="1:14" s="11" customFormat="1" hidden="1" outlineLevel="1" x14ac:dyDescent="0.25">
      <c r="A42" s="28"/>
      <c r="B42" s="88" t="s">
        <v>26</v>
      </c>
      <c r="C42" s="89">
        <f>+GETPIVOTDATA("APROPIACION",$B$6,"DESCRIPCION","A-FUNCIONAMIENTO")</f>
        <v>99785.985369999995</v>
      </c>
      <c r="D42" s="90">
        <f>+GETPIVOTDATA("COMPROMISOS",$B$6,"DESCRIPCION","A-FUNCIONAMIENTO")/C42</f>
        <v>0.4927597659029862</v>
      </c>
      <c r="E42" s="90">
        <f>+GETPIVOTDATA(" OBLIGACIONES",$B$6,"DESCRIPCION","A-FUNCIONAMIENTO")/C42</f>
        <v>0.44656958018773135</v>
      </c>
      <c r="F42" s="90">
        <f>+GETPIVOTDATA(" PAGOS",$B$6,"DESCRIPCION","A-FUNCIONAMIENTO")/GETPIVOTDATA("APROPIACION",$B$6,"DESCRIPCION","A-FUNCIONAMIENTO")</f>
        <v>0.43414419087677147</v>
      </c>
      <c r="G42" s="28"/>
      <c r="H42" s="28"/>
      <c r="I42" s="28"/>
      <c r="L42"/>
      <c r="M42"/>
      <c r="N42"/>
    </row>
    <row r="43" spans="1:14" s="11" customFormat="1" hidden="1" outlineLevel="1" x14ac:dyDescent="0.25">
      <c r="A43" s="28"/>
      <c r="B43" s="88" t="s">
        <v>27</v>
      </c>
      <c r="C43" s="89">
        <f>+GETPIVOTDATA("APROPIACION",$B$6,"DESCRIPCION","B-SERVICIO DE LA DEUDA PÚBLICA")</f>
        <v>1167604.3350470001</v>
      </c>
      <c r="D43" s="90">
        <f>+GETPIVOTDATA("COMPROMISOS",$B$6,"DESCRIPCION","B-SERVICIO DE LA DEUDA PÚBLICA")/C43</f>
        <v>0.59700401146073234</v>
      </c>
      <c r="E43" s="90">
        <f>+GETPIVOTDATA(" OBLIGACIONES",$B$6,"DESCRIPCION","B-SERVICIO DE LA DEUDA PÚBLICA")/GETPIVOTDATA("APROPIACION",$B$6,"DESCRIPCION","B-SERVICIO DE LA DEUDA PÚBLICA")</f>
        <v>0.59700401146073234</v>
      </c>
      <c r="F43" s="90">
        <f>+GETPIVOTDATA(" PAGOS",$B$6,"DESCRIPCION","B-SERVICIO DE LA DEUDA PÚBLICA")/GETPIVOTDATA("APROPIACION",$B$6,"DESCRIPCION","B-SERVICIO DE LA DEUDA PÚBLICA")</f>
        <v>0.59700401146073234</v>
      </c>
      <c r="G43" s="28"/>
      <c r="H43" s="109"/>
      <c r="I43" s="28"/>
      <c r="L43" s="86"/>
      <c r="M43" s="86"/>
      <c r="N43" s="86"/>
    </row>
    <row r="44" spans="1:14" s="11" customFormat="1" hidden="1" outlineLevel="1" x14ac:dyDescent="0.25">
      <c r="A44" s="28"/>
      <c r="B44" s="88" t="s">
        <v>28</v>
      </c>
      <c r="C44" s="91">
        <f>+GETPIVOTDATA("APROPIACION",$B$6,"DESCRIPCION","C- INVERSION")</f>
        <v>4505182.0250120005</v>
      </c>
      <c r="D44" s="90">
        <f>+GETPIVOTDATA("COMPROMISOS",$B$6,"DESCRIPCION","C- INVERSION")/C44</f>
        <v>0.96423053201152042</v>
      </c>
      <c r="E44" s="90">
        <f>+GETPIVOTDATA(" OBLIGACIONES",$B$6,"DESCRIPCION","C- INVERSION")/GETPIVOTDATA("APROPIACION",$B$6,"DESCRIPCION","C- INVERSION")</f>
        <v>7.9478228483446503E-2</v>
      </c>
      <c r="F44" s="90">
        <f>+GETPIVOTDATA(" PAGOS",$B$6,"DESCRIPCION","C- INVERSION")/GETPIVOTDATA("APROPIACION",$B$6,"DESCRIPCION","C- INVERSION")</f>
        <v>7.9392634418909466E-2</v>
      </c>
      <c r="G44" s="28"/>
      <c r="H44" s="28"/>
      <c r="I44" s="28"/>
      <c r="L44"/>
      <c r="M44"/>
      <c r="N44"/>
    </row>
    <row r="45" spans="1:14" s="11" customFormat="1" hidden="1" outlineLevel="1" x14ac:dyDescent="0.25">
      <c r="A45" s="28"/>
      <c r="B45" s="92" t="s">
        <v>6</v>
      </c>
      <c r="C45" s="93">
        <f>+GETPIVOTDATA("APROPIACION",$B$6)</f>
        <v>5772572.3454290004</v>
      </c>
      <c r="D45" s="110">
        <f>+GETPIVOTDATA("COMPROMISOS",$B$6)/GETPIVOTDATA("APROPIACION",$B$6)</f>
        <v>0.88180255643397853</v>
      </c>
      <c r="E45" s="110">
        <f>+GETPIVOTDATA(" OBLIGACIONES",$B$6)/GETPIVOTDATA("APROPIACION",$B$6)</f>
        <v>0.19050254859629553</v>
      </c>
      <c r="F45" s="110">
        <f>+GETPIVOTDATA(" PAGOS",$B$6)/GETPIVOTDATA("APROPIACION",$B$6)</f>
        <v>0.19022095895830909</v>
      </c>
      <c r="G45" s="28"/>
      <c r="H45" s="28"/>
      <c r="I45" s="28"/>
      <c r="L45"/>
      <c r="M45"/>
      <c r="N45"/>
    </row>
    <row r="46" spans="1:14" s="11" customFormat="1" hidden="1" outlineLevel="1" x14ac:dyDescent="0.25">
      <c r="A46" s="28"/>
      <c r="B46" s="28"/>
      <c r="C46" s="28"/>
      <c r="D46" s="28"/>
      <c r="E46" s="28"/>
      <c r="F46" s="28"/>
      <c r="G46" s="28"/>
      <c r="H46" s="28"/>
      <c r="I46" s="28"/>
      <c r="L46" s="10"/>
      <c r="M46" s="10"/>
      <c r="N46" s="10"/>
    </row>
    <row r="47" spans="1:14" hidden="1" outlineLevel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11"/>
      <c r="K47" s="11"/>
    </row>
    <row r="48" spans="1:14" hidden="1" outlineLevel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11"/>
      <c r="K48" s="11"/>
    </row>
    <row r="49" spans="1:11" hidden="1" outlineLevel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11"/>
      <c r="K49" s="11"/>
    </row>
    <row r="50" spans="1:11" hidden="1" outlineLevel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11"/>
      <c r="K50" s="11"/>
    </row>
    <row r="51" spans="1:11" hidden="1" outlineLevel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11"/>
      <c r="K51" s="11"/>
    </row>
    <row r="52" spans="1:11" hidden="1" outlineLevel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11"/>
      <c r="K52" s="11"/>
    </row>
    <row r="53" spans="1:11" hidden="1" outlineLevel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11"/>
      <c r="K53" s="11"/>
    </row>
    <row r="54" spans="1:11" hidden="1" outlineLevel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11"/>
      <c r="K54" s="11"/>
    </row>
    <row r="55" spans="1:11" hidden="1" outlineLevel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11"/>
      <c r="K55" s="11"/>
    </row>
    <row r="56" spans="1:11" hidden="1" outlineLevel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11"/>
      <c r="K56" s="11"/>
    </row>
    <row r="57" spans="1:11" collapsed="1" x14ac:dyDescent="0.25">
      <c r="A57" s="28"/>
      <c r="B57" s="28"/>
      <c r="C57" s="28"/>
      <c r="D57" s="28"/>
      <c r="E57" s="28"/>
      <c r="F57" s="28"/>
      <c r="G57" s="28"/>
      <c r="H57" s="28"/>
      <c r="I57" s="28"/>
    </row>
    <row r="58" spans="1:11" x14ac:dyDescent="0.25">
      <c r="A58" s="28"/>
      <c r="B58" s="28"/>
      <c r="C58" s="28"/>
      <c r="D58" s="28"/>
      <c r="E58" s="28"/>
      <c r="F58" s="28"/>
      <c r="G58" s="28"/>
      <c r="H58" s="28"/>
      <c r="I58" s="28"/>
    </row>
    <row r="59" spans="1:11" x14ac:dyDescent="0.25">
      <c r="A59" s="28"/>
      <c r="B59" s="28"/>
      <c r="C59" s="28"/>
      <c r="D59" s="28"/>
      <c r="E59" s="28"/>
      <c r="F59" s="28"/>
      <c r="G59" s="28"/>
      <c r="H59" s="28"/>
      <c r="I59" s="28"/>
    </row>
    <row r="60" spans="1:1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2"/>
    </row>
    <row r="61" spans="1:1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11"/>
    </row>
    <row r="62" spans="1:11" x14ac:dyDescent="0.25">
      <c r="A62" s="28"/>
      <c r="B62" s="28"/>
      <c r="C62" s="28"/>
      <c r="D62" s="28"/>
      <c r="E62" s="28"/>
      <c r="F62" s="28"/>
      <c r="G62" s="28"/>
      <c r="H62" s="28"/>
      <c r="I62" s="28"/>
    </row>
    <row r="63" spans="1:11" x14ac:dyDescent="0.25">
      <c r="A63" s="28"/>
      <c r="B63" s="28"/>
      <c r="C63" s="28"/>
      <c r="D63" s="28"/>
      <c r="E63" s="28"/>
      <c r="F63" s="28"/>
      <c r="G63" s="28"/>
      <c r="H63" s="28"/>
      <c r="I63" s="28"/>
    </row>
    <row r="64" spans="1:11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9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9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x14ac:dyDescent="0.25">
      <c r="A67" s="28"/>
      <c r="B67" s="28"/>
      <c r="C67" s="28"/>
      <c r="D67" s="28"/>
      <c r="E67" s="28"/>
      <c r="F67" s="28"/>
      <c r="G67" s="28"/>
      <c r="H67" s="28"/>
      <c r="I67" s="28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53"/>
  <sheetViews>
    <sheetView showGridLines="0" showRowColHeaders="0" zoomScale="85" zoomScaleNormal="85" workbookViewId="0"/>
  </sheetViews>
  <sheetFormatPr baseColWidth="10" defaultRowHeight="15" outlineLevelRow="1" x14ac:dyDescent="0.25"/>
  <cols>
    <col min="1" max="1" width="7.42578125" customWidth="1"/>
    <col min="2" max="2" width="48.140625" bestFit="1" customWidth="1"/>
    <col min="3" max="3" width="14.140625" bestFit="1" customWidth="1"/>
    <col min="4" max="4" width="15.5703125" bestFit="1" customWidth="1"/>
    <col min="5" max="5" width="14.85546875" bestFit="1" customWidth="1"/>
    <col min="6" max="6" width="14.5703125" bestFit="1" customWidth="1"/>
  </cols>
  <sheetData>
    <row r="6" spans="2:6" ht="30" x14ac:dyDescent="0.25">
      <c r="B6" s="4" t="s">
        <v>5</v>
      </c>
      <c r="C6" s="15" t="s">
        <v>21</v>
      </c>
      <c r="D6" s="15" t="s">
        <v>12</v>
      </c>
      <c r="E6" s="15" t="s">
        <v>13</v>
      </c>
      <c r="F6" s="15" t="s">
        <v>17</v>
      </c>
    </row>
    <row r="7" spans="2:6" x14ac:dyDescent="0.25">
      <c r="B7" s="2" t="s">
        <v>29</v>
      </c>
      <c r="C7" s="20">
        <v>51464.345000000001</v>
      </c>
      <c r="D7" s="20">
        <v>31180.192670389999</v>
      </c>
      <c r="E7" s="20">
        <v>31180.192670389999</v>
      </c>
      <c r="F7" s="20">
        <v>30274.485708389999</v>
      </c>
    </row>
    <row r="8" spans="2:6" x14ac:dyDescent="0.25">
      <c r="B8" s="2" t="s">
        <v>30</v>
      </c>
      <c r="C8" s="20">
        <v>19419.071</v>
      </c>
      <c r="D8" s="20">
        <v>15898.931180270001</v>
      </c>
      <c r="E8" s="20">
        <v>11289.797984250001</v>
      </c>
      <c r="F8" s="20">
        <v>11024.51348725</v>
      </c>
    </row>
    <row r="9" spans="2:6" x14ac:dyDescent="0.25">
      <c r="B9" s="2" t="s">
        <v>31</v>
      </c>
      <c r="C9" s="20">
        <v>14851.09737</v>
      </c>
      <c r="D9" s="20">
        <v>2091.39494066</v>
      </c>
      <c r="E9" s="20">
        <v>2091.39494066</v>
      </c>
      <c r="F9" s="20">
        <v>2022.5066836599999</v>
      </c>
    </row>
    <row r="10" spans="2:6" ht="30" x14ac:dyDescent="0.25">
      <c r="B10" s="12" t="s">
        <v>32</v>
      </c>
      <c r="C10" s="20">
        <v>14051.472</v>
      </c>
      <c r="D10" s="20">
        <v>0</v>
      </c>
      <c r="E10" s="20">
        <v>0</v>
      </c>
      <c r="F10" s="20">
        <v>0</v>
      </c>
    </row>
    <row r="11" spans="2:6" x14ac:dyDescent="0.25">
      <c r="B11" s="2" t="s">
        <v>6</v>
      </c>
      <c r="C11" s="20">
        <v>99785.985369999995</v>
      </c>
      <c r="D11" s="20">
        <v>49170.518791319999</v>
      </c>
      <c r="E11" s="20">
        <v>44561.385595300002</v>
      </c>
      <c r="F11" s="20">
        <v>43321.505879299999</v>
      </c>
    </row>
    <row r="16" spans="2:6" x14ac:dyDescent="0.25">
      <c r="B16" s="14"/>
      <c r="C16" s="14"/>
      <c r="D16" s="14"/>
      <c r="E16" s="14"/>
      <c r="F16" s="14"/>
    </row>
    <row r="17" spans="2:6" x14ac:dyDescent="0.25">
      <c r="B17" s="14"/>
      <c r="C17" s="14"/>
      <c r="D17" s="14"/>
      <c r="E17" s="14"/>
      <c r="F17" s="14"/>
    </row>
    <row r="18" spans="2:6" x14ac:dyDescent="0.25">
      <c r="B18" s="14"/>
      <c r="C18" s="14"/>
      <c r="D18" s="14"/>
      <c r="E18" s="14"/>
      <c r="F18" s="14"/>
    </row>
    <row r="19" spans="2:6" x14ac:dyDescent="0.25">
      <c r="B19" s="14"/>
      <c r="C19" s="14"/>
      <c r="D19" s="14"/>
      <c r="E19" s="14"/>
      <c r="F19" s="14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14"/>
      <c r="C21" s="14"/>
      <c r="D21" s="14"/>
      <c r="E21" s="14"/>
      <c r="F21" s="14"/>
    </row>
    <row r="22" spans="2:6" x14ac:dyDescent="0.25">
      <c r="B22" s="14"/>
      <c r="C22" s="14"/>
      <c r="D22" s="14"/>
      <c r="E22" s="14"/>
      <c r="F22" s="14"/>
    </row>
    <row r="23" spans="2:6" x14ac:dyDescent="0.25">
      <c r="B23" s="14"/>
      <c r="C23" s="14"/>
      <c r="D23" s="14"/>
      <c r="E23" s="14"/>
      <c r="F23" s="14"/>
    </row>
    <row r="24" spans="2:6" x14ac:dyDescent="0.25">
      <c r="B24" s="14"/>
      <c r="C24" s="14"/>
      <c r="D24" s="14"/>
      <c r="E24" s="14"/>
      <c r="F24" s="14"/>
    </row>
    <row r="25" spans="2:6" x14ac:dyDescent="0.25">
      <c r="B25" s="14"/>
      <c r="C25" s="14"/>
      <c r="D25" s="14"/>
      <c r="E25" s="14"/>
      <c r="F25" s="14"/>
    </row>
    <row r="26" spans="2:6" x14ac:dyDescent="0.25">
      <c r="B26" s="14"/>
      <c r="C26" s="14"/>
      <c r="D26" s="14"/>
      <c r="E26" s="14"/>
      <c r="F26" s="14"/>
    </row>
    <row r="27" spans="2:6" x14ac:dyDescent="0.25">
      <c r="B27" s="14"/>
      <c r="C27" s="14"/>
      <c r="D27" s="14"/>
      <c r="E27" s="14"/>
      <c r="F27" s="14"/>
    </row>
    <row r="28" spans="2:6" x14ac:dyDescent="0.25">
      <c r="B28" s="14"/>
      <c r="C28" s="14"/>
      <c r="D28" s="14"/>
      <c r="E28" s="14"/>
      <c r="F28" s="14"/>
    </row>
    <row r="29" spans="2:6" x14ac:dyDescent="0.25">
      <c r="B29" s="14"/>
      <c r="C29" s="14"/>
      <c r="D29" s="14"/>
      <c r="E29" s="14"/>
      <c r="F29" s="14"/>
    </row>
    <row r="30" spans="2:6" x14ac:dyDescent="0.25">
      <c r="B30" s="14"/>
      <c r="C30" s="14"/>
      <c r="D30" s="14"/>
      <c r="E30" s="14"/>
      <c r="F30" s="14"/>
    </row>
    <row r="31" spans="2:6" x14ac:dyDescent="0.25">
      <c r="B31" s="14"/>
      <c r="C31" s="14"/>
      <c r="D31" s="14"/>
      <c r="E31" s="14"/>
      <c r="F31" s="14"/>
    </row>
    <row r="32" spans="2:6" x14ac:dyDescent="0.25">
      <c r="B32" s="14"/>
      <c r="C32" s="14"/>
      <c r="D32" s="14"/>
      <c r="E32" s="14"/>
      <c r="F32" s="14"/>
    </row>
    <row r="33" spans="1:11" x14ac:dyDescent="0.25">
      <c r="B33" s="14"/>
      <c r="C33" s="14"/>
      <c r="D33" s="14"/>
      <c r="E33" s="14"/>
      <c r="F33" s="14"/>
    </row>
    <row r="34" spans="1:11" x14ac:dyDescent="0.25">
      <c r="B34" s="14"/>
      <c r="C34" s="14"/>
      <c r="D34" s="14"/>
      <c r="E34" s="14"/>
      <c r="F34" s="14"/>
    </row>
    <row r="35" spans="1:11" x14ac:dyDescent="0.25">
      <c r="B35" s="14"/>
      <c r="C35" s="14"/>
      <c r="D35" s="14"/>
      <c r="E35" s="14"/>
      <c r="F35" s="14"/>
    </row>
    <row r="36" spans="1:11" x14ac:dyDescent="0.25">
      <c r="B36" s="14"/>
      <c r="C36" s="14"/>
      <c r="D36" s="14"/>
      <c r="E36" s="14"/>
      <c r="F36" s="14"/>
    </row>
    <row r="37" spans="1:11" x14ac:dyDescent="0.25">
      <c r="B37" s="14"/>
      <c r="C37" s="14"/>
      <c r="D37" s="14"/>
      <c r="E37" s="14"/>
      <c r="F37" s="14"/>
    </row>
    <row r="38" spans="1:11" x14ac:dyDescent="0.25">
      <c r="B38" s="14"/>
      <c r="C38" s="14"/>
      <c r="D38" s="14"/>
      <c r="E38" s="14"/>
      <c r="F38" s="14"/>
    </row>
    <row r="39" spans="1:11" x14ac:dyDescent="0.25">
      <c r="B39" s="14"/>
      <c r="C39" s="14"/>
      <c r="D39" s="14"/>
      <c r="E39" s="14"/>
      <c r="F39" s="14"/>
    </row>
    <row r="40" spans="1:11" x14ac:dyDescent="0.25">
      <c r="B40" s="14"/>
      <c r="C40" s="14"/>
      <c r="D40" s="14"/>
      <c r="E40" s="14"/>
      <c r="F40" s="14"/>
    </row>
    <row r="41" spans="1:11" x14ac:dyDescent="0.25">
      <c r="B41" s="14"/>
      <c r="C41" s="14"/>
      <c r="D41" s="14"/>
      <c r="E41" s="14"/>
      <c r="F41" s="14"/>
    </row>
    <row r="42" spans="1:11" x14ac:dyDescent="0.25">
      <c r="B42" s="11"/>
      <c r="C42" s="11"/>
      <c r="D42" s="11"/>
      <c r="E42" s="11"/>
      <c r="F42" s="10"/>
      <c r="G42" s="10"/>
      <c r="H42" s="10"/>
    </row>
    <row r="43" spans="1:11" x14ac:dyDescent="0.25">
      <c r="B43" s="11" t="s">
        <v>5</v>
      </c>
      <c r="C43" s="11" t="s">
        <v>21</v>
      </c>
      <c r="D43" s="11" t="s">
        <v>12</v>
      </c>
      <c r="E43" s="11" t="s">
        <v>13</v>
      </c>
      <c r="F43" s="11" t="s">
        <v>17</v>
      </c>
      <c r="G43" s="11"/>
      <c r="H43" s="10"/>
    </row>
    <row r="44" spans="1:11" hidden="1" outlineLevel="1" x14ac:dyDescent="0.25">
      <c r="A44" s="28"/>
      <c r="B44" s="94" t="s">
        <v>29</v>
      </c>
      <c r="C44" s="94">
        <f>+GETPIVOTDATA(" APROPIACION
 VIGENTE",$B$6,"DESCRIPCION","A-01 -GASTOS DE PERSONAL")</f>
        <v>51464.345000000001</v>
      </c>
      <c r="D44" s="95">
        <f>+GETPIVOTDATA(" COMPROMISOS
 ACUMULADOS",$B$6,"DESCRIPCION","A-01 -GASTOS DE PERSONAL")/GETPIVOTDATA(" APROPIACION
 VIGENTE",$B$6,"DESCRIPCION","A-01 -GASTOS DE PERSONAL")</f>
        <v>0.60586008955112514</v>
      </c>
      <c r="E44" s="95">
        <f>+GETPIVOTDATA(" OBLIGACIONES
 ACUMULADAS",$B$6,"DESCRIPCION","A-01 -GASTOS DE PERSONAL")/GETPIVOTDATA(" APROPIACION
 VIGENTE",$B$6,"DESCRIPCION","A-01 -GASTOS DE PERSONAL")</f>
        <v>0.60586008955112514</v>
      </c>
      <c r="F44" s="95">
        <f>+GETPIVOTDATA(" PAGOS
 ACUMULADOS",$B$6,"DESCRIPCION","A-01 -GASTOS DE PERSONAL")/GETPIVOTDATA(" APROPIACION
 VIGENTE",$B$6,"DESCRIPCION","A-01 -GASTOS DE PERSONAL")</f>
        <v>0.58826136247124095</v>
      </c>
      <c r="G44" s="14"/>
      <c r="H44" s="14"/>
      <c r="I44" s="14"/>
      <c r="J44" s="14"/>
      <c r="K44" s="14"/>
    </row>
    <row r="45" spans="1:11" hidden="1" outlineLevel="1" x14ac:dyDescent="0.25">
      <c r="A45" s="28"/>
      <c r="B45" s="94" t="s">
        <v>30</v>
      </c>
      <c r="C45" s="94">
        <f>+GETPIVOTDATA(" APROPIACION
 VIGENTE",$B$6,"DESCRIPCION","A-02 -ADQUISICIÓN DE BIENES  Y SERVICIOS")</f>
        <v>19419.071</v>
      </c>
      <c r="D45" s="95">
        <f>+GETPIVOTDATA(" COMPROMISOS
 ACUMULADOS",$B$6,"DESCRIPCION","A-02 -ADQUISICIÓN DE BIENES  Y SERVICIOS")/GETPIVOTDATA(" APROPIACION
 VIGENTE",$B$6,"DESCRIPCION","A-02 -ADQUISICIÓN DE BIENES  Y SERVICIOS")</f>
        <v>0.81872769198227868</v>
      </c>
      <c r="E45" s="95">
        <f>+GETPIVOTDATA(" OBLIGACIONES
 ACUMULADAS",$B$6,"DESCRIPCION","A-02 -ADQUISICIÓN DE BIENES  Y SERVICIOS")/GETPIVOTDATA(" APROPIACION
 VIGENTE",$B$6,"DESCRIPCION","A-02 -ADQUISICIÓN DE BIENES  Y SERVICIOS")</f>
        <v>0.58137683230315196</v>
      </c>
      <c r="F45" s="95">
        <f>+GETPIVOTDATA(" PAGOS
 ACUMULADOS",$B$6,"DESCRIPCION","A-02 -ADQUISICIÓN DE BIENES  Y SERVICIOS")/GETPIVOTDATA(" APROPIACION
 VIGENTE",$B$6,"DESCRIPCION","A-02 -ADQUISICIÓN DE BIENES  Y SERVICIOS")</f>
        <v>0.56771580305000169</v>
      </c>
      <c r="G45" s="14"/>
      <c r="H45" s="14"/>
      <c r="I45" s="14"/>
      <c r="J45" s="14"/>
      <c r="K45" s="14"/>
    </row>
    <row r="46" spans="1:11" hidden="1" outlineLevel="1" x14ac:dyDescent="0.25">
      <c r="A46" s="28"/>
      <c r="B46" s="94" t="s">
        <v>31</v>
      </c>
      <c r="C46" s="94">
        <f>+GETPIVOTDATA(" APROPIACION
 VIGENTE",$B$6,"DESCRIPCION","A-03-TRANSFERENCIAS CORRIENTES")</f>
        <v>14851.09737</v>
      </c>
      <c r="D46" s="95">
        <f>+GETPIVOTDATA(" COMPROMISOS
 ACUMULADOS",$B$6,"DESCRIPCION","A-03-TRANSFERENCIAS CORRIENTES")/GETPIVOTDATA(" APROPIACION
 VIGENTE",$B$6,"DESCRIPCION","A-03-TRANSFERENCIAS CORRIENTES")</f>
        <v>0.14082426965193348</v>
      </c>
      <c r="E46" s="95">
        <f>+GETPIVOTDATA(" OBLIGACIONES
 ACUMULADAS",$B$6,"DESCRIPCION","A-03-TRANSFERENCIAS CORRIENTES")/GETPIVOTDATA(" APROPIACION
 VIGENTE",$B$6,"DESCRIPCION","A-03-TRANSFERENCIAS CORRIENTES")</f>
        <v>0.14082426965193348</v>
      </c>
      <c r="F46" s="95">
        <f>+GETPIVOTDATA(" PAGOS
 ACUMULADOS",$B$6,"DESCRIPCION","A-03-TRANSFERENCIAS CORRIENTES")/GETPIVOTDATA(" APROPIACION
 VIGENTE",$B$6,"DESCRIPCION","A-03-TRANSFERENCIAS CORRIENTES")</f>
        <v>0.13618567256488198</v>
      </c>
      <c r="G46" s="14"/>
      <c r="H46" s="14"/>
      <c r="I46" s="14"/>
      <c r="J46" s="14"/>
      <c r="K46" s="14"/>
    </row>
    <row r="47" spans="1:11" hidden="1" outlineLevel="1" x14ac:dyDescent="0.25">
      <c r="A47" s="28"/>
      <c r="B47" s="94" t="s">
        <v>32</v>
      </c>
      <c r="C47" s="94">
        <f>+GETPIVOTDATA(" APROPIACION
 VIGENTE",$B$6,"DESCRIPCION","A-08-GASTOS POR TRIBUTOS, MULTAS, SANCIONES E INTERESES DE MORA")</f>
        <v>14051.472</v>
      </c>
      <c r="D47" s="95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95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95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4"/>
      <c r="H47" s="14"/>
      <c r="I47" s="14"/>
      <c r="J47" s="14"/>
      <c r="K47" s="14"/>
    </row>
    <row r="48" spans="1:11" hidden="1" outlineLevel="1" x14ac:dyDescent="0.25">
      <c r="A48" s="28"/>
      <c r="B48" s="87" t="s">
        <v>6</v>
      </c>
      <c r="C48" s="87">
        <f>+GETPIVOTDATA(" APROPIACION
 VIGENTE",$B$6)</f>
        <v>99785.985369999995</v>
      </c>
      <c r="D48" s="108">
        <f>+GETPIVOTDATA(" COMPROMISOS
 ACUMULADOS",$B$6)/GETPIVOTDATA(" APROPIACION
 VIGENTE",$B$6)</f>
        <v>0.49275976590298615</v>
      </c>
      <c r="E48" s="108">
        <f>+GETPIVOTDATA(" OBLIGACIONES
 ACUMULADAS",$B$6)/GETPIVOTDATA(" APROPIACION
 VIGENTE",$B$6)</f>
        <v>0.44656958018773135</v>
      </c>
      <c r="F48" s="108">
        <f>+GETPIVOTDATA(" PAGOS
 ACUMULADOS",$B$6)/GETPIVOTDATA(" APROPIACION
 VIGENTE",$B$6)</f>
        <v>0.43414419087677142</v>
      </c>
      <c r="G48" s="96"/>
      <c r="H48" s="14"/>
      <c r="I48" s="14"/>
      <c r="J48" s="14"/>
      <c r="K48" s="14"/>
    </row>
    <row r="49" spans="1:5" collapsed="1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3" spans="1:5" x14ac:dyDescent="0.25">
      <c r="A53" s="10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workbookViewId="0"/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1">
        <v>4505182025012</v>
      </c>
      <c r="C9" s="21">
        <v>4344034060786.0596</v>
      </c>
      <c r="D9" s="21">
        <v>358063886343.41986</v>
      </c>
      <c r="E9" s="21">
        <v>357678269502.41986</v>
      </c>
    </row>
    <row r="11" spans="2:6" x14ac:dyDescent="0.25">
      <c r="B11" s="16"/>
      <c r="F11" s="1"/>
    </row>
    <row r="15" spans="2:6" x14ac:dyDescent="0.25">
      <c r="E15" s="5"/>
    </row>
    <row r="36" spans="2:4" x14ac:dyDescent="0.25">
      <c r="B36" s="112" t="str">
        <f>+CONCATENATE("PROYECTO","  ",C6)</f>
        <v>PROYECTO  (Todas)</v>
      </c>
      <c r="C36" s="112"/>
      <c r="D36" s="112"/>
    </row>
    <row r="37" spans="2:4" ht="52.5" customHeight="1" x14ac:dyDescent="0.25">
      <c r="B37" s="112"/>
      <c r="C37" s="112"/>
      <c r="D37" s="112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sqref="A1:XFD1048576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9" width="17.85546875" bestFit="1" customWidth="1"/>
  </cols>
  <sheetData>
    <row r="1" spans="2:7" ht="15.75" thickBot="1" x14ac:dyDescent="0.3"/>
    <row r="2" spans="2:7" ht="63.75" thickBot="1" x14ac:dyDescent="0.3">
      <c r="B2" s="34" t="s">
        <v>87</v>
      </c>
      <c r="C2" s="35" t="s">
        <v>88</v>
      </c>
      <c r="D2" s="36" t="s">
        <v>89</v>
      </c>
      <c r="E2" s="37" t="s">
        <v>90</v>
      </c>
    </row>
    <row r="3" spans="2:7" ht="16.5" thickBot="1" x14ac:dyDescent="0.3">
      <c r="B3" s="42" t="s">
        <v>26</v>
      </c>
      <c r="C3" s="43">
        <f>2249648633.2/1000000</f>
        <v>2249.6486331999999</v>
      </c>
      <c r="D3" s="44">
        <v>0</v>
      </c>
      <c r="E3" s="45">
        <f>2233009086.66/1000000</f>
        <v>2233.0090866599999</v>
      </c>
      <c r="F3" s="59"/>
      <c r="G3" s="47"/>
    </row>
    <row r="4" spans="2:7" ht="19.5" thickBot="1" x14ac:dyDescent="0.3">
      <c r="B4" s="38" t="s">
        <v>128</v>
      </c>
      <c r="C4" s="39">
        <f>53197266014.59/1000000</f>
        <v>53197.266014589994</v>
      </c>
      <c r="D4" s="43">
        <f>1008218842.73/1000000</f>
        <v>1008.21884273</v>
      </c>
      <c r="E4" s="41">
        <f>41533214804.25/1000000</f>
        <v>41533.214804249998</v>
      </c>
      <c r="F4" s="58"/>
      <c r="G4" s="59"/>
    </row>
    <row r="6" spans="2:7" x14ac:dyDescent="0.25">
      <c r="C6" s="46"/>
      <c r="D6" s="46"/>
      <c r="E6" s="46"/>
    </row>
    <row r="7" spans="2:7" ht="15.75" thickBot="1" x14ac:dyDescent="0.3">
      <c r="E7" s="33"/>
    </row>
    <row r="8" spans="2:7" ht="63.75" thickBot="1" x14ac:dyDescent="0.3">
      <c r="B8" s="34" t="s">
        <v>87</v>
      </c>
      <c r="C8" s="45" t="s">
        <v>99</v>
      </c>
      <c r="E8" s="33"/>
    </row>
    <row r="9" spans="2:7" ht="19.5" thickBot="1" x14ac:dyDescent="0.3">
      <c r="B9" s="42" t="s">
        <v>26</v>
      </c>
      <c r="C9" s="41">
        <f>2249648633.2/1000000</f>
        <v>2249.6486331999999</v>
      </c>
      <c r="E9" s="47"/>
    </row>
    <row r="10" spans="2:7" ht="19.5" thickBot="1" x14ac:dyDescent="0.3">
      <c r="B10" s="38" t="s">
        <v>91</v>
      </c>
      <c r="C10" s="41">
        <f>52189047171.86/1000000</f>
        <v>52189.047171860002</v>
      </c>
      <c r="D10" s="56"/>
      <c r="E10" s="47"/>
    </row>
    <row r="12" spans="2:7" x14ac:dyDescent="0.25">
      <c r="C12" s="56"/>
      <c r="D12" s="56"/>
      <c r="E12" s="56"/>
      <c r="F12" s="59"/>
      <c r="G12" s="60"/>
    </row>
    <row r="13" spans="2:7" x14ac:dyDescent="0.25">
      <c r="C13" s="33"/>
    </row>
    <row r="14" spans="2:7" x14ac:dyDescent="0.25">
      <c r="C14" s="33"/>
    </row>
    <row r="16" spans="2:7" x14ac:dyDescent="0.25">
      <c r="C16" s="33"/>
    </row>
    <row r="17" spans="3:3" x14ac:dyDescent="0.25">
      <c r="C17" s="33"/>
    </row>
  </sheetData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/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0"/>
    </row>
    <row r="8" spans="2:6" x14ac:dyDescent="0.25">
      <c r="B8" s="51" t="s">
        <v>5</v>
      </c>
      <c r="C8" s="47" t="s">
        <v>100</v>
      </c>
    </row>
    <row r="9" spans="2:6" x14ac:dyDescent="0.25">
      <c r="B9" s="48" t="s">
        <v>26</v>
      </c>
      <c r="C9" s="47">
        <v>2249.6486331999999</v>
      </c>
    </row>
    <row r="10" spans="2:6" x14ac:dyDescent="0.25">
      <c r="B10" s="48" t="s">
        <v>91</v>
      </c>
      <c r="C10" s="47">
        <v>52189.047171860002</v>
      </c>
    </row>
    <row r="11" spans="2:6" x14ac:dyDescent="0.25">
      <c r="B11" s="48" t="s">
        <v>6</v>
      </c>
      <c r="C11" s="47">
        <v>54438.695805060001</v>
      </c>
      <c r="D11" s="55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2022-07-18T14:11:10Z</cp:lastPrinted>
  <dcterms:created xsi:type="dcterms:W3CDTF">2018-03-13T13:24:17Z</dcterms:created>
  <dcterms:modified xsi:type="dcterms:W3CDTF">2022-09-12T14:43:02Z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