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0" documentId="13_ncr:1_{9134EA3C-4A89-471A-AC41-4E93A1E27DA5}" xr6:coauthVersionLast="47" xr6:coauthVersionMax="47" xr10:uidLastSave="{00000000-0000-0000-0000-000000000000}"/>
  <bookViews>
    <workbookView xWindow="-120" yWindow="-120" windowWidth="20730" windowHeight="11160" tabRatio="0" firstSheet="7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state="hidden" r:id="rId4"/>
    <sheet name="INVERSIÓN" sheetId="4" state="hidden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state="hidden" r:id="rId9"/>
    <sheet name="Participación por Concepto" sheetId="12" r:id="rId10"/>
    <sheet name="EJECUCIÓN  RESERVA" sheetId="10" r:id="rId11"/>
    <sheet name="CXP" sheetId="13" state="hidden" r:id="rId12"/>
    <sheet name="PART. CUENTA X PAGAR CONCEPTO " sheetId="17" r:id="rId13"/>
    <sheet name="EJECUCIÓN CUENTA POR PAGAR " sheetId="19" r:id="rId14"/>
  </sheets>
  <calcPr calcId="191029"/>
  <pivotCaches>
    <pivotCache cacheId="26" r:id="rId15"/>
    <pivotCache cacheId="27" r:id="rId16"/>
    <pivotCache cacheId="28" r:id="rId17"/>
    <pivotCache cacheId="29" r:id="rId18"/>
    <pivotCache cacheId="30" r:id="rId19"/>
    <pivotCache cacheId="31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5" l="1"/>
  <c r="I48" i="5"/>
  <c r="I44" i="5"/>
  <c r="E38" i="4" l="1"/>
  <c r="D47" i="19"/>
  <c r="D46" i="19"/>
  <c r="C47" i="19"/>
  <c r="E46" i="10"/>
  <c r="C46" i="19"/>
  <c r="E45" i="10"/>
  <c r="D46" i="10"/>
  <c r="D45" i="10"/>
  <c r="C46" i="10"/>
  <c r="C45" i="10"/>
  <c r="E48" i="19"/>
  <c r="E46" i="19"/>
  <c r="E47" i="19"/>
  <c r="D47" i="10" l="1"/>
  <c r="C48" i="19"/>
  <c r="D48" i="19"/>
  <c r="C3" i="13"/>
  <c r="C9" i="13"/>
  <c r="D38" i="4" l="1"/>
  <c r="H38" i="4"/>
  <c r="G38" i="4"/>
  <c r="F38" i="4"/>
  <c r="E4" i="9" l="1"/>
  <c r="E3" i="9"/>
  <c r="E3" i="13"/>
  <c r="C10" i="13" l="1"/>
  <c r="E4" i="13"/>
  <c r="C4" i="13"/>
  <c r="C10" i="9"/>
  <c r="C4" i="9"/>
  <c r="C9" i="9"/>
  <c r="C3" i="9"/>
  <c r="C20" i="1" l="1"/>
  <c r="G20" i="1"/>
  <c r="F20" i="1"/>
  <c r="E20" i="1"/>
  <c r="D20" i="1"/>
  <c r="I38" i="4" l="1"/>
  <c r="G8" i="1" l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  <c r="C8" i="1"/>
  <c r="C7" i="1"/>
  <c r="C6" i="1"/>
  <c r="C5" i="1"/>
  <c r="C4" i="1"/>
  <c r="C3" i="1"/>
  <c r="C2" i="1"/>
  <c r="C47" i="10" l="1"/>
  <c r="B36" i="7" l="1"/>
  <c r="E43" i="3"/>
  <c r="E46" i="5"/>
  <c r="F45" i="5"/>
  <c r="E48" i="5"/>
  <c r="F44" i="3"/>
  <c r="C43" i="3"/>
  <c r="F48" i="5"/>
  <c r="F43" i="3"/>
  <c r="D47" i="5"/>
  <c r="C45" i="5"/>
  <c r="C44" i="5"/>
  <c r="F46" i="5"/>
  <c r="E44" i="3"/>
  <c r="D48" i="5"/>
  <c r="C48" i="5"/>
  <c r="C44" i="3"/>
  <c r="C45" i="3"/>
  <c r="D46" i="5"/>
  <c r="E47" i="10"/>
  <c r="F47" i="5"/>
  <c r="E45" i="3"/>
  <c r="F45" i="3"/>
  <c r="D45" i="3"/>
  <c r="C42" i="3"/>
  <c r="C46" i="5"/>
  <c r="E47" i="5"/>
  <c r="E45" i="5"/>
  <c r="E44" i="5"/>
  <c r="D44" i="5"/>
  <c r="F42" i="3"/>
  <c r="C47" i="5"/>
  <c r="D45" i="5"/>
  <c r="D42" i="3"/>
  <c r="E42" i="3"/>
  <c r="D44" i="3"/>
  <c r="D43" i="3"/>
</calcChain>
</file>

<file path=xl/sharedStrings.xml><?xml version="1.0" encoding="utf-8"?>
<sst xmlns="http://schemas.openxmlformats.org/spreadsheetml/2006/main" count="244" uniqueCount="161">
  <si>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</si>
  <si>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</si>
  <si>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</si>
  <si>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</si>
  <si>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</si>
  <si>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</si>
  <si>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</si>
  <si>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</si>
  <si>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</si>
  <si>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</si>
  <si>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</si>
  <si>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</si>
  <si>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</si>
  <si>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</si>
  <si>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</si>
  <si>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</si>
  <si>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</si>
  <si>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</si>
  <si>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</si>
  <si>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</si>
  <si>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</si>
  <si>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</si>
  <si>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</si>
  <si>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</si>
  <si>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</si>
  <si>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</si>
  <si>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</si>
  <si>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</si>
  <si>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</si>
  <si>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</si>
  <si>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</si>
  <si>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</si>
  <si>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</si>
  <si>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</si>
  <si>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</si>
  <si>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</si>
  <si>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</si>
  <si>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</si>
  <si>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</si>
  <si>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</si>
  <si>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</si>
  <si>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</si>
  <si>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</si>
  <si>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</si>
  <si>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</si>
  <si>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</si>
  <si>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</si>
  <si>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</si>
  <si>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</si>
  <si>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</si>
  <si>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</si>
  <si>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</si>
  <si>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</si>
  <si>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</si>
  <si>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</si>
  <si>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</si>
  <si>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</si>
  <si>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</si>
  <si>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</si>
  <si>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</si>
  <si>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</si>
  <si>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</si>
  <si>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</si>
  <si>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</si>
  <si>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</si>
  <si>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</si>
  <si>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</si>
  <si>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</si>
  <si>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</si>
  <si>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</si>
  <si>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</si>
  <si>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</si>
  <si>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</si>
  <si>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</si>
  <si>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</si>
  <si>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</si>
  <si>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</si>
  <si>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</si>
  <si>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</si>
  <si>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</si>
  <si>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</si>
  <si>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</si>
  <si>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</si>
  <si>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</si>
  <si>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</si>
  <si>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</si>
  <si>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</si>
  <si>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</si>
  <si>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</si>
  <si>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</si>
  <si>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</si>
  <si>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</si>
  <si>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</si>
  <si>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</si>
  <si>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</si>
  <si>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</si>
  <si>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</si>
  <si>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</si>
  <si>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</si>
  <si>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</si>
  <si>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</si>
  <si>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</si>
  <si>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</si>
  <si>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</si>
  <si>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</si>
  <si>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</si>
  <si>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</si>
  <si>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</si>
  <si>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</si>
  <si>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</si>
  <si>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</si>
  <si>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</si>
  <si>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</si>
  <si>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</si>
  <si>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</si>
  <si>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</si>
  <si>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</si>
  <si>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</si>
  <si>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</si>
  <si>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</si>
  <si>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</si>
  <si>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</si>
  <si>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</si>
  <si>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</si>
  <si>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</si>
  <si>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</si>
  <si>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</si>
  <si>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</si>
  <si>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</si>
  <si>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</si>
  <si>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</si>
  <si>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</si>
  <si>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</si>
  <si>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</si>
  <si>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</si>
  <si>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</si>
  <si>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</si>
  <si>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</si>
  <si>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</si>
  <si>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</si>
  <si>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</si>
  <si>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</si>
  <si>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</si>
  <si>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 Presupuestal Acumulada al  31/01/2022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</si>
  <si>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</si>
  <si>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</si>
  <si>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</si>
  <si>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</si>
  <si>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</si>
  <si>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</si>
  <si>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</si>
  <si>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</si>
  <si>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</si>
  <si>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</si>
  <si>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</si>
  <si>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</si>
  <si>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</si>
  <si>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</si>
  <si>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</si>
  <si>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 xml:space="preserve">CXP CONSTITUIDAS
</t>
  </si>
  <si>
    <t xml:space="preserve">CANCELACIONES CXP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</si>
</sst>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43" fontId="13" fillId="0" borderId="2" xfId="16" applyNumberFormat="1" applyFont="1" applyBorder="1"/>
    <xf numFmtId="43" fontId="15" fillId="0" borderId="4" xfId="16" applyNumberFormat="1" applyFont="1" applyBorder="1"/>
    <xf numFmtId="43" fontId="0" fillId="0" borderId="0" xfId="16" applyNumberFormat="1" applyFont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9" fontId="16" fillId="0" borderId="0" xfId="13" applyFont="1" applyFill="1" applyBorder="1"/>
    <xf numFmtId="10" fontId="16" fillId="0" borderId="0" xfId="13" applyNumberFormat="1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9" fontId="0" fillId="0" borderId="0" xfId="13" applyNumberFormat="1" applyFont="1"/>
    <xf numFmtId="43" fontId="13" fillId="0" borderId="2" xfId="16" applyNumberFormat="1" applyFont="1" applyBorder="1" applyAlignment="1">
      <alignment horizontal="center"/>
    </xf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3" fontId="15" fillId="2" borderId="4" xfId="16" applyNumberFormat="1" applyFont="1" applyFill="1" applyBorder="1"/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168" fontId="29" fillId="0" borderId="0" xfId="0" applyNumberFormat="1" applyFont="1"/>
    <xf numFmtId="10" fontId="0" fillId="0" borderId="0" xfId="0" applyNumberForma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41" fontId="31" fillId="0" borderId="0" xfId="0" applyNumberFormat="1" applyFont="1" applyFill="1" applyBorder="1"/>
    <xf numFmtId="10" fontId="31" fillId="0" borderId="0" xfId="13" applyNumberFormat="1" applyFont="1" applyFill="1" applyBorder="1"/>
    <xf numFmtId="167" fontId="31" fillId="0" borderId="0" xfId="13" applyNumberFormat="1" applyFont="1" applyFill="1" applyBorder="1"/>
    <xf numFmtId="9" fontId="31" fillId="0" borderId="0" xfId="13" applyFont="1" applyFill="1" applyBorder="1"/>
    <xf numFmtId="41" fontId="31" fillId="0" borderId="0" xfId="1" applyFont="1" applyFill="1" applyBorder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9" fontId="30" fillId="0" borderId="0" xfId="13" applyFont="1" applyFill="1" applyBorder="1"/>
    <xf numFmtId="167" fontId="30" fillId="0" borderId="0" xfId="13" applyNumberFormat="1" applyFont="1" applyFill="1" applyBorder="1"/>
    <xf numFmtId="0" fontId="32" fillId="0" borderId="0" xfId="0" applyFont="1" applyFill="1"/>
    <xf numFmtId="10" fontId="32" fillId="0" borderId="0" xfId="13" applyNumberFormat="1" applyFont="1" applyFill="1"/>
    <xf numFmtId="0" fontId="33" fillId="0" borderId="0" xfId="0" applyFont="1" applyFill="1"/>
    <xf numFmtId="9" fontId="33" fillId="0" borderId="0" xfId="13" applyFont="1" applyFill="1"/>
    <xf numFmtId="10" fontId="11" fillId="0" borderId="0" xfId="0" applyNumberFormat="1" applyFont="1" applyFill="1"/>
    <xf numFmtId="0" fontId="34" fillId="0" borderId="0" xfId="0" applyFont="1" applyFill="1" applyBorder="1"/>
    <xf numFmtId="0" fontId="11" fillId="0" borderId="0" xfId="0" applyFont="1" applyFill="1" applyBorder="1" applyAlignment="1">
      <alignment horizontal="left"/>
    </xf>
    <xf numFmtId="43" fontId="11" fillId="0" borderId="0" xfId="0" applyNumberFormat="1" applyFont="1"/>
    <xf numFmtId="10" fontId="11" fillId="0" borderId="0" xfId="13" applyNumberFormat="1" applyFont="1" applyFill="1" applyBorder="1"/>
    <xf numFmtId="9" fontId="11" fillId="0" borderId="0" xfId="13" applyFont="1" applyFill="1" applyBorder="1"/>
    <xf numFmtId="168" fontId="11" fillId="0" borderId="0" xfId="1" applyNumberFormat="1" applyFont="1" applyFill="1" applyBorder="1"/>
    <xf numFmtId="0" fontId="34" fillId="0" borderId="0" xfId="0" applyFont="1" applyFill="1" applyBorder="1" applyAlignment="1">
      <alignment horizontal="left"/>
    </xf>
    <xf numFmtId="41" fontId="34" fillId="0" borderId="0" xfId="0" applyNumberFormat="1" applyFont="1" applyFill="1" applyBorder="1"/>
    <xf numFmtId="9" fontId="34" fillId="0" borderId="0" xfId="13" applyFont="1" applyFill="1" applyBorder="1"/>
    <xf numFmtId="167" fontId="34" fillId="0" borderId="0" xfId="13" applyNumberFormat="1" applyFont="1" applyFill="1" applyBorder="1"/>
    <xf numFmtId="168" fontId="11" fillId="0" borderId="0" xfId="0" applyNumberFormat="1" applyFont="1" applyFill="1" applyBorder="1"/>
    <xf numFmtId="0" fontId="34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5"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</font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30,06%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{A2FA2E38-0546-4A76-8765-37D8C10756D6}</c15:txfldGUID>
                  <c15:f>'EJECUCIÓN CUENTA POR PAGAR '!$E$46</c15:f>
                  <c15:dlblFieldTableCache>
                    <c:ptCount val="1"/>
                    <c:pt idx="0">
                      <c:v>30,06%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{AE9E5AF7-6389-4089-8811-6F9187FB8727}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C4-41A1-8DFA-74735ED405FB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C4-41A1-8DFA-74735ED405FB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30,06%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{D1C16A8F-4CC7-454E-94D4-3E00B2C8D737}</c15:txfldGUID>
                      <c15:f>'EJECUCIÓN CUENTA POR PAGAR '!$E$46</c15:f>
                      <c15:dlblFieldTableCache>
                        <c:ptCount val="1"/>
                        <c:pt idx="0">
                          <c:v>30,06%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4C4-41A1-8DFA-74735ED405FB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{4DD27C34-AE36-45C1-AD53-6EC3383FD4B1}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4C4-41A1-8DFA-74735ED40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2373.1903357699998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31,64%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{DE4B0F76-4891-41BB-85FD-41C10D40BA10}</c15:txfldGUID>
                  <c15:f>'EJECUCIÓN CUENTA POR PAGAR '!$E$48</c15:f>
                  <c15:dlblFieldTableCache>
                    <c:ptCount val="1"/>
                    <c:pt idx="0">
                      <c:v>31,64%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18F-42DC-8467-CED4C68310D9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31,64%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{AF925699-C98B-4E50-AA83-87C865929C44}</c15:txfldGUID>
                      <c15:f>'EJECUCIÓN CUENTA POR PAGAR '!$E$48</c15:f>
                      <c15:dlblFieldTableCache>
                        <c:ptCount val="1"/>
                        <c:pt idx="0">
                          <c:v>31,64%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18F-42DC-8467-CED4C6831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2555.61900977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643677443114098E-2"/>
              <c:y val="-2.8314034052642215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4,0%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{EEA1C4AF-5680-4D2F-A60A-3B9A48E5C0F9}</c15:txfldGUID>
                  <c15:f>'APR VS RP  Y OBLIGACIÓN Y PAGO'!$F$42</c15:f>
                  <c15:dlblFieldTableCache>
                    <c:ptCount val="1"/>
                    <c:pt idx="0">
                      <c:v>4,0%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191139325532261E-2"/>
              <c:y val="-2.8314034052642309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5,0%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{A4F6431C-3166-4F88-AB94-8D31564B19F1}</c15:txfldGUID>
                  <c15:f>'APR VS RP  Y OBLIGACIÓN Y PAGO'!$E$42</c15:f>
                  <c15:dlblFieldTableCache>
                    <c:ptCount val="1"/>
                    <c:pt idx="0">
                      <c:v>5,0%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742088683510865E-2"/>
              <c:y val="-2.0592024765557975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{4DDB0F4B-620B-4300-9B6B-AD08C5CE4764}</c15:txfldGUID>
                  <c15:f>'APR VS RP  Y OBLIGACIÓN Y PAGO'!$E$43</c15:f>
                  <c15:dlblFieldTableCache>
                    <c:ptCount val="1"/>
                    <c:pt idx="0">
                      <c:v>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191139325532261E-2"/>
              <c:y val="-2.3166027861252814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{52BDB25D-39D4-4BA4-8BC2-51274C9BBACA}</c15:txfldGUID>
                  <c15:f>'APR VS RP  Y OBLIGACIÓN Y PAGO'!$F$43</c15:f>
                  <c15:dlblFieldTableCache>
                    <c:ptCount val="1"/>
                    <c:pt idx="0">
                      <c:v>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9891772230851387E-2"/>
              <c:y val="-3.8610046435421298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9,83%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{99A2EC4B-B1A8-46FA-8FE2-1438FBD34297}</c15:txfldGUID>
                  <c15:f>'APR VS RP  Y OBLIGACIÓN Y PAGO'!$E$44</c15:f>
                  <c15:dlblFieldTableCache>
                    <c:ptCount val="1"/>
                    <c:pt idx="0">
                      <c:v>9,83%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479371689794015E-2"/>
              <c:y val="-3.6036043339726362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9,83%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{1F9ECE3D-6BB1-4BB9-95D2-B3F91ABCA616}</c15:txfldGUID>
                  <c15:f>'APR VS RP  Y OBLIGACIÓN Y PAGO'!$F$44</c15:f>
                  <c15:dlblFieldTableCache>
                    <c:ptCount val="1"/>
                    <c:pt idx="0">
                      <c:v>9,83%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1051088866332847E-2"/>
              <c:y val="-3.0888037148337055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15,54%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{45CF3470-142B-4D8F-8874-E485DD8826BF}</c15:txfldGUID>
                  <c15:f>'APR VS RP  Y OBLIGACIÓN Y PAGO'!$D$42</c15:f>
                  <c15:dlblFieldTableCache>
                    <c:ptCount val="1"/>
                    <c:pt idx="0">
                      <c:v>15,54%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4143354494149196E-2"/>
              <c:y val="-2.0592024765557975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{72908727-C22C-431A-AAD9-6E0270CADABC}</c15:txfldGUID>
                  <c15:f>'APR VS RP  Y OBLIGACIÓN Y PAGO'!$D$43</c15:f>
                  <c15:dlblFieldTableCache>
                    <c:ptCount val="1"/>
                    <c:pt idx="0">
                      <c:v>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989177223085147E-2"/>
              <c:y val="-2.0592024765557975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94,97%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{64F496F1-8C50-4580-B0AC-4203B40DFC19}</c15:txfldGUID>
                  <c15:f>'APR VS RP  Y OBLIGACIÓN Y PAGO'!$D$44</c15:f>
                  <c15:dlblFieldTableCache>
                    <c:ptCount val="1"/>
                    <c:pt idx="0">
                      <c:v>94,97%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53317852763"/>
          <c:y val="9.7930886598138742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PAGO'!$F$42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PAGO'!$F$42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3.1051088866332847E-2"/>
                  <c:y val="-3.0888037148337055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15,54%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{8509D5D6-FFAD-4284-B3F8-91C970B7A341}</c15:txfldGUID>
                      <c15:f>'APR VS RP  Y OBLIGACIÓN Y PAGO'!$D$42</c15:f>
                      <c15:dlblFieldTableCache>
                        <c:ptCount val="1"/>
                        <c:pt idx="0">
                          <c:v>15,54%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2.4143354494149196E-2"/>
                  <c:y val="-2.0592024765557975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{F9DBB0B2-EC3B-4DAC-AD41-1361E4ED3807}</c15:txfldGUID>
                      <c15:f>'APR VS RP  Y OBLIGACIÓN Y PAGO'!$D$43</c15:f>
                      <c15:dlblFieldTableCache>
                        <c:ptCount val="1"/>
                        <c:pt idx="0">
                          <c:v>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2.989177223085147E-2"/>
                  <c:y val="-2.0592024765557975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94,97%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{DE5B5247-F780-4A70-BE66-CA91D3DC9FEE}</c15:txfldGUID>
                      <c15:f>'APR VS RP  Y OBLIGACIÓN Y PAGO'!$D$44</c15:f>
                      <c15:dlblFieldTableCache>
                        <c:ptCount val="1"/>
                        <c:pt idx="0">
                          <c:v>94,97%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15503.559484059999</c:v>
                </c:pt>
                <c:pt idx="1">
                  <c:v>0</c:v>
                </c:pt>
                <c:pt idx="2">
                  <c:v>4278691.96095182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PAGO'!$F$42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3.2191139325532261E-2"/>
                  <c:y val="-2.8314034052642309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5,0%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{CFEDD367-0FC4-4183-95C5-EE82C67A4EEF}</c15:txfldGUID>
                      <c15:f>'APR VS RP  Y OBLIGACIÓN Y PAGO'!$E$42</c15:f>
                      <c15:dlblFieldTableCache>
                        <c:ptCount val="1"/>
                        <c:pt idx="0">
                          <c:v>5,0%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2.8742088683510865E-2"/>
                  <c:y val="-2.0592024765557975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{0CFB5268-1B98-40F2-8CA6-229BF13F9D38}</c15:txfldGUID>
                      <c15:f>'APR VS RP  Y OBLIGACIÓN Y PAGO'!$E$43</c15:f>
                      <c15:dlblFieldTableCache>
                        <c:ptCount val="1"/>
                        <c:pt idx="0">
                          <c:v>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2.9891772230851387E-2"/>
                  <c:y val="-3.8610046435421298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9,83%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{47D08142-2C85-419B-881A-0DA6C623D01F}</c15:txfldGUID>
                      <c15:f>'APR VS RP  Y OBLIGACIÓN Y PAGO'!$E$44</c15:f>
                      <c15:dlblFieldTableCache>
                        <c:ptCount val="1"/>
                        <c:pt idx="0">
                          <c:v>9,83%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5019.5483502700008</c:v>
                </c:pt>
                <c:pt idx="1">
                  <c:v>0</c:v>
                </c:pt>
                <c:pt idx="2">
                  <c:v>442970.10852399998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2.643677443114098E-2"/>
                  <c:y val="-2.8314034052642215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4,0%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{C4C05CF2-3309-4FF8-A259-2AFF73617D4E}</c15:txfldGUID>
                      <c15:f>'APR VS RP  Y OBLIGACIÓN Y PAGO'!$F$42</c15:f>
                      <c15:dlblFieldTableCache>
                        <c:ptCount val="1"/>
                        <c:pt idx="0">
                          <c:v>4,0%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3.2191139325532261E-2"/>
                  <c:y val="-2.3166027861252814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{F13A99CA-C898-4B4C-9BC7-45CA4D0E2BFC}</c15:txfldGUID>
                      <c15:f>'APR VS RP  Y OBLIGACIÓN Y PAGO'!$F$43</c15:f>
                      <c15:dlblFieldTableCache>
                        <c:ptCount val="1"/>
                        <c:pt idx="0">
                          <c:v>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3.4479371689794015E-2"/>
                  <c:y val="-3.6036043339726362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9,83%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{3E6D3B8A-B8F9-4C2E-98AB-989A4769BB78}</c15:txfldGUID>
                      <c15:f>'APR VS RP  Y OBLIGACIÓN Y PAGO'!$F$44</c15:f>
                      <c15:dlblFieldTableCache>
                        <c:ptCount val="1"/>
                        <c:pt idx="0">
                          <c:v>9,83%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PAGO'!$F$42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PAGO'!$F$42</c:f>
              <c:numCache>
                <c:formatCode>_-* #,##0.00_-;\-* #,##0.00_-;_-* "-"_-;_-@_-</c:formatCode>
                <c:ptCount val="3"/>
                <c:pt idx="0">
                  <c:v>4037.3671442700006</c:v>
                </c:pt>
                <c:pt idx="1">
                  <c:v>0</c:v>
                </c:pt>
                <c:pt idx="2">
                  <c:v>442928.192736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7736687446490777E-3"/>
              <c:y val="-8.3666076173022474E-3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7,69%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{3CE087BE-0C29-401B-A707-CE4529949410}</c15:txfldGUID>
                  <c15:f>'APR,RP´S,OBL Y PAGO FUNCIONAMIE'!$F$45</c15:f>
                  <c15:dlblFieldTableCache>
                    <c:ptCount val="1"/>
                    <c:pt idx="0">
                      <c:v>7,69%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6.7844361826290079E-3"/>
              <c:y val="-3.0677561263441299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8,14%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{C469C81C-CDC9-4D22-939F-3366408738E7}</c15:txfldGUID>
                  <c15:f>'APR,RP´S,OBL Y PAGO FUNCIONAMIE'!$E$45</c15:f>
                  <c15:dlblFieldTableCache>
                    <c:ptCount val="1"/>
                    <c:pt idx="0">
                      <c:v>8,14%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5314203304181316E-2"/>
              <c:y val="-1.673321523460429E-2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4,94%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{06E415B4-B8B5-410E-ADD0-3AE906327821}</c15:txfldGUID>
                  <c15:f>'APR,RP´S,OBL Y PAGO FUNCIONAMIE'!$F$44</c15:f>
                  <c15:dlblFieldTableCache>
                    <c:ptCount val="1"/>
                    <c:pt idx="0">
                      <c:v>4,94%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62,12%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{799AF28F-6D52-4DDA-931F-04D2C711CC1D}</c15:txfldGUID>
                  <c15:f>'APR,RP´S,OBL Y PAGO FUNCIONAMIE'!$D$45</c15:f>
                  <c15:dlblFieldTableCache>
                    <c:ptCount val="1"/>
                    <c:pt idx="0">
                      <c:v>62,12%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569482074502741E-2"/>
              <c:y val="-2.5099822851906435E-2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6,68%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{8E214E6B-1323-4FF1-95E4-206A5C49E465}</c15:txfldGUID>
                  <c15:f>'APR,RP´S,OBL Y PAGO FUNCIONAMIE'!$E$44</c15:f>
                  <c15:dlblFieldTableCache>
                    <c:ptCount val="1"/>
                    <c:pt idx="0">
                      <c:v>6,68%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0764596307462569E-2"/>
              <c:y val="-1.9522084440371672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6,68%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{31645411-C990-4B30-AE1A-1CC435215A53}</c15:txfldGUID>
                  <c15:f>'APR,RP´S,OBL Y PAGO FUNCIONAMIE'!$D$44</c15:f>
                  <c15:dlblFieldTableCache>
                    <c:ptCount val="1"/>
                    <c:pt idx="0">
                      <c:v>6,68%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6188433108153103E-2"/>
              <c:y val="-3.9044168880743343E-2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0,01%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{BF2A5B9C-D344-4C51-A117-854062B6B218}</c15:txfldGUID>
                  <c15:f>'APR,RP´S,OBL Y PAGO FUNCIONAMIE'!$D$46</c15:f>
                  <c15:dlblFieldTableCache>
                    <c:ptCount val="1"/>
                    <c:pt idx="0">
                      <c:v>0,01%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dLbl>
          <c:idx val="0"/>
          <c:tx>
            <c:rich>
              <a:bodyPr/>
              <a:lstStyle/>
              <a:p>
                <a:fld id="{B19A1C40-9820-4B4D-891C-F7EF248FA248}" type="VALUE">
                  <a:rPr lang="es-CO"/>
                  <a:pPr/>
                  <a:t>[VALOR]</a:t>
                </a:fld>
                <a:endParaRPr lang="es-CO"/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xForSave val="1"/>
              <c15:showDataLabelsRange val="1"/>
            </c:ext>
          </c:extLst>
        </c:dLbl>
      </c:pivotFmt>
      <c:pivotFmt>
        <c:idx val="12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4.638414864938733E-3"/>
              <c:y val="-1.0225735625909853E-16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{E375D1B7-8149-4066-9C25-79AE6BDAE576}</c15:txfldGUID>
                  <c15:f>'APR,RP´S,OBL Y PAGO FUNCIONAMIE'!$E$46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9.2768297298774661E-3"/>
              <c:y val="-1.0225735625909853E-16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{E6368DBB-9589-4B60-B44A-A0A9E385CA19}</c15:txfldGUID>
                  <c15:f>'APR,RP´S,OBL Y PAGO FUNCIONAMIE'!$F$46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2.8871392269468753E-3"/>
              <c:y val="1.0225735625909853E-16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{346E17EF-AEE9-4C12-A3F5-F78D57A15A5F}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7.5255541962254016E-3"/>
              <c:y val="-2.7888692057674836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{5BFED799-9C09-4D8A-A7D4-3768576576F5}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163969061164022E-2"/>
              <c:y val="-1.0225735625909853E-16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{B08D479D-5720-4A18-95E5-3A70F25208EA}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FUNCIONAMIE'!$F$45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FUNCIONAMIE'!$F$45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E80B-44D4-B8E1-29EBA158FCCE}"/>
              </c:ext>
            </c:extLst>
          </c:dPt>
          <c:dLbls>
            <c:dLbl>
              <c:idx val="0"/>
              <c:layout>
                <c:manualLayout>
                  <c:x val="1.0764596307462569E-2"/>
                  <c:y val="-1.9522084440371672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6,68%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{04440920-0717-47D0-912B-24471AF88A44}</c15:txfldGUID>
                      <c15:f>'APR,RP´S,OBL Y PAGO FUNCIONAMIE'!$D$44</c15:f>
                      <c15:dlblFieldTableCache>
                        <c:ptCount val="1"/>
                        <c:pt idx="0">
                          <c:v>6,68%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62,12%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{B34AE082-F3CC-4725-9789-C9C48A865C1D}</c15:txfldGUID>
                      <c15:f>'APR,RP´S,OBL Y PAGO FUNCIONAMIE'!$D$45</c15:f>
                      <c15:dlblFieldTableCache>
                        <c:ptCount val="1"/>
                        <c:pt idx="0">
                          <c:v>62,12%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6188433108153103E-2"/>
                  <c:y val="-3.9044168880743343E-2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0,01%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{1E3C4DC3-60CE-4218-85F3-C3A2A6D7BF10}</c15:txfldGUID>
                      <c15:f>'APR,RP´S,OBL Y PAGO FUNCIONAMIE'!$D$46</c15:f>
                      <c15:dlblFieldTableCache>
                        <c:ptCount val="1"/>
                        <c:pt idx="0">
                          <c:v>0,01%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2.8871392269468753E-3"/>
                  <c:y val="1.0225735625909853E-16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{62556DA5-C194-4E25-A31E-018A47D632E7}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80B-44D4-B8E1-29EBA158F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3439.2714163200008</c:v>
                </c:pt>
                <c:pt idx="1">
                  <c:v>12062.89370457</c:v>
                </c:pt>
                <c:pt idx="2">
                  <c:v>1.3943631699999999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FUNCIONAMIE'!$F$45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E80B-44D4-B8E1-29EBA158FCC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80B-44D4-B8E1-29EBA158FCCE}"/>
              </c:ext>
            </c:extLst>
          </c:dPt>
          <c:dLbls>
            <c:dLbl>
              <c:idx val="0"/>
              <c:layout>
                <c:manualLayout>
                  <c:x val="1.4569482074502741E-2"/>
                  <c:y val="-2.5099822851906435E-2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6,68%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{90BFF31B-A4E6-42AB-B4F3-E8B9A3027CAD}</c15:txfldGUID>
                      <c15:f>'APR,RP´S,OBL Y PAGO FUNCIONAMIE'!$E$44</c15:f>
                      <c15:dlblFieldTableCache>
                        <c:ptCount val="1"/>
                        <c:pt idx="0">
                          <c:v>6,68%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6.7844361826290079E-3"/>
                  <c:y val="-3.0677561263441299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8,14%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{2C3E82C2-C5E0-4BBD-BA87-C6D47CDBA0F2}</c15:txfldGUID>
                      <c15:f>'APR,RP´S,OBL Y PAGO FUNCIONAMIE'!$E$45</c15:f>
                      <c15:dlblFieldTableCache>
                        <c:ptCount val="1"/>
                        <c:pt idx="0">
                          <c:v>8,14%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layout>
                <c:manualLayout>
                  <c:x val="4.638414864938733E-3"/>
                  <c:y val="-1.0225735625909853E-16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{35DC6F00-7168-4394-A361-E8774462019C}</c15:txfldGUID>
                      <c15:f>'APR,RP´S,OBL Y PAGO FUNCIONAMIE'!$E$46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80B-44D4-B8E1-29EBA158FCCE}"/>
                </c:ext>
              </c:extLst>
            </c:dLbl>
            <c:dLbl>
              <c:idx val="3"/>
              <c:layout>
                <c:manualLayout>
                  <c:x val="7.5255541962254016E-3"/>
                  <c:y val="-2.7888692057674836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{2E9F7F89-73E3-4E0E-BDE9-57A19CC5E253}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80B-44D4-B8E1-29EBA158F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3439.2714163200008</c:v>
                </c:pt>
                <c:pt idx="1">
                  <c:v>1580.2769339500001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FUNCIONAMIE'!$F$45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80B-44D4-B8E1-29EBA158FCC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80B-44D4-B8E1-29EBA158FCCE}"/>
              </c:ext>
            </c:extLst>
          </c:dPt>
          <c:dLbls>
            <c:dLbl>
              <c:idx val="0"/>
              <c:layout>
                <c:manualLayout>
                  <c:x val="1.5314203304181316E-2"/>
                  <c:y val="-1.673321523460429E-2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4,94%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{0003C386-2450-4BAD-B309-9C2F6EDB57B5}</c15:txfldGUID>
                      <c15:f>'APR,RP´S,OBL Y PAGO FUNCIONAMIE'!$F$44</c15:f>
                      <c15:dlblFieldTableCache>
                        <c:ptCount val="1"/>
                        <c:pt idx="0">
                          <c:v>4,94%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4.7736687446490777E-3"/>
                  <c:y val="-8.3666076173022474E-3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7,69%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{B8298AD6-B2ED-4F12-A757-66240BA4F8F9}</c15:txfldGUID>
                      <c15:f>'APR,RP´S,OBL Y PAGO FUNCIONAMIE'!$F$45</c15:f>
                      <c15:dlblFieldTableCache>
                        <c:ptCount val="1"/>
                        <c:pt idx="0">
                          <c:v>7,69%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9.2768297298774661E-3"/>
                  <c:y val="-1.0225735625909853E-16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{0A8609F9-B2AE-4F5A-A633-60E5EDBBC39B}</c15:txfldGUID>
                      <c15:f>'APR,RP´S,OBL Y PAGO FUNCIONAMIE'!$F$46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80B-44D4-B8E1-29EBA158FCCE}"/>
                </c:ext>
              </c:extLst>
            </c:dLbl>
            <c:dLbl>
              <c:idx val="3"/>
              <c:layout>
                <c:manualLayout>
                  <c:x val="1.2163969061164022E-2"/>
                  <c:y val="-1.0225735625909853E-16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{4AEE35AD-DB48-406F-9F62-2734EADC236B}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80B-44D4-B8E1-29EBA158F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2544.0510723200005</c:v>
                </c:pt>
                <c:pt idx="1">
                  <c:v>1493.3160719500002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4278691960951.8203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442970108524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442928192736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enero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15,06%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{50FEA59B-2399-4232-B41E-858E2FDB7746}</c15:txfldGUID>
                  <c15:f>'EJECUCIÓN  RESERVA'!$E$47</c15:f>
                  <c15:dlblFieldTableCache>
                    <c:ptCount val="1"/>
                    <c:pt idx="0">
                      <c:v>15,06%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15,06%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{57582814-05C5-4079-85B5-132819D79D26}</c15:txfldGUID>
                      <c15:f>'EJECUCIÓN  RESERVA'!$E$47</c15:f>
                      <c15:dlblFieldTableCache>
                        <c:ptCount val="1"/>
                        <c:pt idx="0">
                          <c:v>15,06%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8351.8705329999993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15,70%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{82D13A70-FCE5-4D15-BD9D-DE65DC4EC684}</c15:txfldGUID>
                  <c15:f>'EJECUCIÓN  RESERVA'!$E$46</c15:f>
                  <c15:dlblFieldTableCache>
                    <c:ptCount val="1"/>
                    <c:pt idx="0">
                      <c:v>15,70%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0,03%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{DBA6008D-CA8C-4CD3-ADC3-6D0FA25F1901}</c15:txfldGUID>
                  <c15:f>'EJECUCIÓN  RESERVA'!$E$45</c15:f>
                  <c15:dlblFieldTableCache>
                    <c:ptCount val="1"/>
                    <c:pt idx="0">
                      <c:v>0,03%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F94-4691-BE0C-CFA3A8FD06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F94-4691-BE0C-CFA3A8FD06EF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0,03%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{5B0C0273-E29B-4C51-B455-4016E0615EA4}</c15:txfldGUID>
                      <c15:f>'EJECUCIÓN  RESERVA'!$E$45</c15:f>
                      <c15:dlblFieldTableCache>
                        <c:ptCount val="1"/>
                        <c:pt idx="0">
                          <c:v>0,03%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AF94-4691-BE0C-CFA3A8FD06EF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15,70%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{8E0FE178-4FFC-4E28-A971-E7ED864C7DB4}</c15:txfldGUID>
                      <c15:f>'EJECUCIÓN  RESERVA'!$E$46</c15:f>
                      <c15:dlblFieldTableCache>
                        <c:ptCount val="1"/>
                        <c:pt idx="0">
                          <c:v>15,70%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F94-4691-BE0C-CFA3A8FD06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0.734734</c:v>
                </c:pt>
                <c:pt idx="1">
                  <c:v>8351.1357989999997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Enero_2022.xlsx]PART.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enero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5.xml"/><Relationship Id="rId6" Type="http://schemas.microsoft.com/office/2007/relationships/hdphoto" Target="../media/hdphoto2.wdp"/><Relationship Id="rId5" Type="http://schemas.openxmlformats.org/officeDocument/2006/relationships/image" Target="../media/image8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66675</xdr:rowOff>
    </xdr:from>
    <xdr:to>
      <xdr:col>2</xdr:col>
      <xdr:colOff>1224408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114301</xdr:rowOff>
    </xdr:from>
    <xdr:ext cx="5105400" cy="85725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1"/>
          <a:ext cx="5105400" cy="857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31 de enero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71966</xdr:colOff>
      <xdr:row>0</xdr:row>
      <xdr:rowOff>95346</xdr:rowOff>
    </xdr:from>
    <xdr:to>
      <xdr:col>2</xdr:col>
      <xdr:colOff>1649665</xdr:colOff>
      <xdr:row>3</xdr:row>
      <xdr:rowOff>152496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042" y="95346"/>
          <a:ext cx="2530199" cy="634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Ejecución Reservas a 31 de enero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442191</xdr:colOff>
      <xdr:row>28</xdr:row>
      <xdr:rowOff>134696</xdr:rowOff>
    </xdr:from>
    <xdr:to>
      <xdr:col>6</xdr:col>
      <xdr:colOff>413617</xdr:colOff>
      <xdr:row>54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1668556</xdr:colOff>
      <xdr:row>0</xdr:row>
      <xdr:rowOff>136712</xdr:rowOff>
    </xdr:from>
    <xdr:ext cx="5144621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752850" y="136712"/>
          <a:ext cx="5144621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943129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294529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685222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356325</xdr:colOff>
      <xdr:row>30</xdr:row>
      <xdr:rowOff>19796</xdr:rowOff>
    </xdr:from>
    <xdr:to>
      <xdr:col>5</xdr:col>
      <xdr:colOff>535167</xdr:colOff>
      <xdr:row>55</xdr:row>
      <xdr:rowOff>165257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1696809</xdr:colOff>
      <xdr:row>0</xdr:row>
      <xdr:rowOff>178254</xdr:rowOff>
    </xdr:from>
    <xdr:ext cx="709340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2595" y="178254"/>
          <a:ext cx="709340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800" b="0" i="1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enero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161925</xdr:rowOff>
    </xdr:from>
    <xdr:to>
      <xdr:col>7</xdr:col>
      <xdr:colOff>285750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457200</xdr:colOff>
      <xdr:row>0</xdr:row>
      <xdr:rowOff>38100</xdr:rowOff>
    </xdr:from>
    <xdr:to>
      <xdr:col>2</xdr:col>
      <xdr:colOff>148083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5105400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510540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5038725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123825"/>
          <a:ext cx="5038725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2022</a:t>
          </a:r>
        </a:p>
      </xdr:txBody>
    </xdr:sp>
    <xdr:clientData/>
  </xdr:oneCellAnchor>
  <xdr:twoCellAnchor>
    <xdr:from>
      <xdr:col>0</xdr:col>
      <xdr:colOff>498227</xdr:colOff>
      <xdr:row>11</xdr:row>
      <xdr:rowOff>133350</xdr:rowOff>
    </xdr:from>
    <xdr:to>
      <xdr:col>12</xdr:col>
      <xdr:colOff>479180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498227" y="2228850"/>
          <a:ext cx="11010903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457730</xdr:colOff>
      <xdr:row>0</xdr:row>
      <xdr:rowOff>1</xdr:rowOff>
    </xdr:from>
    <xdr:to>
      <xdr:col>1</xdr:col>
      <xdr:colOff>1628775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30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2085976</xdr:colOff>
      <xdr:row>0</xdr:row>
      <xdr:rowOff>105641</xdr:rowOff>
    </xdr:from>
    <xdr:ext cx="5208438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81276" y="105641"/>
          <a:ext cx="5208438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242455</xdr:colOff>
      <xdr:row>12</xdr:row>
      <xdr:rowOff>35501</xdr:rowOff>
    </xdr:from>
    <xdr:to>
      <xdr:col>7</xdr:col>
      <xdr:colOff>112568</xdr:colOff>
      <xdr:row>36</xdr:row>
      <xdr:rowOff>17318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819151</xdr:colOff>
      <xdr:row>0</xdr:row>
      <xdr:rowOff>161925</xdr:rowOff>
    </xdr:from>
    <xdr:ext cx="5518434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781426" y="161925"/>
          <a:ext cx="551843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Administrativa y Financiera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enero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355465277775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0" maxValue="326484319237"/>
    </cacheField>
    <cacheField name="COMPROMISOS_x000a_ ACUMULADOS" numFmtId="4">
      <sharedItems containsSemiMixedTypes="0" containsString="0" containsNumber="1" minValue="0" maxValue="326484319237"/>
    </cacheField>
    <cacheField name="OBLIGACIONES_x000a_ ACUMULADAS" numFmtId="4">
      <sharedItems containsSemiMixedTypes="0" containsString="0" containsNumber="1" minValue="0" maxValue="126080065359"/>
    </cacheField>
    <cacheField name="PAGOS_x000a_ ACUMULADOS" numFmtId="4">
      <sharedItems containsSemiMixedTypes="0" containsString="0" containsNumber="1" minValue="0" maxValue="1260800653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355465740744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0.734734" maxValue="8351.135798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355466319445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2249.6486331999999" maxValue="53197.26601458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355466666668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21900.8200660003"/>
    </cacheField>
    <cacheField name="COMPROMISOS_x000a_ ACUMULADOS" numFmtId="168">
      <sharedItems containsSemiMixedTypes="0" containsString="0" containsNumber="1" minValue="0" maxValue="4278691.96095182"/>
    </cacheField>
    <cacheField name="OBLIGACIONES_x000a_ ACUMULADAS" numFmtId="168">
      <sharedItems containsSemiMixedTypes="0" containsString="0" containsNumber="1" minValue="0" maxValue="442970.10852399998"/>
    </cacheField>
    <cacheField name="PAGOS_x000a_A CUMULADOS" numFmtId="168">
      <sharedItems containsSemiMixedTypes="0" containsString="0" containsNumber="1" minValue="0" maxValue="442928.1927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355467476853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64.355467824076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2373.19033576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2031213677.5"/>
    <n v="10331136315.559999"/>
    <n v="18751095.859999999"/>
    <n v="8635428.0600000005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26080065359"/>
    <n v="126080065359"/>
    <n v="126080065359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2257520000"/>
    <n v="0"/>
    <n v="0"/>
    <n v="0"/>
  </r>
  <r>
    <s v="C-2403-0600-4"/>
    <x v="24"/>
    <n v="2257022926"/>
    <n v="2060429714.5"/>
    <n v="1861775862.5"/>
    <n v="571245"/>
    <n v="571245"/>
  </r>
  <r>
    <s v="C-2403-0600-5"/>
    <x v="25"/>
    <n v="3785000000"/>
    <n v="0"/>
    <n v="0"/>
    <n v="0"/>
    <n v="0"/>
  </r>
  <r>
    <s v="C-2404-0600-2"/>
    <x v="26"/>
    <n v="76235881312"/>
    <n v="49002053305"/>
    <n v="23514310167"/>
    <n v="0"/>
    <n v="0"/>
  </r>
  <r>
    <s v="C-2404-0600-4"/>
    <x v="27"/>
    <n v="1124097372"/>
    <n v="927133221"/>
    <n v="813928010.70000005"/>
    <n v="748.7"/>
    <n v="748.7"/>
  </r>
  <r>
    <s v="C-2405-0600-2"/>
    <x v="28"/>
    <n v="1000000000"/>
    <n v="367252932"/>
    <n v="367250432"/>
    <n v="0"/>
    <n v="0"/>
  </r>
  <r>
    <s v="C-2405-0600-4"/>
    <x v="29"/>
    <n v="3056837754"/>
    <n v="2930700036"/>
    <n v="2660509640.2399998"/>
    <n v="2746304.44"/>
    <n v="12924.24"/>
  </r>
  <r>
    <s v="C-2406-0600-1"/>
    <x v="30"/>
    <n v="907945356"/>
    <n v="160846981"/>
    <n v="104883898"/>
    <n v="0"/>
    <n v="0"/>
  </r>
  <r>
    <s v="C-2499-0600-7"/>
    <x v="31"/>
    <n v="200000000"/>
    <n v="80605832"/>
    <n v="79899955"/>
    <n v="1907942"/>
    <n v="0"/>
  </r>
  <r>
    <s v="C-2499-0600-8"/>
    <x v="32"/>
    <n v="58800000000"/>
    <n v="14896599708"/>
    <n v="9293210882.8199997"/>
    <n v="102840"/>
    <n v="102840"/>
  </r>
  <r>
    <s v="C-2499-0600-9"/>
    <x v="33"/>
    <n v="5000000000"/>
    <n v="2084998109"/>
    <n v="2079583747"/>
    <n v="27161798"/>
    <n v="3000"/>
  </r>
  <r>
    <s v="C-2499-0600-10"/>
    <x v="34"/>
    <n v="1000000000"/>
    <n v="940322850"/>
    <n v="910719216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0.734734"/>
  </r>
  <r>
    <x v="1"/>
    <n v="53197.266014589994"/>
    <n v="0"/>
    <n v="8351.135798999999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3197.26601458999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2891.891058000001"/>
    <n v="15503.559484059999"/>
    <n v="5019.5483502700008"/>
    <n v="4037.3671442700006"/>
  </r>
  <r>
    <s v="A-01"/>
    <x v="1"/>
    <n v="51464.345000000001"/>
    <n v="49182.286999999997"/>
    <n v="3439.2714163200008"/>
    <n v="3439.2714163200008"/>
    <n v="2544.0510723200005"/>
  </r>
  <r>
    <s v="A-02"/>
    <x v="2"/>
    <n v="19419.071"/>
    <n v="13506.840058"/>
    <n v="12062.89370457"/>
    <n v="1580.2769339500001"/>
    <n v="1493.3160719500002"/>
  </r>
  <r>
    <s v="A-03"/>
    <x v="3"/>
    <n v="14851.09737"/>
    <n v="202.76400000000001"/>
    <n v="1.3943631699999999"/>
    <n v="0"/>
    <n v="0"/>
  </r>
  <r>
    <s v="A-08"/>
    <x v="4"/>
    <n v="14051.472"/>
    <n v="0"/>
    <n v="0"/>
    <n v="0"/>
    <n v="0"/>
  </r>
  <r>
    <s v="B"/>
    <x v="5"/>
    <n v="1167604.3350470001"/>
    <n v="0"/>
    <n v="0"/>
    <n v="0"/>
    <n v="0"/>
  </r>
  <r>
    <s v="C"/>
    <x v="6"/>
    <n v="4505182.0250120005"/>
    <n v="4321900.8200660003"/>
    <n v="4278691.96095182"/>
    <n v="442970.10852399998"/>
    <n v="442928.19273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2373.1903357699998"/>
  </r>
  <r>
    <x v="1"/>
    <n v="182.428674"/>
    <n v="0"/>
    <n v="182.42867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4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3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5"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outline="0" fieldPosition="0">
        <references count="1">
          <reference field="4294967294" count="1">
            <x v="2"/>
          </reference>
        </references>
      </pivotArea>
    </format>
    <format dxfId="61">
      <pivotArea outline="0" fieldPosition="0">
        <references count="1">
          <reference field="4294967294" count="1">
            <x v="3"/>
          </reference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59">
      <pivotArea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3"/>
          </reference>
        </references>
      </pivotArea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2">
      <pivotArea outline="0" fieldPosition="0">
        <references count="1">
          <reference field="4294967294" count="1">
            <x v="1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/>
    </format>
    <format dxfId="49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8">
      <pivotArea dataOnly="0" labelOnly="1" fieldPosition="0">
        <references count="1">
          <reference field="1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outline="0" collapsedLevelsAreSubtotals="1" fieldPosition="0"/>
    </format>
  </formats>
  <chartFormats count="42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0">
      <pivotArea collapsedLevelsAreSubtotals="1" fieldPosition="0">
        <references count="1">
          <reference field="1" count="0"/>
        </references>
      </pivotArea>
    </format>
    <format dxfId="39">
      <pivotArea grandRow="1" outline="0" collapsedLevelsAreSubtotals="1" fieldPosition="0"/>
    </format>
    <format dxfId="38">
      <pivotArea collapsedLevelsAreSubtotals="1" fieldPosition="0">
        <references count="1">
          <reference field="1" count="0"/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">
      <pivotArea dataOnly="0" outline="0" fieldPosition="0">
        <references count="1">
          <reference field="1" count="0"/>
        </references>
      </pivotArea>
    </format>
    <format dxfId="34">
      <pivotArea field="1" type="button" dataOnly="0" labelOnly="1" outline="0" axis="axisPage" fieldPosition="0"/>
    </format>
    <format dxfId="33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2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0" type="button" dataOnly="0" labelOnly="1" outline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2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3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1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3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>
      <selection activeCell="J9" sqref="J9"/>
    </sheetView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96" t="s">
        <v>147</v>
      </c>
    </row>
    <row r="8" spans="1:2" ht="36" x14ac:dyDescent="0.55000000000000004">
      <c r="B8" s="68" t="s">
        <v>96</v>
      </c>
    </row>
    <row r="9" spans="1:2" ht="36" x14ac:dyDescent="0.55000000000000004">
      <c r="B9" s="66" t="s">
        <v>45</v>
      </c>
    </row>
    <row r="10" spans="1:2" ht="36" x14ac:dyDescent="0.55000000000000004">
      <c r="B10" s="66" t="s">
        <v>143</v>
      </c>
    </row>
    <row r="11" spans="1:2" ht="36" x14ac:dyDescent="0.55000000000000004">
      <c r="B11" s="66" t="s">
        <v>46</v>
      </c>
    </row>
    <row r="12" spans="1:2" ht="36" x14ac:dyDescent="0.55000000000000004">
      <c r="B12" s="66" t="s">
        <v>47</v>
      </c>
    </row>
    <row r="13" spans="1:2" ht="36" x14ac:dyDescent="0.55000000000000004">
      <c r="B13" s="67"/>
    </row>
    <row r="14" spans="1:2" ht="36" x14ac:dyDescent="0.55000000000000004">
      <c r="B14" s="68" t="s">
        <v>97</v>
      </c>
    </row>
    <row r="15" spans="1:2" ht="36" x14ac:dyDescent="0.55000000000000004">
      <c r="B15" s="66" t="s">
        <v>98</v>
      </c>
    </row>
    <row r="16" spans="1:2" ht="36" x14ac:dyDescent="0.55000000000000004">
      <c r="B16" s="66" t="s">
        <v>97</v>
      </c>
    </row>
    <row r="17" spans="2:2" ht="36" x14ac:dyDescent="0.55000000000000004">
      <c r="B17" s="13"/>
    </row>
    <row r="19" spans="2:2" ht="36" x14ac:dyDescent="0.55000000000000004">
      <c r="B19" s="68" t="s">
        <v>144</v>
      </c>
    </row>
    <row r="20" spans="2:2" ht="36" x14ac:dyDescent="0.55000000000000004">
      <c r="B20" s="66" t="s">
        <v>145</v>
      </c>
    </row>
    <row r="21" spans="2:2" ht="36" x14ac:dyDescent="0.55000000000000004">
      <c r="B21" s="66" t="s">
        <v>146</v>
      </c>
    </row>
    <row r="22" spans="2:2" ht="36" x14ac:dyDescent="0.55000000000000004">
      <c r="B22" s="95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topLeftCell="B1" zoomScale="99" workbookViewId="0">
      <selection activeCell="K4" sqref="K4"/>
    </sheetView>
  </sheetViews>
  <sheetFormatPr baseColWidth="10" defaultRowHeight="15" outlineLevelRow="2" x14ac:dyDescent="0.25"/>
  <cols>
    <col min="2" max="2" width="14.28515625" bestFit="1" customWidth="1"/>
    <col min="3" max="3" width="26" bestFit="1" customWidth="1"/>
    <col min="4" max="4" width="14.140625" bestFit="1" customWidth="1"/>
    <col min="5" max="5" width="14.140625" customWidth="1"/>
    <col min="6" max="6" width="11.5703125" bestFit="1" customWidth="1"/>
  </cols>
  <sheetData>
    <row r="6" spans="2:11" ht="90" x14ac:dyDescent="0.25">
      <c r="B6" s="63" t="s">
        <v>93</v>
      </c>
      <c r="C6" s="64" t="s">
        <v>92</v>
      </c>
      <c r="D6" s="64" t="s">
        <v>94</v>
      </c>
      <c r="E6" s="64" t="s">
        <v>95</v>
      </c>
      <c r="F6" s="23"/>
    </row>
    <row r="7" spans="2:11" x14ac:dyDescent="0.25">
      <c r="B7" s="62" t="s">
        <v>26</v>
      </c>
      <c r="C7" s="61">
        <v>2249.6486331999999</v>
      </c>
      <c r="D7" s="61">
        <v>0</v>
      </c>
      <c r="E7" s="61">
        <v>0.734734</v>
      </c>
      <c r="F7" s="73"/>
    </row>
    <row r="8" spans="2:11" x14ac:dyDescent="0.25">
      <c r="B8" s="62" t="s">
        <v>128</v>
      </c>
      <c r="C8" s="61">
        <v>53197.266014589994</v>
      </c>
      <c r="D8" s="61">
        <v>0</v>
      </c>
      <c r="E8" s="61">
        <v>8351.1357989999997</v>
      </c>
      <c r="F8" s="74"/>
    </row>
    <row r="9" spans="2:11" x14ac:dyDescent="0.25">
      <c r="B9" s="62" t="s">
        <v>6</v>
      </c>
      <c r="C9" s="61">
        <v>55446.914647789992</v>
      </c>
      <c r="D9" s="61">
        <v>0</v>
      </c>
      <c r="E9" s="61">
        <v>8351.8705329999993</v>
      </c>
    </row>
    <row r="10" spans="2:11" x14ac:dyDescent="0.25">
      <c r="B10" s="62"/>
      <c r="C10" s="61"/>
      <c r="D10" s="61"/>
      <c r="E10" s="61"/>
    </row>
    <row r="11" spans="2:11" ht="18.75" x14ac:dyDescent="0.3">
      <c r="B11" s="132" t="s">
        <v>102</v>
      </c>
      <c r="C11" s="132"/>
      <c r="D11" s="132"/>
      <c r="E11" s="132"/>
      <c r="F11" s="132"/>
      <c r="G11" s="132"/>
    </row>
    <row r="12" spans="2:11" x14ac:dyDescent="0.25">
      <c r="H12" s="5"/>
      <c r="J12" s="5"/>
    </row>
    <row r="14" spans="2:11" x14ac:dyDescent="0.25">
      <c r="E14" s="18"/>
      <c r="F14" s="18"/>
      <c r="K14" s="101"/>
    </row>
    <row r="15" spans="2:11" x14ac:dyDescent="0.25">
      <c r="E15" s="18"/>
      <c r="F15" s="18"/>
    </row>
    <row r="16" spans="2:11" x14ac:dyDescent="0.25">
      <c r="B16" s="71"/>
      <c r="C16" s="71"/>
      <c r="D16" s="71"/>
      <c r="E16" s="72"/>
      <c r="F16" s="72"/>
    </row>
    <row r="17" spans="1:14" x14ac:dyDescent="0.25">
      <c r="B17" s="71"/>
      <c r="C17" s="71"/>
      <c r="D17" s="71"/>
      <c r="E17" s="72"/>
      <c r="F17" s="72"/>
    </row>
    <row r="18" spans="1:14" x14ac:dyDescent="0.25">
      <c r="A18" s="18"/>
      <c r="B18" s="71"/>
      <c r="C18" s="71"/>
      <c r="D18" s="71"/>
      <c r="E18" s="72"/>
      <c r="F18" s="72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71"/>
      <c r="C19" s="71"/>
      <c r="D19" s="71"/>
      <c r="E19" s="72"/>
      <c r="F19" s="72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8"/>
      <c r="B20" s="71"/>
      <c r="C20" s="71"/>
      <c r="D20" s="71"/>
      <c r="E20" s="72"/>
      <c r="F20" s="72"/>
      <c r="G20" s="18"/>
      <c r="H20" s="18"/>
      <c r="I20" s="98"/>
      <c r="J20" s="18"/>
      <c r="K20" s="117"/>
      <c r="L20" s="18"/>
      <c r="M20" s="18"/>
      <c r="N20" s="18"/>
    </row>
    <row r="21" spans="1:14" x14ac:dyDescent="0.25">
      <c r="A21" s="18"/>
      <c r="B21" s="71"/>
      <c r="C21" s="71"/>
      <c r="D21" s="71"/>
      <c r="E21" s="72"/>
      <c r="F21" s="72"/>
      <c r="G21" s="18"/>
      <c r="H21" s="18"/>
      <c r="I21" s="99"/>
      <c r="J21" s="18"/>
      <c r="K21" s="18"/>
      <c r="L21" s="18"/>
      <c r="M21" s="18"/>
      <c r="N21" s="18"/>
    </row>
    <row r="22" spans="1:14" x14ac:dyDescent="0.25">
      <c r="A22" s="18"/>
      <c r="B22" s="71"/>
      <c r="C22" s="71"/>
      <c r="D22" s="71"/>
      <c r="E22" s="72"/>
      <c r="F22" s="72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71"/>
      <c r="C23" s="71"/>
      <c r="D23" s="71"/>
      <c r="E23" s="72"/>
      <c r="F23" s="72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71"/>
      <c r="C24" s="71"/>
      <c r="D24" s="71"/>
      <c r="E24" s="72"/>
      <c r="F24" s="72"/>
      <c r="G24" s="18"/>
      <c r="H24" s="18"/>
      <c r="I24" s="117"/>
      <c r="J24" s="18"/>
      <c r="K24" s="18"/>
      <c r="L24" s="18"/>
      <c r="M24" s="18"/>
      <c r="N24" s="18"/>
    </row>
    <row r="25" spans="1:14" x14ac:dyDescent="0.25">
      <c r="A25" s="18"/>
      <c r="B25" s="71"/>
      <c r="C25" s="71"/>
      <c r="D25" s="71"/>
      <c r="E25" s="72"/>
      <c r="F25" s="72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72"/>
      <c r="C26" s="72"/>
      <c r="D26" s="72"/>
      <c r="E26" s="72"/>
      <c r="F26" s="72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x14ac:dyDescent="0.3">
      <c r="A28" s="18"/>
      <c r="B28" s="131" t="s">
        <v>101</v>
      </c>
      <c r="C28" s="131"/>
      <c r="D28" s="131"/>
      <c r="E28" s="131"/>
      <c r="F28" s="131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60" hidden="1" outlineLevel="2" x14ac:dyDescent="0.25">
      <c r="A31" s="18"/>
      <c r="B31" s="64" t="s">
        <v>92</v>
      </c>
      <c r="C31" s="64" t="s">
        <v>94</v>
      </c>
      <c r="D31" s="64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61">
        <v>55446.914647789992</v>
      </c>
      <c r="C32" s="61">
        <v>0</v>
      </c>
      <c r="D32" s="61">
        <v>8351.8705329999993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8"/>
      <c r="C42" s="38"/>
      <c r="D42" s="38"/>
      <c r="E42" s="38"/>
      <c r="F42" s="3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8"/>
      <c r="C43" s="38"/>
      <c r="D43" s="38"/>
      <c r="E43" s="38"/>
      <c r="F43" s="38"/>
      <c r="G43" s="18"/>
      <c r="H43" s="18"/>
      <c r="I43" s="18"/>
      <c r="J43" s="18"/>
      <c r="K43" s="18"/>
      <c r="L43" s="18"/>
      <c r="M43" s="18"/>
      <c r="N43" s="18"/>
    </row>
    <row r="44" spans="1:14" hidden="1" outlineLevel="1" x14ac:dyDescent="0.25">
      <c r="A44" s="18"/>
      <c r="B44" s="118" t="s">
        <v>93</v>
      </c>
      <c r="C44" s="118" t="s">
        <v>92</v>
      </c>
      <c r="D44" s="118" t="s">
        <v>94</v>
      </c>
      <c r="E44" s="118" t="s">
        <v>95</v>
      </c>
      <c r="F44" s="118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9" t="s">
        <v>26</v>
      </c>
      <c r="C45" s="120">
        <f>GETPIVOTDATA("RESERVAS CONSTITUIDAS
",$B$6,"DENOMINACIÓN DEL CÓDIGO PRESUPUESTAL
","A-FUNCIONAMIENTO")</f>
        <v>2249.6486331999999</v>
      </c>
      <c r="D45" s="120">
        <f>GETPIVOTDATA("CANCELACIONES RESERVAS PRESUPUESTALES
 ",$B$6,"DENOMINACIÓN DEL CÓDIGO PRESUPUESTAL
","A-FUNCIONAMIENTO")</f>
        <v>0</v>
      </c>
      <c r="E45" s="121">
        <f>GETPIVOTDATA("PAGOS
ACUMULADOS
",$B$6,"DENOMINACIÓN DEL CÓDIGO PRESUPUESTAL
","A-FUNCIONAMIENTO")/GETPIVOTDATA("RESERVAS CONSTITUIDAS
",$B$6,"DENOMINACIÓN DEL CÓDIGO PRESUPUESTAL
","A-FUNCIONAMIENTO")</f>
        <v>3.2659944720117551E-4</v>
      </c>
      <c r="F45" s="122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8"/>
      <c r="B46" s="119" t="s">
        <v>128</v>
      </c>
      <c r="C46" s="120">
        <f>GETPIVOTDATA("RESERVAS CONSTITUIDAS
",$B$6,"DENOMINACIÓN DEL CÓDIGO PRESUPUESTAL
","C-INVERSIÓN")</f>
        <v>53197.266014589994</v>
      </c>
      <c r="D46" s="120">
        <f>GETPIVOTDATA("CANCELACIONES RESERVAS PRESUPUESTALES
 ",$B$6,"DENOMINACIÓN DEL CÓDIGO PRESUPUESTAL
","C-INVERSIÓN")</f>
        <v>0</v>
      </c>
      <c r="E46" s="121">
        <f>GETPIVOTDATA("PAGOS
ACUMULADOS
",$B$6,"DENOMINACIÓN DEL CÓDIGO PRESUPUESTAL
","C-INVERSIÓN")/GETPIVOTDATA("RESERVAS CONSTITUIDAS
",$B$6,"DENOMINACIÓN DEL CÓDIGO PRESUPUESTAL
","C-INVERSIÓN")</f>
        <v>0.15698430435709984</v>
      </c>
      <c r="F46" s="122"/>
      <c r="G46" s="38"/>
      <c r="H46" s="38"/>
      <c r="I46" s="38"/>
      <c r="J46" s="18"/>
      <c r="K46" s="18"/>
      <c r="L46" s="18"/>
      <c r="M46" s="18"/>
      <c r="N46" s="18"/>
    </row>
    <row r="47" spans="1:14" hidden="1" outlineLevel="1" x14ac:dyDescent="0.25">
      <c r="A47" s="38"/>
      <c r="B47" s="119" t="s">
        <v>6</v>
      </c>
      <c r="C47" s="123">
        <f>+C45+C46</f>
        <v>55446.914647789992</v>
      </c>
      <c r="D47" s="120">
        <f>+D45+D46</f>
        <v>0</v>
      </c>
      <c r="E47" s="121">
        <f>+GETPIVOTDATA("PAGOS
ACUMULADOS
",$B$6)/GETPIVOTDATA("RESERVAS CONSTITUIDAS
",$B$6)</f>
        <v>0.1506282285687629</v>
      </c>
      <c r="F47" s="121"/>
      <c r="G47" s="38"/>
      <c r="H47" s="38"/>
      <c r="I47" s="38"/>
      <c r="J47" s="20"/>
      <c r="K47" s="20"/>
      <c r="L47" s="18"/>
      <c r="M47" s="18"/>
      <c r="N47" s="18"/>
    </row>
    <row r="48" spans="1:14" s="11" customFormat="1" collapsed="1" x14ac:dyDescent="0.25">
      <c r="A48" s="39"/>
      <c r="B48" s="124"/>
      <c r="C48" s="125"/>
      <c r="D48" s="126"/>
      <c r="E48" s="127"/>
      <c r="F48" s="127"/>
      <c r="G48" s="39"/>
      <c r="H48" s="39"/>
      <c r="I48" s="39"/>
      <c r="L48" s="27"/>
      <c r="M48" s="27"/>
      <c r="N48" s="27"/>
    </row>
    <row r="49" spans="1:14" s="11" customFormat="1" x14ac:dyDescent="0.25">
      <c r="A49" s="39"/>
      <c r="B49" s="39"/>
      <c r="C49" s="39"/>
      <c r="D49" s="39"/>
      <c r="E49" s="39"/>
      <c r="F49" s="39"/>
      <c r="G49" s="39"/>
      <c r="H49" s="39"/>
      <c r="I49" s="39"/>
      <c r="L49" s="27"/>
      <c r="M49" s="27"/>
      <c r="N49" s="27"/>
    </row>
    <row r="50" spans="1:14" s="11" customFormat="1" x14ac:dyDescent="0.25">
      <c r="A50" s="39"/>
      <c r="B50" s="38"/>
      <c r="C50" s="38"/>
      <c r="D50" s="38"/>
      <c r="E50" s="38"/>
      <c r="F50" s="38"/>
      <c r="G50" s="39"/>
      <c r="H50" s="39"/>
      <c r="I50" s="39"/>
      <c r="L50" s="27"/>
      <c r="M50" s="27"/>
      <c r="N50" s="27"/>
    </row>
    <row r="51" spans="1:14" s="11" customFormat="1" x14ac:dyDescent="0.25">
      <c r="A51" s="39"/>
      <c r="B51" s="38"/>
      <c r="C51" s="38"/>
      <c r="D51" s="38"/>
      <c r="E51" s="38"/>
      <c r="F51" s="38"/>
      <c r="G51" s="39"/>
      <c r="H51" s="39"/>
      <c r="I51" s="39"/>
      <c r="L51" s="27"/>
      <c r="M51" s="27"/>
      <c r="N51" s="27"/>
    </row>
    <row r="52" spans="1:14" s="11" customFormat="1" x14ac:dyDescent="0.25">
      <c r="A52" s="39"/>
      <c r="B52" s="38"/>
      <c r="C52" s="38"/>
      <c r="D52" s="38"/>
      <c r="E52" s="38"/>
      <c r="F52" s="38"/>
      <c r="G52" s="39"/>
      <c r="H52" s="39"/>
      <c r="I52" s="39"/>
      <c r="L52" s="27"/>
      <c r="M52" s="27"/>
      <c r="N52" s="27"/>
    </row>
    <row r="53" spans="1:14" s="11" customFormat="1" x14ac:dyDescent="0.25">
      <c r="A53" s="39"/>
      <c r="B53" s="38"/>
      <c r="C53" s="38"/>
      <c r="D53" s="38"/>
      <c r="E53" s="38"/>
      <c r="F53" s="38"/>
      <c r="G53" s="39"/>
      <c r="H53" s="39"/>
      <c r="I53" s="39"/>
      <c r="L53" s="28"/>
      <c r="M53" s="28"/>
      <c r="N53" s="28"/>
    </row>
    <row r="54" spans="1:14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20"/>
      <c r="K54" s="20"/>
      <c r="L54" s="29"/>
      <c r="M54" s="29"/>
      <c r="N54" s="29"/>
    </row>
    <row r="55" spans="1:1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20"/>
      <c r="K55" s="20"/>
      <c r="L55" s="29"/>
      <c r="M55" s="29"/>
      <c r="N55" s="29"/>
    </row>
    <row r="56" spans="1:1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20"/>
      <c r="K56" s="20"/>
      <c r="L56" s="29"/>
      <c r="M56" s="29"/>
      <c r="N56" s="29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20"/>
      <c r="K57" s="20"/>
      <c r="L57" s="29"/>
      <c r="M57" s="29"/>
      <c r="N57" s="29"/>
    </row>
    <row r="58" spans="1:1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20"/>
      <c r="K58" s="20"/>
      <c r="L58" s="29"/>
      <c r="M58" s="29"/>
      <c r="N58" s="29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20"/>
      <c r="K59" s="20"/>
      <c r="L59" s="29"/>
      <c r="M59" s="29"/>
      <c r="N59" s="29"/>
    </row>
    <row r="60" spans="1:1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20"/>
      <c r="K60" s="20"/>
      <c r="L60" s="29"/>
      <c r="M60" s="29"/>
      <c r="N60" s="29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20"/>
      <c r="K61" s="20"/>
      <c r="L61" s="29"/>
      <c r="M61" s="29"/>
      <c r="N61" s="29"/>
    </row>
    <row r="62" spans="1:1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20"/>
      <c r="K62" s="20"/>
      <c r="L62" s="29"/>
      <c r="M62" s="29"/>
      <c r="N62" s="29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20"/>
      <c r="K63" s="20"/>
      <c r="L63" s="29"/>
      <c r="M63" s="29"/>
      <c r="N63" s="29"/>
    </row>
    <row r="64" spans="1:1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25"/>
      <c r="K64" s="29"/>
      <c r="L64" s="29"/>
      <c r="M64" s="29"/>
      <c r="N64" s="29"/>
    </row>
    <row r="65" spans="1:1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25"/>
      <c r="K65" s="29"/>
      <c r="L65" s="29"/>
      <c r="M65" s="29"/>
      <c r="N65" s="29"/>
    </row>
    <row r="66" spans="1:1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25"/>
      <c r="K66" s="29"/>
      <c r="L66" s="29"/>
      <c r="M66" s="29"/>
      <c r="N66" s="29"/>
    </row>
    <row r="67" spans="1:1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26"/>
    </row>
    <row r="68" spans="1:14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20"/>
    </row>
    <row r="69" spans="1:14" x14ac:dyDescent="0.25">
      <c r="A69" s="38"/>
      <c r="B69" s="38"/>
      <c r="C69" s="38"/>
      <c r="D69" s="38"/>
      <c r="E69" s="38"/>
      <c r="F69" s="38"/>
      <c r="G69" s="38"/>
      <c r="H69" s="38"/>
      <c r="I69" s="38"/>
    </row>
    <row r="70" spans="1:14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14" x14ac:dyDescent="0.25">
      <c r="A71" s="38"/>
      <c r="B71" s="14"/>
      <c r="C71" s="14"/>
      <c r="D71" s="14"/>
      <c r="E71" s="14"/>
      <c r="F71" s="14"/>
      <c r="G71" s="38"/>
      <c r="H71" s="38"/>
      <c r="I71" s="38"/>
    </row>
    <row r="72" spans="1:14" x14ac:dyDescent="0.25">
      <c r="A72" s="38"/>
      <c r="G72" s="38"/>
      <c r="H72" s="38"/>
      <c r="I72" s="38"/>
    </row>
    <row r="73" spans="1:14" x14ac:dyDescent="0.25">
      <c r="A73" s="38"/>
      <c r="G73" s="38"/>
      <c r="H73" s="38"/>
      <c r="I73" s="38"/>
    </row>
    <row r="74" spans="1:14" x14ac:dyDescent="0.25">
      <c r="A74" s="38"/>
      <c r="G74" s="38"/>
      <c r="H74" s="38"/>
      <c r="I74" s="38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activeCell="E8" sqref="E8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8" t="s">
        <v>87</v>
      </c>
      <c r="C2" s="49" t="s">
        <v>140</v>
      </c>
      <c r="D2" s="50" t="s">
        <v>141</v>
      </c>
      <c r="E2" s="51" t="s">
        <v>90</v>
      </c>
    </row>
    <row r="3" spans="2:7" ht="16.5" thickBot="1" x14ac:dyDescent="0.3">
      <c r="B3" s="56" t="s">
        <v>26</v>
      </c>
      <c r="C3" s="57">
        <f>7893784910.4/1000000</f>
        <v>7893.7849103999997</v>
      </c>
      <c r="D3" s="58">
        <v>0</v>
      </c>
      <c r="E3" s="59">
        <f>2373190335.77/1000000</f>
        <v>2373.1903357699998</v>
      </c>
      <c r="F3" s="74"/>
      <c r="G3" s="61"/>
    </row>
    <row r="4" spans="2:7" ht="19.5" thickBot="1" x14ac:dyDescent="0.3">
      <c r="B4" s="52" t="s">
        <v>128</v>
      </c>
      <c r="C4" s="53">
        <f>182428674/1000000</f>
        <v>182.428674</v>
      </c>
      <c r="D4" s="54">
        <v>0</v>
      </c>
      <c r="E4" s="55">
        <f>182428674/1000000</f>
        <v>182.428674</v>
      </c>
      <c r="F4" s="76"/>
      <c r="G4" s="74"/>
    </row>
    <row r="6" spans="2:7" x14ac:dyDescent="0.25">
      <c r="C6" s="60"/>
      <c r="D6" s="60"/>
      <c r="E6" s="60"/>
    </row>
    <row r="7" spans="2:7" ht="15.75" thickBot="1" x14ac:dyDescent="0.3">
      <c r="E7" s="47"/>
    </row>
    <row r="8" spans="2:7" ht="63.75" thickBot="1" x14ac:dyDescent="0.3">
      <c r="B8" s="48" t="s">
        <v>87</v>
      </c>
      <c r="C8" s="59" t="s">
        <v>142</v>
      </c>
      <c r="E8" s="47"/>
    </row>
    <row r="9" spans="2:7" ht="19.5" thickBot="1" x14ac:dyDescent="0.3">
      <c r="B9" s="56" t="s">
        <v>26</v>
      </c>
      <c r="C9" s="55">
        <f>7893784910.4/1000000</f>
        <v>7893.7849103999997</v>
      </c>
      <c r="E9" s="61"/>
    </row>
    <row r="10" spans="2:7" ht="19.5" thickBot="1" x14ac:dyDescent="0.3">
      <c r="B10" s="52" t="s">
        <v>91</v>
      </c>
      <c r="C10" s="51">
        <f>182428674/1000000</f>
        <v>182.428674</v>
      </c>
      <c r="D10" s="70"/>
    </row>
    <row r="12" spans="2:7" x14ac:dyDescent="0.25">
      <c r="C12" s="70"/>
      <c r="D12" s="70"/>
      <c r="E12" s="70"/>
      <c r="F12" s="74"/>
      <c r="G12" s="75"/>
    </row>
    <row r="13" spans="2:7" x14ac:dyDescent="0.25">
      <c r="C13" s="47"/>
    </row>
    <row r="14" spans="2:7" x14ac:dyDescent="0.25">
      <c r="C14" s="47"/>
    </row>
    <row r="16" spans="2:7" x14ac:dyDescent="0.25">
      <c r="C16" s="47"/>
    </row>
    <row r="17" spans="3:3" x14ac:dyDescent="0.25">
      <c r="C17" s="4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="85" zoomScaleNormal="85" workbookViewId="0">
      <selection activeCell="N9" sqref="N9"/>
    </sheetView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148</v>
      </c>
    </row>
    <row r="9" spans="2:6" x14ac:dyDescent="0.25">
      <c r="B9" s="2" t="s">
        <v>26</v>
      </c>
      <c r="C9" s="61">
        <v>7893.7849103999997</v>
      </c>
    </row>
    <row r="10" spans="2:6" x14ac:dyDescent="0.25">
      <c r="B10" s="2" t="s">
        <v>91</v>
      </c>
      <c r="C10" s="61">
        <v>182.428674</v>
      </c>
    </row>
    <row r="11" spans="2:6" x14ac:dyDescent="0.25">
      <c r="B11" s="2" t="s">
        <v>6</v>
      </c>
      <c r="C11" s="61">
        <v>8076.2135843999995</v>
      </c>
      <c r="D11" s="69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zoomScale="85" zoomScaleNormal="85" workbookViewId="0">
      <selection activeCell="O14" sqref="O14"/>
    </sheetView>
  </sheetViews>
  <sheetFormatPr baseColWidth="10" defaultRowHeight="15" outlineLevelRow="2" x14ac:dyDescent="0.25"/>
  <cols>
    <col min="2" max="2" width="19.85546875" bestFit="1" customWidth="1"/>
    <col min="3" max="3" width="19.140625" customWidth="1"/>
    <col min="4" max="4" width="19.7109375" bestFit="1" customWidth="1"/>
    <col min="5" max="5" width="13.285156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149</v>
      </c>
      <c r="K3" t="s">
        <v>150</v>
      </c>
      <c r="L3" t="s">
        <v>151</v>
      </c>
    </row>
    <row r="4" spans="2:12" x14ac:dyDescent="0.25">
      <c r="J4" s="61">
        <v>8076.2135843999995</v>
      </c>
      <c r="K4" s="61">
        <v>0</v>
      </c>
      <c r="L4" s="61">
        <v>2555.61900977</v>
      </c>
    </row>
    <row r="6" spans="2:12" x14ac:dyDescent="0.25">
      <c r="B6" s="4" t="s">
        <v>5</v>
      </c>
      <c r="C6" t="s">
        <v>152</v>
      </c>
      <c r="D6" t="s">
        <v>153</v>
      </c>
      <c r="E6" t="s">
        <v>154</v>
      </c>
    </row>
    <row r="7" spans="2:12" x14ac:dyDescent="0.25">
      <c r="B7" s="2" t="s">
        <v>26</v>
      </c>
      <c r="C7" s="61">
        <v>7893.7849103999997</v>
      </c>
      <c r="D7" s="61">
        <v>0</v>
      </c>
      <c r="E7" s="61">
        <v>2373.1903357699998</v>
      </c>
    </row>
    <row r="8" spans="2:12" x14ac:dyDescent="0.25">
      <c r="B8" s="2" t="s">
        <v>128</v>
      </c>
      <c r="C8" s="61">
        <v>182.428674</v>
      </c>
      <c r="D8" s="61">
        <v>0</v>
      </c>
      <c r="E8" s="61">
        <v>182.428674</v>
      </c>
    </row>
    <row r="9" spans="2:12" x14ac:dyDescent="0.25">
      <c r="B9" s="2" t="s">
        <v>6</v>
      </c>
      <c r="C9" s="61">
        <v>8076.2135843999995</v>
      </c>
      <c r="D9" s="61">
        <v>0</v>
      </c>
      <c r="E9" s="61">
        <v>2555.61900977</v>
      </c>
    </row>
    <row r="11" spans="2:12" x14ac:dyDescent="0.25">
      <c r="B11" s="62"/>
      <c r="C11" s="61"/>
      <c r="D11" s="61"/>
      <c r="E11" s="61"/>
    </row>
    <row r="12" spans="2:12" ht="18.75" x14ac:dyDescent="0.3">
      <c r="B12" s="132" t="s">
        <v>156</v>
      </c>
      <c r="C12" s="132"/>
      <c r="D12" s="132"/>
      <c r="E12" s="132"/>
      <c r="F12" s="132"/>
      <c r="G12" s="132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71"/>
      <c r="C17" s="71"/>
      <c r="D17" s="71"/>
      <c r="E17" s="72"/>
      <c r="F17" s="72"/>
    </row>
    <row r="18" spans="1:14" x14ac:dyDescent="0.25">
      <c r="B18" s="71"/>
      <c r="C18" s="71"/>
      <c r="D18" s="71"/>
      <c r="E18" s="72"/>
      <c r="F18" s="72"/>
    </row>
    <row r="19" spans="1:14" x14ac:dyDescent="0.25">
      <c r="A19" s="18"/>
      <c r="B19" s="71"/>
      <c r="C19" s="71"/>
      <c r="D19" s="71"/>
      <c r="E19" s="72"/>
      <c r="F19" s="72"/>
      <c r="G19" s="18"/>
      <c r="H19" s="18"/>
      <c r="I19" s="18"/>
      <c r="M19" s="18"/>
      <c r="N19" s="18"/>
    </row>
    <row r="20" spans="1:14" x14ac:dyDescent="0.25">
      <c r="A20" s="18"/>
      <c r="B20" s="71"/>
      <c r="C20" s="71"/>
      <c r="D20" s="71"/>
      <c r="E20" s="72"/>
      <c r="F20" s="72"/>
      <c r="G20" s="18"/>
      <c r="H20" s="18"/>
      <c r="I20" s="97"/>
      <c r="M20" s="18"/>
      <c r="N20" s="18"/>
    </row>
    <row r="21" spans="1:14" x14ac:dyDescent="0.25">
      <c r="A21" s="18"/>
      <c r="B21" s="71"/>
      <c r="C21" s="71"/>
      <c r="D21" s="71"/>
      <c r="E21" s="72"/>
      <c r="F21" s="72"/>
      <c r="G21" s="18"/>
      <c r="H21" s="18"/>
      <c r="I21" s="99"/>
      <c r="J21" s="18"/>
      <c r="K21" s="18"/>
      <c r="L21" s="18"/>
      <c r="M21" s="18"/>
      <c r="N21" s="18"/>
    </row>
    <row r="22" spans="1:14" x14ac:dyDescent="0.25">
      <c r="A22" s="18"/>
      <c r="B22" s="71"/>
      <c r="C22" s="71"/>
      <c r="D22" s="71"/>
      <c r="E22" s="72"/>
      <c r="F22" s="72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71"/>
      <c r="C23" s="71"/>
      <c r="D23" s="71"/>
      <c r="E23" s="72"/>
      <c r="F23" s="72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71"/>
      <c r="C24" s="71"/>
      <c r="D24" s="71"/>
      <c r="E24" s="72"/>
      <c r="F24" s="72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71"/>
      <c r="C25" s="71"/>
      <c r="D25" s="71"/>
      <c r="E25" s="72"/>
      <c r="F25" s="72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71"/>
      <c r="C26" s="71"/>
      <c r="D26" s="71"/>
      <c r="E26" s="72"/>
      <c r="F26" s="72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72"/>
      <c r="C27" s="72"/>
      <c r="D27" s="72"/>
      <c r="E27" s="72"/>
      <c r="F27" s="72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31" t="s">
        <v>155</v>
      </c>
      <c r="C29" s="131"/>
      <c r="D29" s="131"/>
      <c r="E29" s="131"/>
      <c r="F29" s="131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idden="1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collapsed="1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8"/>
      <c r="C43" s="38"/>
      <c r="D43" s="38"/>
      <c r="E43" s="38"/>
      <c r="F43" s="38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8"/>
      <c r="C44" s="38"/>
      <c r="D44" s="38"/>
      <c r="E44" s="38"/>
      <c r="F44" s="38"/>
      <c r="G44" s="18"/>
      <c r="H44" s="99"/>
      <c r="I44" s="18"/>
      <c r="J44" s="18"/>
      <c r="K44" s="18"/>
      <c r="L44" s="18"/>
      <c r="M44" s="18"/>
      <c r="N44" s="18"/>
    </row>
    <row r="45" spans="1:14" ht="45" hidden="1" outlineLevel="1" x14ac:dyDescent="0.25">
      <c r="A45" s="18"/>
      <c r="B45" s="118" t="s">
        <v>93</v>
      </c>
      <c r="C45" s="129" t="s">
        <v>159</v>
      </c>
      <c r="D45" s="129" t="s">
        <v>160</v>
      </c>
      <c r="E45" s="118" t="s">
        <v>95</v>
      </c>
      <c r="F45" s="40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19" t="s">
        <v>26</v>
      </c>
      <c r="C46" s="128">
        <f>GETPIVOTDATA("CXP CONSTITUIDAS",$B$6,"DENOMINACIÓN DEL CÓDIGO PRESUPUESTAL
","A-FUNCIONAMIENTO")</f>
        <v>7893.7849103999997</v>
      </c>
      <c r="D46" s="128">
        <f>GETPIVOTDATA("CANCELACIONES CXP",$B$6,"DENOMINACIÓN DEL CÓDIGO PRESUPUESTAL
","A-FUNCIONAMIENTO")</f>
        <v>0</v>
      </c>
      <c r="E46" s="121">
        <f>GETPIVOTDATA("TOTAL PAGOS",$B$6,"DENOMINACIÓN DEL CÓDIGO PRESUPUESTAL
","A-FUNCIONAMIENTO")/GETPIVOTDATA("CXP CONSTITUIDAS",$B$6,"DENOMINACIÓN DEL CÓDIGO PRESUPUESTAL
","A-FUNCIONAMIENTO")</f>
        <v>0.30064035981564941</v>
      </c>
      <c r="F46" s="41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8"/>
      <c r="B47" s="119" t="s">
        <v>128</v>
      </c>
      <c r="C47" s="128">
        <f>GETPIVOTDATA("CXP CONSTITUIDAS",$B$6,"DENOMINACIÓN DEL CÓDIGO PRESUPUESTAL
","C-INVERSIÓN")</f>
        <v>182.428674</v>
      </c>
      <c r="D47" s="128">
        <f>GETPIVOTDATA("CANCELACIONES CXP",$B$6,"DENOMINACIÓN DEL CÓDIGO PRESUPUESTAL
","C-INVERSIÓN")</f>
        <v>0</v>
      </c>
      <c r="E47" s="121">
        <f>GETPIVOTDATA("TOTAL PAGOS",$B$6,"DENOMINACIÓN DEL CÓDIGO PRESUPUESTAL
","C-INVERSIÓN")/GETPIVOTDATA("CXP CONSTITUIDAS",$B$6,"DENOMINACIÓN DEL CÓDIGO PRESUPUESTAL
","C-INVERSIÓN")</f>
        <v>1</v>
      </c>
      <c r="F47" s="41"/>
      <c r="G47" s="38"/>
      <c r="H47" s="38"/>
      <c r="I47" s="38"/>
      <c r="J47" s="18"/>
      <c r="K47" s="18"/>
      <c r="L47" s="18"/>
      <c r="M47" s="18"/>
      <c r="N47" s="18"/>
    </row>
    <row r="48" spans="1:14" hidden="1" outlineLevel="1" x14ac:dyDescent="0.25">
      <c r="A48" s="38"/>
      <c r="B48" s="119" t="s">
        <v>6</v>
      </c>
      <c r="C48" s="128">
        <f>C46+C47</f>
        <v>8076.2135843999995</v>
      </c>
      <c r="D48" s="128">
        <f t="shared" ref="D48" si="0">D46+D47</f>
        <v>0</v>
      </c>
      <c r="E48" s="121">
        <f>GETPIVOTDATA("TOTAL PAGOS",$B$6)/GETPIVOTDATA("CXP CONSTITUIDAS",$B$6)</f>
        <v>0.31643776914300897</v>
      </c>
      <c r="F48" s="42"/>
      <c r="G48" s="38"/>
      <c r="H48" s="38"/>
      <c r="I48" s="38"/>
      <c r="J48" s="20"/>
      <c r="K48" s="20"/>
      <c r="L48" s="18"/>
      <c r="M48" s="18"/>
      <c r="N48" s="18"/>
    </row>
    <row r="49" spans="1:14" s="11" customFormat="1" collapsed="1" x14ac:dyDescent="0.25">
      <c r="A49" s="39"/>
      <c r="B49" s="43"/>
      <c r="C49" s="44"/>
      <c r="D49" s="45"/>
      <c r="E49" s="46"/>
      <c r="F49" s="46"/>
      <c r="G49" s="39"/>
      <c r="H49" s="39"/>
      <c r="I49" s="39"/>
      <c r="L49" s="27"/>
      <c r="M49" s="27"/>
      <c r="N49" s="27"/>
    </row>
    <row r="50" spans="1:14" s="11" customFormat="1" x14ac:dyDescent="0.25">
      <c r="A50" s="39"/>
      <c r="B50" s="39"/>
      <c r="C50" s="39"/>
      <c r="D50" s="39"/>
      <c r="E50" s="39"/>
      <c r="F50" s="39"/>
      <c r="G50" s="39"/>
      <c r="H50" s="39"/>
      <c r="I50" s="39"/>
      <c r="L50" s="27"/>
      <c r="M50" s="27"/>
      <c r="N50" s="27"/>
    </row>
    <row r="51" spans="1:14" s="11" customFormat="1" x14ac:dyDescent="0.25">
      <c r="A51" s="39"/>
      <c r="B51" s="38"/>
      <c r="C51" s="38"/>
      <c r="D51" s="38"/>
      <c r="E51" s="38"/>
      <c r="F51" s="38"/>
      <c r="G51" s="39"/>
      <c r="H51" s="39"/>
      <c r="I51" s="39"/>
      <c r="L51" s="27"/>
      <c r="M51" s="27"/>
      <c r="N51" s="27"/>
    </row>
    <row r="52" spans="1:14" s="11" customFormat="1" x14ac:dyDescent="0.25">
      <c r="A52" s="39"/>
      <c r="B52" s="38"/>
      <c r="C52" s="38"/>
      <c r="D52" s="38"/>
      <c r="E52" s="38"/>
      <c r="F52" s="38"/>
      <c r="G52" s="39"/>
      <c r="H52" s="39"/>
      <c r="I52" s="39"/>
      <c r="L52" s="27"/>
      <c r="M52" s="27"/>
      <c r="N52" s="27"/>
    </row>
    <row r="53" spans="1:14" s="11" customFormat="1" x14ac:dyDescent="0.25">
      <c r="A53" s="39"/>
      <c r="B53" s="38"/>
      <c r="C53" s="38"/>
      <c r="D53" s="38"/>
      <c r="E53" s="38"/>
      <c r="F53" s="38"/>
      <c r="G53" s="39"/>
      <c r="H53" s="39"/>
      <c r="I53" s="39"/>
      <c r="L53" s="27"/>
      <c r="M53" s="27"/>
      <c r="N53" s="27"/>
    </row>
    <row r="54" spans="1:14" s="11" customFormat="1" x14ac:dyDescent="0.25">
      <c r="A54" s="39"/>
      <c r="B54" s="38"/>
      <c r="C54" s="38"/>
      <c r="D54" s="38"/>
      <c r="E54" s="38"/>
      <c r="F54" s="38"/>
      <c r="G54" s="39"/>
      <c r="H54" s="39"/>
      <c r="I54" s="39"/>
      <c r="L54" s="28"/>
      <c r="M54" s="28"/>
      <c r="N54" s="28"/>
    </row>
    <row r="55" spans="1:14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20"/>
      <c r="K55" s="20"/>
      <c r="L55" s="29"/>
      <c r="M55" s="29"/>
      <c r="N55" s="29"/>
    </row>
    <row r="56" spans="1:14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20"/>
      <c r="K56" s="20"/>
      <c r="L56" s="29"/>
      <c r="M56" s="29"/>
      <c r="N56" s="29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20"/>
      <c r="K57" s="20"/>
      <c r="L57" s="29"/>
      <c r="M57" s="29"/>
      <c r="N57" s="29"/>
    </row>
    <row r="58" spans="1:1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20"/>
      <c r="K58" s="20"/>
      <c r="L58" s="29"/>
      <c r="M58" s="29"/>
      <c r="N58" s="29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20"/>
      <c r="K59" s="20"/>
      <c r="L59" s="29"/>
      <c r="M59" s="29"/>
      <c r="N59" s="29"/>
    </row>
    <row r="60" spans="1:1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20"/>
      <c r="K60" s="20"/>
      <c r="L60" s="29"/>
      <c r="M60" s="29"/>
      <c r="N60" s="29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20"/>
      <c r="K61" s="20"/>
      <c r="L61" s="29"/>
      <c r="M61" s="29"/>
      <c r="N61" s="29"/>
    </row>
    <row r="62" spans="1:14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20"/>
      <c r="K62" s="20"/>
      <c r="L62" s="29"/>
      <c r="M62" s="29"/>
      <c r="N62" s="29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20"/>
      <c r="K63" s="20"/>
      <c r="L63" s="29"/>
      <c r="M63" s="29"/>
      <c r="N63" s="29"/>
    </row>
    <row r="64" spans="1:14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20"/>
      <c r="K64" s="20"/>
      <c r="L64" s="29"/>
      <c r="M64" s="29"/>
      <c r="N64" s="29"/>
    </row>
    <row r="65" spans="1:14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25"/>
      <c r="K65" s="29"/>
      <c r="L65" s="29"/>
      <c r="M65" s="29"/>
      <c r="N65" s="29"/>
    </row>
    <row r="66" spans="1:14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25"/>
      <c r="K66" s="29"/>
      <c r="L66" s="29"/>
      <c r="M66" s="29"/>
      <c r="N66" s="29"/>
    </row>
    <row r="67" spans="1:14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25"/>
      <c r="K67" s="29"/>
      <c r="L67" s="29"/>
      <c r="M67" s="29"/>
      <c r="N67" s="29"/>
    </row>
    <row r="68" spans="1:14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26"/>
    </row>
    <row r="69" spans="1:14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20"/>
    </row>
    <row r="70" spans="1:14" x14ac:dyDescent="0.25">
      <c r="A70" s="38"/>
      <c r="B70" s="38"/>
      <c r="C70" s="38"/>
      <c r="D70" s="38"/>
      <c r="E70" s="38"/>
      <c r="F70" s="38"/>
      <c r="G70" s="38"/>
      <c r="H70" s="38"/>
      <c r="I70" s="38"/>
    </row>
    <row r="71" spans="1:14" x14ac:dyDescent="0.25">
      <c r="A71" s="38"/>
      <c r="B71" s="38"/>
      <c r="C71" s="38"/>
      <c r="D71" s="38"/>
      <c r="E71" s="38"/>
      <c r="F71" s="38"/>
      <c r="G71" s="38"/>
      <c r="H71" s="38"/>
      <c r="I71" s="38"/>
    </row>
    <row r="72" spans="1:14" x14ac:dyDescent="0.25">
      <c r="A72" s="38"/>
      <c r="B72" s="14"/>
      <c r="C72" s="14"/>
      <c r="D72" s="14"/>
      <c r="E72" s="14"/>
      <c r="F72" s="14"/>
      <c r="G72" s="38"/>
      <c r="H72" s="38"/>
      <c r="I72" s="38"/>
    </row>
    <row r="73" spans="1:14" x14ac:dyDescent="0.25">
      <c r="A73" s="38"/>
      <c r="G73" s="38"/>
      <c r="H73" s="38"/>
      <c r="I73" s="38"/>
    </row>
    <row r="74" spans="1:14" x14ac:dyDescent="0.25">
      <c r="A74" s="38"/>
      <c r="G74" s="38"/>
      <c r="H74" s="38"/>
      <c r="I74" s="38"/>
    </row>
    <row r="75" spans="1:14" x14ac:dyDescent="0.25">
      <c r="A75" s="38"/>
      <c r="G75" s="38"/>
      <c r="H75" s="38"/>
      <c r="I75" s="38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>
      <selection activeCell="L5" sqref="L5"/>
    </sheetView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activeCell="D22" sqref="D22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62891.891058000001</v>
      </c>
      <c r="E2" s="33">
        <f t="shared" si="0"/>
        <v>15503.559484059999</v>
      </c>
      <c r="F2" s="33">
        <f t="shared" si="0"/>
        <v>5019.5483502700008</v>
      </c>
      <c r="G2" s="33">
        <f t="shared" si="0"/>
        <v>4037.3671442700006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3439.2714163200008</v>
      </c>
      <c r="F3" s="33">
        <f t="shared" si="1"/>
        <v>3439.2714163200008</v>
      </c>
      <c r="G3" s="33">
        <f t="shared" si="1"/>
        <v>2544.0510723200005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13506.840058</v>
      </c>
      <c r="E4" s="33">
        <f t="shared" si="1"/>
        <v>12062.89370457</v>
      </c>
      <c r="F4" s="33">
        <f t="shared" si="1"/>
        <v>1580.2769339500001</v>
      </c>
      <c r="G4" s="33">
        <f t="shared" si="1"/>
        <v>1493.3160719500002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202.76400000000001</v>
      </c>
      <c r="E5" s="33">
        <f t="shared" si="1"/>
        <v>1.3943631699999999</v>
      </c>
      <c r="F5" s="33">
        <f t="shared" si="1"/>
        <v>0</v>
      </c>
      <c r="G5" s="33">
        <f t="shared" si="1"/>
        <v>0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4321900.8200660003</v>
      </c>
      <c r="E8" s="33">
        <f t="shared" si="1"/>
        <v>4278691.96095182</v>
      </c>
      <c r="F8" s="33">
        <f t="shared" si="1"/>
        <v>442970.10852399998</v>
      </c>
      <c r="G8" s="33">
        <f t="shared" si="1"/>
        <v>442928.192736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8" t="s">
        <v>115</v>
      </c>
      <c r="C11" s="81" t="s">
        <v>118</v>
      </c>
      <c r="D11" s="81" t="s">
        <v>119</v>
      </c>
      <c r="E11" s="81" t="s">
        <v>120</v>
      </c>
      <c r="F11" s="81" t="s">
        <v>121</v>
      </c>
      <c r="G11" s="82" t="s">
        <v>122</v>
      </c>
    </row>
    <row r="12" spans="1:7" ht="19.5" thickBot="1" x14ac:dyDescent="0.3">
      <c r="B12" s="79" t="s">
        <v>116</v>
      </c>
      <c r="C12" s="83">
        <v>99785985370</v>
      </c>
      <c r="D12" s="83">
        <v>62891891058</v>
      </c>
      <c r="E12" s="83">
        <v>15503559484.059999</v>
      </c>
      <c r="F12" s="83">
        <v>5019548350.2700005</v>
      </c>
      <c r="G12" s="84">
        <v>4037367144.2700005</v>
      </c>
    </row>
    <row r="13" spans="1:7" ht="15.75" x14ac:dyDescent="0.25">
      <c r="B13" s="80" t="s">
        <v>117</v>
      </c>
      <c r="C13" s="88">
        <v>51464345000</v>
      </c>
      <c r="D13" s="88">
        <v>49182287000</v>
      </c>
      <c r="E13" s="88">
        <v>3439271416.3200006</v>
      </c>
      <c r="F13" s="88">
        <v>3439271416.3200006</v>
      </c>
      <c r="G13" s="89">
        <v>2544051072.3200006</v>
      </c>
    </row>
    <row r="14" spans="1:7" ht="15.75" x14ac:dyDescent="0.25">
      <c r="B14" s="85" t="s">
        <v>123</v>
      </c>
      <c r="C14" s="90">
        <v>19419071000</v>
      </c>
      <c r="D14" s="90">
        <v>13506840058</v>
      </c>
      <c r="E14" s="90">
        <v>12062893704.57</v>
      </c>
      <c r="F14" s="90">
        <v>1580276933.95</v>
      </c>
      <c r="G14" s="91">
        <v>1493316071.95</v>
      </c>
    </row>
    <row r="15" spans="1:7" ht="15.75" x14ac:dyDescent="0.25">
      <c r="B15" s="85" t="s">
        <v>124</v>
      </c>
      <c r="C15" s="90">
        <v>14851097370</v>
      </c>
      <c r="D15" s="90">
        <v>202764000</v>
      </c>
      <c r="E15" s="90">
        <v>1394363.17</v>
      </c>
      <c r="F15" s="90">
        <v>0</v>
      </c>
      <c r="G15" s="91">
        <v>0</v>
      </c>
    </row>
    <row r="16" spans="1:7" ht="32.25" thickBot="1" x14ac:dyDescent="0.3">
      <c r="B16" s="85" t="s">
        <v>125</v>
      </c>
      <c r="C16" s="90">
        <v>14051472000</v>
      </c>
      <c r="D16" s="90">
        <v>0</v>
      </c>
      <c r="E16" s="90">
        <v>0</v>
      </c>
      <c r="F16" s="90">
        <v>0</v>
      </c>
      <c r="G16" s="91">
        <v>0</v>
      </c>
    </row>
    <row r="17" spans="2:7" ht="19.5" thickBot="1" x14ac:dyDescent="0.3">
      <c r="B17" s="79" t="s">
        <v>126</v>
      </c>
      <c r="C17" s="83">
        <v>1167604335047</v>
      </c>
      <c r="D17" s="83">
        <v>0</v>
      </c>
      <c r="E17" s="83">
        <v>0</v>
      </c>
      <c r="F17" s="83">
        <v>0</v>
      </c>
      <c r="G17" s="84">
        <v>0</v>
      </c>
    </row>
    <row r="18" spans="2:7" ht="19.5" thickBot="1" x14ac:dyDescent="0.3">
      <c r="B18" s="79" t="s">
        <v>127</v>
      </c>
      <c r="C18" s="83">
        <v>4505182025012</v>
      </c>
      <c r="D18" s="83">
        <v>4321900820066</v>
      </c>
      <c r="E18" s="83">
        <v>4278691960951.8203</v>
      </c>
      <c r="F18" s="83">
        <v>442970108524</v>
      </c>
      <c r="G18" s="84">
        <v>442928192736</v>
      </c>
    </row>
    <row r="20" spans="2:7" x14ac:dyDescent="0.25">
      <c r="C20" s="92">
        <f>+SUM(C13:C18)</f>
        <v>5772572345429</v>
      </c>
      <c r="D20" s="92">
        <f t="shared" ref="D20:G20" si="2">+SUM(D13:D18)</f>
        <v>4384792711124</v>
      </c>
      <c r="E20" s="92">
        <f t="shared" si="2"/>
        <v>4294195520435.8804</v>
      </c>
      <c r="F20" s="92">
        <f t="shared" si="2"/>
        <v>447989656874.27002</v>
      </c>
      <c r="G20" s="92">
        <f t="shared" si="2"/>
        <v>446965559880.27002</v>
      </c>
    </row>
    <row r="21" spans="2:7" x14ac:dyDescent="0.25">
      <c r="C21" s="92"/>
      <c r="D21" s="92"/>
      <c r="E21" s="92"/>
      <c r="F21" s="92"/>
      <c r="G21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B1:I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37" customWidth="1"/>
    <col min="5" max="5" width="33.28515625" style="37" bestFit="1" customWidth="1"/>
    <col min="6" max="6" width="30.7109375" style="37" bestFit="1" customWidth="1"/>
    <col min="7" max="7" width="28.28515625" style="37" customWidth="1"/>
    <col min="8" max="8" width="23" style="37" bestFit="1" customWidth="1"/>
    <col min="9" max="9" width="37.7109375" style="37" bestFit="1" customWidth="1"/>
  </cols>
  <sheetData>
    <row r="1" spans="2:9" ht="15.75" thickBot="1" x14ac:dyDescent="0.3">
      <c r="B1" s="22" t="s">
        <v>33</v>
      </c>
      <c r="C1" s="22" t="s">
        <v>1</v>
      </c>
      <c r="D1" s="35" t="s">
        <v>7</v>
      </c>
      <c r="E1" s="35" t="s">
        <v>8</v>
      </c>
      <c r="F1" s="35" t="s">
        <v>9</v>
      </c>
      <c r="G1" s="35" t="s">
        <v>10</v>
      </c>
      <c r="H1" s="35" t="s">
        <v>14</v>
      </c>
      <c r="I1" s="77" t="s">
        <v>114</v>
      </c>
    </row>
    <row r="2" spans="2:9" ht="15.75" thickTop="1" x14ac:dyDescent="0.25">
      <c r="B2" s="21" t="s">
        <v>34</v>
      </c>
      <c r="C2" s="93" t="s">
        <v>105</v>
      </c>
      <c r="D2" s="94">
        <v>199229942693</v>
      </c>
      <c r="E2" s="94">
        <v>199229942693</v>
      </c>
      <c r="F2" s="94">
        <v>199229942693</v>
      </c>
      <c r="G2" s="94">
        <v>667460180</v>
      </c>
      <c r="H2" s="94">
        <v>667460180</v>
      </c>
      <c r="I2" s="87">
        <v>0</v>
      </c>
    </row>
    <row r="3" spans="2:9" x14ac:dyDescent="0.25">
      <c r="B3" s="21" t="s">
        <v>35</v>
      </c>
      <c r="C3" s="93" t="s">
        <v>36</v>
      </c>
      <c r="D3" s="94">
        <v>3111246158</v>
      </c>
      <c r="E3" s="94">
        <v>3111246158</v>
      </c>
      <c r="F3" s="94">
        <v>3111246158</v>
      </c>
      <c r="G3" s="94">
        <v>0</v>
      </c>
      <c r="H3" s="94">
        <v>0</v>
      </c>
      <c r="I3" s="36">
        <v>0</v>
      </c>
    </row>
    <row r="4" spans="2:9" x14ac:dyDescent="0.25">
      <c r="B4" s="21" t="s">
        <v>64</v>
      </c>
      <c r="C4" s="93" t="s">
        <v>48</v>
      </c>
      <c r="D4" s="94">
        <v>267568660974</v>
      </c>
      <c r="E4" s="94">
        <v>267568660974</v>
      </c>
      <c r="F4" s="94">
        <v>267568660974</v>
      </c>
      <c r="G4" s="94">
        <v>515340818</v>
      </c>
      <c r="H4" s="94">
        <v>515340818</v>
      </c>
      <c r="I4" s="36">
        <v>0</v>
      </c>
    </row>
    <row r="5" spans="2:9" x14ac:dyDescent="0.25">
      <c r="B5" s="21" t="s">
        <v>65</v>
      </c>
      <c r="C5" s="93" t="s">
        <v>49</v>
      </c>
      <c r="D5" s="94">
        <v>175859178607</v>
      </c>
      <c r="E5" s="94">
        <v>175859178607</v>
      </c>
      <c r="F5" s="94">
        <v>175859178607</v>
      </c>
      <c r="G5" s="94">
        <v>589163443</v>
      </c>
      <c r="H5" s="94">
        <v>589163443</v>
      </c>
      <c r="I5" s="36">
        <v>0</v>
      </c>
    </row>
    <row r="6" spans="2:9" x14ac:dyDescent="0.25">
      <c r="B6" s="21" t="s">
        <v>66</v>
      </c>
      <c r="C6" s="93" t="s">
        <v>50</v>
      </c>
      <c r="D6" s="94">
        <v>253083219752</v>
      </c>
      <c r="E6" s="94">
        <v>253083219752</v>
      </c>
      <c r="F6" s="94">
        <v>253083219752</v>
      </c>
      <c r="G6" s="94">
        <v>8076357952</v>
      </c>
      <c r="H6" s="94">
        <v>8076357952</v>
      </c>
      <c r="I6" s="36">
        <v>0</v>
      </c>
    </row>
    <row r="7" spans="2:9" x14ac:dyDescent="0.25">
      <c r="B7" s="21" t="s">
        <v>67</v>
      </c>
      <c r="C7" s="93" t="s">
        <v>106</v>
      </c>
      <c r="D7" s="94">
        <v>243923443489</v>
      </c>
      <c r="E7" s="94">
        <v>243923443489</v>
      </c>
      <c r="F7" s="94">
        <v>243923443489</v>
      </c>
      <c r="G7" s="94">
        <v>21653320129</v>
      </c>
      <c r="H7" s="94">
        <v>21653320129</v>
      </c>
      <c r="I7" s="36">
        <v>0</v>
      </c>
    </row>
    <row r="8" spans="2:9" x14ac:dyDescent="0.25">
      <c r="B8" s="21" t="s">
        <v>68</v>
      </c>
      <c r="C8" s="93" t="s">
        <v>51</v>
      </c>
      <c r="D8" s="94">
        <v>173754342655</v>
      </c>
      <c r="E8" s="94">
        <v>173754342655</v>
      </c>
      <c r="F8" s="94">
        <v>173754342655</v>
      </c>
      <c r="G8" s="94">
        <v>26218470693</v>
      </c>
      <c r="H8" s="94">
        <v>26218470693</v>
      </c>
      <c r="I8" s="36">
        <v>0</v>
      </c>
    </row>
    <row r="9" spans="2:9" x14ac:dyDescent="0.25">
      <c r="B9" s="21" t="s">
        <v>69</v>
      </c>
      <c r="C9" s="93" t="s">
        <v>52</v>
      </c>
      <c r="D9" s="94">
        <v>188036887431</v>
      </c>
      <c r="E9" s="94">
        <v>188036887431</v>
      </c>
      <c r="F9" s="94">
        <v>188036887431</v>
      </c>
      <c r="G9" s="94">
        <v>31914916292</v>
      </c>
      <c r="H9" s="94">
        <v>31914916292</v>
      </c>
      <c r="I9" s="36">
        <v>0</v>
      </c>
    </row>
    <row r="10" spans="2:9" x14ac:dyDescent="0.25">
      <c r="B10" s="21" t="s">
        <v>70</v>
      </c>
      <c r="C10" s="93" t="s">
        <v>53</v>
      </c>
      <c r="D10" s="94">
        <v>230526549416</v>
      </c>
      <c r="E10" s="94">
        <v>230526549416</v>
      </c>
      <c r="F10" s="94">
        <v>230526549416</v>
      </c>
      <c r="G10" s="94">
        <v>27184528940</v>
      </c>
      <c r="H10" s="94">
        <v>27184528940</v>
      </c>
      <c r="I10" s="36">
        <v>0</v>
      </c>
    </row>
    <row r="11" spans="2:9" x14ac:dyDescent="0.25">
      <c r="B11" s="21" t="s">
        <v>71</v>
      </c>
      <c r="C11" s="93" t="s">
        <v>133</v>
      </c>
      <c r="D11" s="94">
        <v>12654096592</v>
      </c>
      <c r="E11" s="94">
        <v>12031213677.5</v>
      </c>
      <c r="F11" s="94">
        <v>10331136315.559999</v>
      </c>
      <c r="G11" s="94">
        <v>18751095.859999999</v>
      </c>
      <c r="H11" s="94">
        <v>8635428.0600000005</v>
      </c>
      <c r="I11" s="36">
        <v>0</v>
      </c>
    </row>
    <row r="12" spans="2:9" x14ac:dyDescent="0.25">
      <c r="B12" s="21" t="s">
        <v>72</v>
      </c>
      <c r="C12" s="93" t="s">
        <v>54</v>
      </c>
      <c r="D12" s="94">
        <v>222571821813</v>
      </c>
      <c r="E12" s="94">
        <v>222571821813</v>
      </c>
      <c r="F12" s="94">
        <v>222571821813</v>
      </c>
      <c r="G12" s="94">
        <v>7839829655</v>
      </c>
      <c r="H12" s="94">
        <v>7839829655</v>
      </c>
      <c r="I12" s="36">
        <v>0</v>
      </c>
    </row>
    <row r="13" spans="2:9" x14ac:dyDescent="0.25">
      <c r="B13" s="21" t="s">
        <v>73</v>
      </c>
      <c r="C13" s="93" t="s">
        <v>107</v>
      </c>
      <c r="D13" s="94">
        <v>256174672458</v>
      </c>
      <c r="E13" s="94">
        <v>256174672458</v>
      </c>
      <c r="F13" s="94">
        <v>256174672458</v>
      </c>
      <c r="G13" s="94">
        <v>783848182</v>
      </c>
      <c r="H13" s="94">
        <v>783848182</v>
      </c>
      <c r="I13" s="36">
        <v>0</v>
      </c>
    </row>
    <row r="14" spans="2:9" x14ac:dyDescent="0.25">
      <c r="B14" s="21" t="s">
        <v>74</v>
      </c>
      <c r="C14" s="93" t="s">
        <v>108</v>
      </c>
      <c r="D14" s="94">
        <v>133566456234</v>
      </c>
      <c r="E14" s="94">
        <v>133566456234</v>
      </c>
      <c r="F14" s="94">
        <v>126080065359</v>
      </c>
      <c r="G14" s="94">
        <v>126080065359</v>
      </c>
      <c r="H14" s="94">
        <v>126080065359</v>
      </c>
      <c r="I14" s="36">
        <v>0</v>
      </c>
    </row>
    <row r="15" spans="2:9" x14ac:dyDescent="0.25">
      <c r="B15" s="21" t="s">
        <v>75</v>
      </c>
      <c r="C15" s="93" t="s">
        <v>109</v>
      </c>
      <c r="D15" s="94">
        <v>92126982346</v>
      </c>
      <c r="E15" s="94">
        <v>92126982346</v>
      </c>
      <c r="F15" s="94">
        <v>92126982346</v>
      </c>
      <c r="G15" s="94">
        <v>308643829</v>
      </c>
      <c r="H15" s="94">
        <v>308643829</v>
      </c>
      <c r="I15" s="36">
        <v>0</v>
      </c>
    </row>
    <row r="16" spans="2:9" x14ac:dyDescent="0.25">
      <c r="B16" s="21" t="s">
        <v>76</v>
      </c>
      <c r="C16" s="93" t="s">
        <v>55</v>
      </c>
      <c r="D16" s="94">
        <v>177242188803</v>
      </c>
      <c r="E16" s="94">
        <v>177242188803</v>
      </c>
      <c r="F16" s="94">
        <v>177242188803</v>
      </c>
      <c r="G16" s="94">
        <v>12868469971</v>
      </c>
      <c r="H16" s="94">
        <v>12868469971</v>
      </c>
      <c r="I16" s="36">
        <v>0</v>
      </c>
    </row>
    <row r="17" spans="2:9" x14ac:dyDescent="0.25">
      <c r="B17" s="21" t="s">
        <v>63</v>
      </c>
      <c r="C17" s="93" t="s">
        <v>110</v>
      </c>
      <c r="D17" s="94">
        <v>186661572672</v>
      </c>
      <c r="E17" s="94">
        <v>186661572672</v>
      </c>
      <c r="F17" s="94">
        <v>186661572672</v>
      </c>
      <c r="G17" s="94">
        <v>65829708441</v>
      </c>
      <c r="H17" s="94">
        <v>65829708441</v>
      </c>
      <c r="I17" s="36">
        <v>0</v>
      </c>
    </row>
    <row r="18" spans="2:9" x14ac:dyDescent="0.25">
      <c r="B18" s="21" t="s">
        <v>77</v>
      </c>
      <c r="C18" s="93" t="s">
        <v>56</v>
      </c>
      <c r="D18" s="94">
        <v>217966528302</v>
      </c>
      <c r="E18" s="94">
        <v>217966528302</v>
      </c>
      <c r="F18" s="94">
        <v>217966528302</v>
      </c>
      <c r="G18" s="94">
        <v>35582322411</v>
      </c>
      <c r="H18" s="94">
        <v>35582322411</v>
      </c>
      <c r="I18" s="36">
        <v>0</v>
      </c>
    </row>
    <row r="19" spans="2:9" x14ac:dyDescent="0.25">
      <c r="B19" s="21" t="s">
        <v>78</v>
      </c>
      <c r="C19" s="93" t="s">
        <v>57</v>
      </c>
      <c r="D19" s="94">
        <v>264689746048</v>
      </c>
      <c r="E19" s="94">
        <v>264689746048</v>
      </c>
      <c r="F19" s="94">
        <v>264689746048</v>
      </c>
      <c r="G19" s="94">
        <v>18890851579</v>
      </c>
      <c r="H19" s="94">
        <v>18890851579</v>
      </c>
      <c r="I19" s="36">
        <v>0</v>
      </c>
    </row>
    <row r="20" spans="2:9" x14ac:dyDescent="0.25">
      <c r="B20" s="21" t="s">
        <v>79</v>
      </c>
      <c r="C20" s="93" t="s">
        <v>58</v>
      </c>
      <c r="D20" s="94">
        <v>141607661383</v>
      </c>
      <c r="E20" s="94">
        <v>141607661383</v>
      </c>
      <c r="F20" s="94">
        <v>141607661383</v>
      </c>
      <c r="G20" s="94">
        <v>35860807678</v>
      </c>
      <c r="H20" s="94">
        <v>35860807678</v>
      </c>
      <c r="I20" s="36">
        <v>0</v>
      </c>
    </row>
    <row r="21" spans="2:9" x14ac:dyDescent="0.25">
      <c r="B21" s="21" t="s">
        <v>80</v>
      </c>
      <c r="C21" s="93" t="s">
        <v>59</v>
      </c>
      <c r="D21" s="94">
        <v>326484319237</v>
      </c>
      <c r="E21" s="94">
        <v>326484319237</v>
      </c>
      <c r="F21" s="94">
        <v>326484319237</v>
      </c>
      <c r="G21" s="94">
        <v>18896410145</v>
      </c>
      <c r="H21" s="94">
        <v>18896410145</v>
      </c>
      <c r="I21" s="36">
        <v>0</v>
      </c>
    </row>
    <row r="22" spans="2:9" x14ac:dyDescent="0.25">
      <c r="B22" s="21" t="s">
        <v>81</v>
      </c>
      <c r="C22" s="93" t="s">
        <v>60</v>
      </c>
      <c r="D22" s="94">
        <v>103270216578</v>
      </c>
      <c r="E22" s="94">
        <v>103270216578</v>
      </c>
      <c r="F22" s="94">
        <v>103270216578</v>
      </c>
      <c r="G22" s="94">
        <v>2037283578</v>
      </c>
      <c r="H22" s="94">
        <v>2037283578</v>
      </c>
      <c r="I22" s="36">
        <v>0</v>
      </c>
    </row>
    <row r="23" spans="2:9" x14ac:dyDescent="0.25">
      <c r="B23" s="21" t="s">
        <v>82</v>
      </c>
      <c r="C23" s="93" t="s">
        <v>111</v>
      </c>
      <c r="D23" s="94">
        <v>323578411182</v>
      </c>
      <c r="E23" s="94">
        <v>323578411182</v>
      </c>
      <c r="F23" s="94">
        <v>323578411182</v>
      </c>
      <c r="G23" s="94">
        <v>1121067275</v>
      </c>
      <c r="H23" s="94">
        <v>1121067275</v>
      </c>
      <c r="I23" s="36">
        <v>0</v>
      </c>
    </row>
    <row r="24" spans="2:9" x14ac:dyDescent="0.25">
      <c r="B24" s="21" t="s">
        <v>83</v>
      </c>
      <c r="C24" s="93" t="s">
        <v>61</v>
      </c>
      <c r="D24" s="94">
        <v>53127095469</v>
      </c>
      <c r="E24" s="94">
        <v>53127095469</v>
      </c>
      <c r="F24" s="94">
        <v>53127095469</v>
      </c>
      <c r="G24" s="94">
        <v>0</v>
      </c>
      <c r="H24" s="94">
        <v>0</v>
      </c>
      <c r="I24" s="36">
        <v>0</v>
      </c>
    </row>
    <row r="25" spans="2:9" x14ac:dyDescent="0.25">
      <c r="B25" s="21" t="s">
        <v>104</v>
      </c>
      <c r="C25" s="93" t="s">
        <v>134</v>
      </c>
      <c r="D25" s="94">
        <v>105000000000</v>
      </c>
      <c r="E25" s="94">
        <v>2257520000</v>
      </c>
      <c r="F25" s="94">
        <v>0</v>
      </c>
      <c r="G25" s="94">
        <v>0</v>
      </c>
      <c r="H25" s="94">
        <v>0</v>
      </c>
      <c r="I25" s="36">
        <v>0</v>
      </c>
    </row>
    <row r="26" spans="2:9" x14ac:dyDescent="0.25">
      <c r="B26" s="21" t="s">
        <v>84</v>
      </c>
      <c r="C26" s="93" t="s">
        <v>112</v>
      </c>
      <c r="D26" s="94">
        <v>2257022926</v>
      </c>
      <c r="E26" s="94">
        <v>2060429714.5</v>
      </c>
      <c r="F26" s="94">
        <v>1861775862.5</v>
      </c>
      <c r="G26" s="94">
        <v>571245</v>
      </c>
      <c r="H26" s="94">
        <v>571245</v>
      </c>
      <c r="I26" s="36">
        <v>0</v>
      </c>
    </row>
    <row r="27" spans="2:9" x14ac:dyDescent="0.25">
      <c r="B27" s="21" t="s">
        <v>129</v>
      </c>
      <c r="C27" s="93" t="s">
        <v>130</v>
      </c>
      <c r="D27" s="94">
        <v>3785000000</v>
      </c>
      <c r="E27" s="94">
        <v>0</v>
      </c>
      <c r="F27" s="94">
        <v>0</v>
      </c>
      <c r="G27" s="94">
        <v>0</v>
      </c>
      <c r="H27" s="94">
        <v>0</v>
      </c>
      <c r="I27" s="36">
        <v>0</v>
      </c>
    </row>
    <row r="28" spans="2:9" s="10" customFormat="1" x14ac:dyDescent="0.25">
      <c r="B28" s="86" t="s">
        <v>37</v>
      </c>
      <c r="C28" s="93" t="s">
        <v>38</v>
      </c>
      <c r="D28" s="94">
        <v>76235881312</v>
      </c>
      <c r="E28" s="94">
        <v>49002053305</v>
      </c>
      <c r="F28" s="94">
        <v>23514310167</v>
      </c>
      <c r="G28" s="94">
        <v>0</v>
      </c>
      <c r="H28" s="94">
        <v>0</v>
      </c>
      <c r="I28" s="87">
        <v>0</v>
      </c>
    </row>
    <row r="29" spans="2:9" s="10" customFormat="1" x14ac:dyDescent="0.25">
      <c r="B29" s="86" t="s">
        <v>85</v>
      </c>
      <c r="C29" s="93" t="s">
        <v>113</v>
      </c>
      <c r="D29" s="94">
        <v>1124097372</v>
      </c>
      <c r="E29" s="94">
        <v>927133221</v>
      </c>
      <c r="F29" s="94">
        <v>813928010.70000005</v>
      </c>
      <c r="G29" s="94">
        <v>748.7</v>
      </c>
      <c r="H29" s="94">
        <v>748.7</v>
      </c>
      <c r="I29" s="87">
        <v>0</v>
      </c>
    </row>
    <row r="30" spans="2:9" x14ac:dyDescent="0.25">
      <c r="B30" s="21" t="s">
        <v>39</v>
      </c>
      <c r="C30" s="93" t="s">
        <v>135</v>
      </c>
      <c r="D30" s="94">
        <v>1000000000</v>
      </c>
      <c r="E30" s="94">
        <v>367252932</v>
      </c>
      <c r="F30" s="94">
        <v>367250432</v>
      </c>
      <c r="G30" s="94">
        <v>0</v>
      </c>
      <c r="H30" s="94">
        <v>0</v>
      </c>
      <c r="I30" s="36">
        <v>0</v>
      </c>
    </row>
    <row r="31" spans="2:9" x14ac:dyDescent="0.25">
      <c r="B31" s="21" t="s">
        <v>86</v>
      </c>
      <c r="C31" s="93" t="s">
        <v>62</v>
      </c>
      <c r="D31" s="94">
        <v>3056837754</v>
      </c>
      <c r="E31" s="94">
        <v>2930700036</v>
      </c>
      <c r="F31" s="94">
        <v>2660509640.2399998</v>
      </c>
      <c r="G31" s="94">
        <v>2746304.44</v>
      </c>
      <c r="H31" s="94">
        <v>12924.24</v>
      </c>
      <c r="I31" s="36">
        <v>0</v>
      </c>
    </row>
    <row r="32" spans="2:9" x14ac:dyDescent="0.25">
      <c r="B32" s="21" t="s">
        <v>131</v>
      </c>
      <c r="C32" s="93" t="s">
        <v>132</v>
      </c>
      <c r="D32" s="94">
        <v>907945356</v>
      </c>
      <c r="E32" s="94">
        <v>160846981</v>
      </c>
      <c r="F32" s="94">
        <v>104883898</v>
      </c>
      <c r="G32" s="94">
        <v>0</v>
      </c>
      <c r="H32" s="94">
        <v>0</v>
      </c>
      <c r="I32" s="36"/>
    </row>
    <row r="33" spans="2:9" x14ac:dyDescent="0.25">
      <c r="B33" s="21" t="s">
        <v>40</v>
      </c>
      <c r="C33" s="93" t="s">
        <v>136</v>
      </c>
      <c r="D33" s="94">
        <v>200000000</v>
      </c>
      <c r="E33" s="94">
        <v>80605832</v>
      </c>
      <c r="F33" s="94">
        <v>79899955</v>
      </c>
      <c r="G33" s="94">
        <v>1907942</v>
      </c>
      <c r="H33" s="94">
        <v>0</v>
      </c>
      <c r="I33" s="36">
        <v>0</v>
      </c>
    </row>
    <row r="34" spans="2:9" x14ac:dyDescent="0.25">
      <c r="B34" s="21" t="s">
        <v>41</v>
      </c>
      <c r="C34" s="93" t="s">
        <v>137</v>
      </c>
      <c r="D34" s="94">
        <v>58800000000</v>
      </c>
      <c r="E34" s="94">
        <v>14896599708</v>
      </c>
      <c r="F34" s="94">
        <v>9293210882.8199997</v>
      </c>
      <c r="G34" s="94">
        <v>102840</v>
      </c>
      <c r="H34" s="94">
        <v>102840</v>
      </c>
      <c r="I34" s="36">
        <v>0</v>
      </c>
    </row>
    <row r="35" spans="2:9" x14ac:dyDescent="0.25">
      <c r="B35" s="21" t="s">
        <v>42</v>
      </c>
      <c r="C35" s="93" t="s">
        <v>138</v>
      </c>
      <c r="D35" s="94">
        <v>5000000000</v>
      </c>
      <c r="E35" s="94">
        <v>2084998109</v>
      </c>
      <c r="F35" s="94">
        <v>2079583747</v>
      </c>
      <c r="G35" s="94">
        <v>27161798</v>
      </c>
      <c r="H35" s="94">
        <v>3000</v>
      </c>
      <c r="I35" s="36">
        <v>0</v>
      </c>
    </row>
    <row r="36" spans="2:9" x14ac:dyDescent="0.25">
      <c r="B36" s="21" t="s">
        <v>44</v>
      </c>
      <c r="C36" s="93" t="s">
        <v>139</v>
      </c>
      <c r="D36" s="94">
        <v>1000000000</v>
      </c>
      <c r="E36" s="94">
        <v>940322850</v>
      </c>
      <c r="F36" s="94">
        <v>910719216</v>
      </c>
      <c r="G36" s="94">
        <v>0</v>
      </c>
      <c r="H36" s="94">
        <v>0</v>
      </c>
      <c r="I36" s="36">
        <v>0</v>
      </c>
    </row>
    <row r="37" spans="2:9" x14ac:dyDescent="0.25">
      <c r="C37" s="1"/>
    </row>
    <row r="38" spans="2:9" x14ac:dyDescent="0.25">
      <c r="D38" s="47">
        <f>SUM(D2:D36)</f>
        <v>4505182025012</v>
      </c>
      <c r="E38" s="47">
        <f>+SUM(E2:E36)</f>
        <v>4321900820066</v>
      </c>
      <c r="F38" s="47">
        <f>+SUM(F2:F36)</f>
        <v>4278691960951.8203</v>
      </c>
      <c r="G38" s="47">
        <f>+SUM(G2:G36)</f>
        <v>442970108524</v>
      </c>
      <c r="H38" s="47">
        <f>+SUM(H2:H36)</f>
        <v>442928192736</v>
      </c>
      <c r="I38" s="37">
        <f>+SUM(I2:I36)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Q68"/>
  <sheetViews>
    <sheetView showGridLines="0" showRowColHeaders="0" zoomScaleNormal="100" workbookViewId="0">
      <selection activeCell="H9" sqref="H9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1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100">
        <v>99785.985369999995</v>
      </c>
      <c r="D7" s="100">
        <v>15503.559484059999</v>
      </c>
      <c r="E7" s="100">
        <v>5019.5483502700008</v>
      </c>
      <c r="F7" s="100">
        <v>4037.3671442700006</v>
      </c>
    </row>
    <row r="8" spans="1:14" x14ac:dyDescent="0.25">
      <c r="B8" s="2" t="s">
        <v>27</v>
      </c>
      <c r="C8" s="100">
        <v>1167604.3350470001</v>
      </c>
      <c r="D8" s="100">
        <v>0</v>
      </c>
      <c r="E8" s="100">
        <v>0</v>
      </c>
      <c r="F8" s="100">
        <v>0</v>
      </c>
    </row>
    <row r="9" spans="1:14" x14ac:dyDescent="0.25">
      <c r="B9" s="2" t="s">
        <v>28</v>
      </c>
      <c r="C9" s="100">
        <v>4505182.0250120005</v>
      </c>
      <c r="D9" s="100">
        <v>4278691.96095182</v>
      </c>
      <c r="E9" s="100">
        <v>442970.10852399998</v>
      </c>
      <c r="F9" s="100">
        <v>442928.192736</v>
      </c>
    </row>
    <row r="10" spans="1:14" x14ac:dyDescent="0.25">
      <c r="B10" s="2" t="s">
        <v>6</v>
      </c>
      <c r="C10" s="100">
        <v>5772572.3454290004</v>
      </c>
      <c r="D10" s="100">
        <v>4294195.5204358799</v>
      </c>
      <c r="E10" s="100">
        <v>447989.65687427</v>
      </c>
      <c r="F10" s="100">
        <v>446965.55988026998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7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7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7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7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7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7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7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7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7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7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01"/>
      <c r="P28" s="101"/>
      <c r="Q28" s="101"/>
    </row>
    <row r="29" spans="1:1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01"/>
      <c r="P29" s="101"/>
      <c r="Q29" s="101"/>
    </row>
    <row r="30" spans="1:17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01"/>
      <c r="P30" s="101"/>
      <c r="Q30" s="101"/>
    </row>
    <row r="31" spans="1:17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7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01"/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18"/>
      <c r="K39" s="18"/>
      <c r="L39" s="18"/>
      <c r="M39" s="18"/>
      <c r="N39" s="18"/>
    </row>
    <row r="40" spans="1:15" hidden="1" outlineLevel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20"/>
      <c r="K40" s="20"/>
      <c r="L40" s="18"/>
      <c r="M40" s="18"/>
      <c r="N40" s="18"/>
    </row>
    <row r="41" spans="1:15" s="11" customFormat="1" hidden="1" outlineLevel="1" x14ac:dyDescent="0.25">
      <c r="A41" s="39"/>
      <c r="B41" s="102" t="s">
        <v>5</v>
      </c>
      <c r="C41" s="102" t="s">
        <v>20</v>
      </c>
      <c r="D41" s="102" t="s">
        <v>43</v>
      </c>
      <c r="E41" s="102" t="s">
        <v>18</v>
      </c>
      <c r="F41" s="102" t="s">
        <v>19</v>
      </c>
      <c r="G41" s="39"/>
      <c r="H41" s="39"/>
      <c r="I41" s="39"/>
      <c r="L41" s="27"/>
      <c r="M41" s="27"/>
      <c r="N41" s="27"/>
    </row>
    <row r="42" spans="1:15" s="11" customFormat="1" hidden="1" outlineLevel="1" x14ac:dyDescent="0.25">
      <c r="A42" s="39"/>
      <c r="B42" s="103" t="s">
        <v>26</v>
      </c>
      <c r="C42" s="104">
        <f>+GETPIVOTDATA("APROPIACION",$B$6,"DESCRIPCION","A-FUNCIONAMIENTO")</f>
        <v>99785.985369999995</v>
      </c>
      <c r="D42" s="105">
        <f>+GETPIVOTDATA("COMPROMISOS",$B$6,"DESCRIPCION","A-FUNCIONAMIENTO")/C42</f>
        <v>0.15536810531633075</v>
      </c>
      <c r="E42" s="106">
        <f>+GETPIVOTDATA(" OBLIGACIONES",$B$6,"DESCRIPCION","A-FUNCIONAMIENTO")/C42</f>
        <v>5.0303139580752138E-2</v>
      </c>
      <c r="F42" s="106">
        <f>+GETPIVOTDATA(" PAGOS",$B$6,"DESCRIPCION","A-FUNCIONAMIENTO")/GETPIVOTDATA("APROPIACION",$B$6,"DESCRIPCION","A-FUNCIONAMIENTO")</f>
        <v>4.0460262323408477E-2</v>
      </c>
      <c r="G42" s="39"/>
      <c r="H42" s="39"/>
      <c r="I42" s="39"/>
      <c r="L42" s="27"/>
      <c r="M42" s="27"/>
      <c r="N42" s="27"/>
    </row>
    <row r="43" spans="1:15" s="11" customFormat="1" hidden="1" outlineLevel="1" x14ac:dyDescent="0.25">
      <c r="A43" s="39"/>
      <c r="B43" s="103" t="s">
        <v>27</v>
      </c>
      <c r="C43" s="104">
        <f>+GETPIVOTDATA("APROPIACION",$B$6,"DESCRIPCION","B-SERVICIO DE LA DEUDA PÚBLICA")</f>
        <v>1167604.3350470001</v>
      </c>
      <c r="D43" s="107">
        <f>+GETPIVOTDATA("COMPROMISOS",$B$6,"DESCRIPCION","B-SERVICIO DE LA DEUDA PÚBLICA")/C43</f>
        <v>0</v>
      </c>
      <c r="E43" s="107">
        <f>+GETPIVOTDATA(" OBLIGACIONES",$B$6,"DESCRIPCION","B-SERVICIO DE LA DEUDA PÚBLICA")/GETPIVOTDATA("APROPIACION",$B$6,"DESCRIPCION","B-SERVICIO DE LA DEUDA PÚBLICA")</f>
        <v>0</v>
      </c>
      <c r="F43" s="107">
        <f>+GETPIVOTDATA(" PAGOS",$B$6,"DESCRIPCION","B-SERVICIO DE LA DEUDA PÚBLICA")/GETPIVOTDATA("APROPIACION",$B$6,"DESCRIPCION","B-SERVICIO DE LA DEUDA PÚBLICA")</f>
        <v>0</v>
      </c>
      <c r="G43" s="39"/>
      <c r="H43" s="39"/>
      <c r="I43" s="39"/>
      <c r="L43" s="27"/>
      <c r="M43" s="27"/>
      <c r="N43" s="27"/>
    </row>
    <row r="44" spans="1:15" s="11" customFormat="1" hidden="1" outlineLevel="1" x14ac:dyDescent="0.25">
      <c r="A44" s="39"/>
      <c r="B44" s="103" t="s">
        <v>28</v>
      </c>
      <c r="C44" s="108">
        <f>+GETPIVOTDATA("APROPIACION",$B$6,"DESCRIPCION","C- INVERSION")</f>
        <v>4505182.0250120005</v>
      </c>
      <c r="D44" s="105">
        <f>+GETPIVOTDATA("COMPROMISOS",$B$6,"DESCRIPCION","C- INVERSION")/C44</f>
        <v>0.94972676735307338</v>
      </c>
      <c r="E44" s="105">
        <f>+GETPIVOTDATA(" OBLIGACIONES",$B$6,"DESCRIPCION","C- INVERSION")/GETPIVOTDATA("APROPIACION",$B$6,"DESCRIPCION","C- INVERSION")</f>
        <v>9.8324575136965756E-2</v>
      </c>
      <c r="F44" s="105">
        <f>+GETPIVOTDATA(" PAGOS",$B$6,"DESCRIPCION","C- INVERSION")/GETPIVOTDATA("APROPIACION",$B$6,"DESCRIPCION","C- INVERSION")</f>
        <v>9.8315271231426027E-2</v>
      </c>
      <c r="G44" s="39"/>
      <c r="H44" s="39"/>
      <c r="I44" s="39"/>
      <c r="L44" s="27"/>
      <c r="M44" s="27"/>
      <c r="N44" s="27"/>
    </row>
    <row r="45" spans="1:15" s="11" customFormat="1" hidden="1" outlineLevel="1" x14ac:dyDescent="0.25">
      <c r="A45" s="39"/>
      <c r="B45" s="109" t="s">
        <v>6</v>
      </c>
      <c r="C45" s="110">
        <f>+GETPIVOTDATA("APROPIACION",$B$6)</f>
        <v>5772572.3454290004</v>
      </c>
      <c r="D45" s="111">
        <f>+GETPIVOTDATA("COMPROMISOS",$B$6)/GETPIVOTDATA("APROPIACION",$B$6)</f>
        <v>0.74389635390818964</v>
      </c>
      <c r="E45" s="112">
        <f>+GETPIVOTDATA(" OBLIGACIONES",$B$6)/GETPIVOTDATA("APROPIACION",$B$6)</f>
        <v>7.7606590280156415E-2</v>
      </c>
      <c r="F45" s="112">
        <f>+GETPIVOTDATA(" PAGOS",$B$6)/GETPIVOTDATA("APROPIACION",$B$6)</f>
        <v>7.7429182890050519E-2</v>
      </c>
      <c r="G45" s="39"/>
      <c r="H45" s="39"/>
      <c r="I45" s="39"/>
      <c r="L45" s="27"/>
      <c r="M45" s="27"/>
      <c r="N45" s="27"/>
    </row>
    <row r="46" spans="1:15" s="11" customFormat="1" hidden="1" outlineLevel="1" x14ac:dyDescent="0.25">
      <c r="A46" s="39"/>
      <c r="B46" s="39"/>
      <c r="C46" s="39"/>
      <c r="D46" s="39"/>
      <c r="E46" s="39"/>
      <c r="F46" s="39"/>
      <c r="G46" s="39"/>
      <c r="H46" s="39"/>
      <c r="I46" s="39"/>
      <c r="L46" s="28"/>
      <c r="M46" s="28"/>
      <c r="N46" s="28"/>
    </row>
    <row r="47" spans="1:15" hidden="1" outlineLevel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20"/>
      <c r="K47" s="20"/>
      <c r="L47" s="29"/>
      <c r="M47" s="29"/>
      <c r="N47" s="29"/>
    </row>
    <row r="48" spans="1:15" hidden="1" outlineLevel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20"/>
      <c r="K48" s="20"/>
      <c r="L48" s="29"/>
      <c r="M48" s="29"/>
      <c r="N48" s="29"/>
    </row>
    <row r="49" spans="1:14" hidden="1" outlineLevel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20"/>
      <c r="K49" s="20"/>
      <c r="L49" s="29"/>
      <c r="M49" s="29"/>
      <c r="N49" s="29"/>
    </row>
    <row r="50" spans="1:14" hidden="1" outlineLevel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20"/>
      <c r="K50" s="20"/>
      <c r="L50" s="29"/>
      <c r="M50" s="29"/>
      <c r="N50" s="29"/>
    </row>
    <row r="51" spans="1:14" hidden="1" outlineLevel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20"/>
      <c r="K51" s="20"/>
      <c r="L51" s="29"/>
      <c r="M51" s="29"/>
      <c r="N51" s="29"/>
    </row>
    <row r="52" spans="1:14" hidden="1" outlineLevel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20"/>
      <c r="K52" s="20"/>
      <c r="L52" s="29"/>
      <c r="M52" s="29"/>
      <c r="N52" s="29"/>
    </row>
    <row r="53" spans="1:14" hidden="1" outlineLevel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20"/>
      <c r="K53" s="20"/>
      <c r="L53" s="29"/>
      <c r="M53" s="29"/>
      <c r="N53" s="29"/>
    </row>
    <row r="54" spans="1:14" hidden="1" outlineLevel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20"/>
      <c r="K54" s="20"/>
      <c r="L54" s="29"/>
      <c r="M54" s="29"/>
      <c r="N54" s="29"/>
    </row>
    <row r="55" spans="1:14" hidden="1" outlineLevel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20"/>
      <c r="K55" s="20"/>
      <c r="L55" s="29"/>
      <c r="M55" s="29"/>
      <c r="N55" s="29"/>
    </row>
    <row r="56" spans="1:14" hidden="1" outlineLevel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20"/>
      <c r="K56" s="20"/>
      <c r="L56" s="29"/>
      <c r="M56" s="29"/>
      <c r="N56" s="29"/>
    </row>
    <row r="57" spans="1:14" collapsed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25"/>
      <c r="K57" s="29"/>
      <c r="L57" s="29"/>
      <c r="M57" s="29"/>
      <c r="N57" s="29"/>
    </row>
    <row r="58" spans="1:14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25"/>
      <c r="K58" s="29"/>
      <c r="L58" s="29"/>
      <c r="M58" s="29"/>
      <c r="N58" s="29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25"/>
      <c r="K59" s="29"/>
      <c r="L59" s="29"/>
      <c r="M59" s="29"/>
      <c r="N59" s="29"/>
    </row>
    <row r="60" spans="1:1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26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20"/>
    </row>
    <row r="62" spans="1:14" x14ac:dyDescent="0.25">
      <c r="A62" s="38"/>
      <c r="B62" s="38"/>
      <c r="C62" s="38"/>
      <c r="D62" s="38"/>
      <c r="E62" s="38"/>
      <c r="F62" s="38"/>
      <c r="G62" s="38"/>
      <c r="H62" s="38"/>
      <c r="I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</row>
    <row r="64" spans="1:14" x14ac:dyDescent="0.25">
      <c r="A64" s="38"/>
      <c r="B64" s="38"/>
      <c r="C64" s="38"/>
      <c r="D64" s="38"/>
      <c r="E64" s="38"/>
      <c r="F64" s="38"/>
      <c r="G64" s="38"/>
      <c r="H64" s="38"/>
      <c r="I64" s="38"/>
    </row>
    <row r="65" spans="1:9" x14ac:dyDescent="0.25">
      <c r="A65" s="38"/>
      <c r="B65" s="38"/>
      <c r="C65" s="38"/>
      <c r="D65" s="38"/>
      <c r="E65" s="38"/>
      <c r="F65" s="38"/>
      <c r="G65" s="38"/>
      <c r="H65" s="38"/>
      <c r="I65" s="38"/>
    </row>
    <row r="66" spans="1:9" x14ac:dyDescent="0.25">
      <c r="A66" s="38"/>
      <c r="B66" s="38"/>
      <c r="C66" s="38"/>
      <c r="D66" s="38"/>
      <c r="E66" s="38"/>
      <c r="F66" s="38"/>
      <c r="G66" s="38"/>
      <c r="H66" s="38"/>
      <c r="I66" s="38"/>
    </row>
    <row r="67" spans="1:9" x14ac:dyDescent="0.25">
      <c r="A67" s="38"/>
      <c r="B67" s="38"/>
      <c r="C67" s="38"/>
      <c r="D67" s="38"/>
      <c r="E67" s="38"/>
      <c r="F67" s="38"/>
      <c r="G67" s="38"/>
      <c r="H67" s="38"/>
      <c r="I67" s="38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zoomScaleNormal="100" workbookViewId="0">
      <selection activeCell="B6" sqref="B6"/>
    </sheetView>
  </sheetViews>
  <sheetFormatPr baseColWidth="10" defaultRowHeight="15" outlineLevelRow="1" x14ac:dyDescent="0.25"/>
  <cols>
    <col min="1" max="1" width="7.42578125" customWidth="1"/>
    <col min="2" max="2" width="47.710937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3439.2714163200008</v>
      </c>
      <c r="E7" s="23">
        <v>3439.2714163200008</v>
      </c>
      <c r="F7" s="23">
        <v>2544.0510723200005</v>
      </c>
    </row>
    <row r="8" spans="2:6" x14ac:dyDescent="0.25">
      <c r="B8" s="2" t="s">
        <v>30</v>
      </c>
      <c r="C8" s="23">
        <v>19419.071</v>
      </c>
      <c r="D8" s="23">
        <v>12062.89370457</v>
      </c>
      <c r="E8" s="23">
        <v>1580.2769339500001</v>
      </c>
      <c r="F8" s="23">
        <v>1493.3160719500002</v>
      </c>
    </row>
    <row r="9" spans="2:6" x14ac:dyDescent="0.25">
      <c r="B9" s="2" t="s">
        <v>31</v>
      </c>
      <c r="C9" s="23">
        <v>14851.09737</v>
      </c>
      <c r="D9" s="23">
        <v>1.3943631699999999</v>
      </c>
      <c r="E9" s="23">
        <v>0</v>
      </c>
      <c r="F9" s="23">
        <v>0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15503.559484060001</v>
      </c>
      <c r="E11" s="23">
        <v>5019.5483502700008</v>
      </c>
      <c r="F11" s="23">
        <v>4037.3671442700006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8"/>
      <c r="B44" s="113" t="s">
        <v>29</v>
      </c>
      <c r="C44" s="113">
        <f>+GETPIVOTDATA(" APROPIACION
 VIGENTE",$B$6,"DESCRIPCION","A-01 -GASTOS DE PERSONAL")</f>
        <v>51464.345000000001</v>
      </c>
      <c r="D44" s="114">
        <f>+GETPIVOTDATA(" COMPROMISOS
 ACUMULADOS",$B$6,"DESCRIPCION","A-01 -GASTOS DE PERSONAL")/GETPIVOTDATA(" APROPIACION
 VIGENTE",$B$6,"DESCRIPCION","A-01 -GASTOS DE PERSONAL")</f>
        <v>6.6828236448360528E-2</v>
      </c>
      <c r="E44" s="114">
        <f>+GETPIVOTDATA(" OBLIGACIONES
 ACUMULADAS",$B$6,"DESCRIPCION","A-01 -GASTOS DE PERSONAL")/GETPIVOTDATA(" APROPIACION
 VIGENTE",$B$6,"DESCRIPCION","A-01 -GASTOS DE PERSONAL")</f>
        <v>6.6828236448360528E-2</v>
      </c>
      <c r="F44" s="114">
        <f>+GETPIVOTDATA(" PAGOS
 ACUMULADOS",$B$6,"DESCRIPCION","A-01 -GASTOS DE PERSONAL")/GETPIVOTDATA(" APROPIACION
 VIGENTE",$B$6,"DESCRIPCION","A-01 -GASTOS DE PERSONAL")</f>
        <v>4.9433274091412224E-2</v>
      </c>
      <c r="G44" s="15"/>
      <c r="H44" s="15"/>
      <c r="I44" s="15">
        <f>+GETPIVOTDATA(" PAGOS
 ACUMULADOS",$B$6,"DESCRIPCION","A-01 -GASTOS DE PERSONAL")/GETPIVOTDATA(" APROPIACION
 VIGENTE",$B$6,"DESCRIPCION","A-01 -GASTOS DE PERSONAL")</f>
        <v>4.9433274091412224E-2</v>
      </c>
      <c r="J44" s="15"/>
      <c r="K44" s="15"/>
    </row>
    <row r="45" spans="1:11" hidden="1" outlineLevel="1" x14ac:dyDescent="0.25">
      <c r="A45" s="38"/>
      <c r="B45" s="113" t="s">
        <v>30</v>
      </c>
      <c r="C45" s="113">
        <f>+GETPIVOTDATA(" APROPIACION
 VIGENTE",$B$6,"DESCRIPCION","A-02 -ADQUISICIÓN DE BIENES  Y SERVICIOS")</f>
        <v>19419.071</v>
      </c>
      <c r="D45" s="114">
        <f>+GETPIVOTDATA(" COMPROMISOS
 ACUMULADOS",$B$6,"DESCRIPCION","A-02 -ADQUISICIÓN DE BIENES  Y SERVICIOS")/GETPIVOTDATA(" APROPIACION
 VIGENTE",$B$6,"DESCRIPCION","A-02 -ADQUISICIÓN DE BIENES  Y SERVICIOS")</f>
        <v>0.62118799115415979</v>
      </c>
      <c r="E45" s="114">
        <f>+GETPIVOTDATA(" OBLIGACIONES
 ACUMULADAS",$B$6,"DESCRIPCION","A-02 -ADQUISICIÓN DE BIENES  Y SERVICIOS")/GETPIVOTDATA(" APROPIACION
 VIGENTE",$B$6,"DESCRIPCION","A-02 -ADQUISICIÓN DE BIENES  Y SERVICIOS")</f>
        <v>8.1377576401569368E-2</v>
      </c>
      <c r="F45" s="114">
        <f>+GETPIVOTDATA(" PAGOS
 ACUMULADOS",$B$6,"DESCRIPCION","A-02 -ADQUISICIÓN DE BIENES  Y SERVICIOS")/GETPIVOTDATA(" APROPIACION
 VIGENTE",$B$6,"DESCRIPCION","A-02 -ADQUISICIÓN DE BIENES  Y SERVICIOS")</f>
        <v>7.6899459914946511E-2</v>
      </c>
      <c r="G45" s="15"/>
      <c r="H45" s="15"/>
      <c r="I45" s="15"/>
      <c r="J45" s="15"/>
      <c r="K45" s="15"/>
    </row>
    <row r="46" spans="1:11" hidden="1" outlineLevel="1" x14ac:dyDescent="0.25">
      <c r="A46" s="38"/>
      <c r="B46" s="113" t="s">
        <v>31</v>
      </c>
      <c r="C46" s="113">
        <f>+GETPIVOTDATA(" APROPIACION
 VIGENTE",$B$6,"DESCRIPCION","A-03-TRANSFERENCIAS CORRIENTES")</f>
        <v>14851.09737</v>
      </c>
      <c r="D46" s="114">
        <f>+GETPIVOTDATA(" COMPROMISOS
 ACUMULADOS",$B$6,"DESCRIPCION","A-03-TRANSFERENCIAS CORRIENTES")/GETPIVOTDATA(" APROPIACION
 VIGENTE",$B$6,"DESCRIPCION","A-03-TRANSFERENCIAS CORRIENTES")</f>
        <v>9.3889571609481667E-5</v>
      </c>
      <c r="E46" s="114">
        <f>+GETPIVOTDATA(" OBLIGACIONES
 ACUMULADAS",$B$6,"DESCRIPCION","A-03-TRANSFERENCIAS CORRIENTES")/GETPIVOTDATA(" APROPIACION
 VIGENTE",$B$6,"DESCRIPCION","A-03-TRANSFERENCIAS CORRIENTES")</f>
        <v>0</v>
      </c>
      <c r="F46" s="114">
        <f>+GETPIVOTDATA(" PAGOS
 ACUMULADOS",$B$6,"DESCRIPCION","A-03-TRANSFERENCIAS CORRIENTES")/GETPIVOTDATA(" APROPIACION
 VIGENTE",$B$6,"DESCRIPCION","A-03-TRANSFERENCIAS CORRIENTES")</f>
        <v>0</v>
      </c>
      <c r="G46" s="15"/>
      <c r="H46" s="15"/>
      <c r="I46" s="15"/>
      <c r="J46" s="15"/>
      <c r="K46" s="15"/>
    </row>
    <row r="47" spans="1:11" hidden="1" outlineLevel="1" x14ac:dyDescent="0.25">
      <c r="A47" s="38"/>
      <c r="B47" s="113" t="s">
        <v>32</v>
      </c>
      <c r="C47" s="113">
        <f>+GETPIVOTDATA(" APROPIACION
 VIGENTE",$B$6,"DESCRIPCION","A-08-GASTOS POR TRIBUTOS, MULTAS, SANCIONES E INTERESES DE MORA")</f>
        <v>14051.472</v>
      </c>
      <c r="D47" s="114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14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14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8"/>
      <c r="B48" s="115" t="s">
        <v>6</v>
      </c>
      <c r="C48" s="115">
        <f>+GETPIVOTDATA(" APROPIACION
 VIGENTE",$B$6)</f>
        <v>99785.985369999995</v>
      </c>
      <c r="D48" s="116">
        <f>+GETPIVOTDATA(" COMPROMISOS
 ACUMULADOS",$B$6)/GETPIVOTDATA(" APROPIACION
 VIGENTE",$B$6)</f>
        <v>0.15536810531633077</v>
      </c>
      <c r="E48" s="116">
        <f>+GETPIVOTDATA(" OBLIGACIONES
 ACUMULADAS",$B$6)/GETPIVOTDATA(" APROPIACION
 VIGENTE",$B$6)</f>
        <v>5.0303139580752138E-2</v>
      </c>
      <c r="F48" s="116">
        <f>+GETPIVOTDATA(" PAGOS
 ACUMULADOS",$B$6)/GETPIVOTDATA(" APROPIACION
 VIGENTE",$B$6)</f>
        <v>4.0460262323408477E-2</v>
      </c>
      <c r="G48" s="15"/>
      <c r="H48" s="15"/>
      <c r="I48" s="15">
        <f>+GETPIVOTDATA(" PAGOS
 ACUMULADOS",$B$6,"DESCRIPCION","A-01 -GASTOS DE PERSONAL")/GETPIVOTDATA(" APROPIACION
 VIGENTE",$B$6,"DESCRIPCION","A-01 -GASTOS DE PERSONAL")</f>
        <v>4.9433274091412224E-2</v>
      </c>
      <c r="J48" s="15"/>
      <c r="K48" s="15"/>
    </row>
    <row r="49" spans="1:11" collapsed="1" x14ac:dyDescent="0.25">
      <c r="A49" s="38"/>
      <c r="B49" s="38"/>
      <c r="C49" s="38"/>
      <c r="D49" s="38"/>
      <c r="E49" s="38"/>
      <c r="F49" s="25"/>
      <c r="G49" s="25"/>
      <c r="H49" s="25"/>
      <c r="I49" s="25"/>
      <c r="J49" s="25"/>
      <c r="K49" s="14"/>
    </row>
    <row r="50" spans="1:11" x14ac:dyDescent="0.25">
      <c r="A50" s="38"/>
      <c r="B50" s="38"/>
      <c r="C50" s="38"/>
      <c r="D50" s="38"/>
      <c r="E50" s="38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>
      <selection activeCell="G3" sqref="G3"/>
    </sheetView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158</v>
      </c>
    </row>
    <row r="8" spans="2:6" x14ac:dyDescent="0.25">
      <c r="B8" t="s">
        <v>157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4278691960951.8203</v>
      </c>
      <c r="D9" s="24">
        <v>442970108524</v>
      </c>
      <c r="E9" s="24">
        <v>442928192736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30" t="str">
        <f>+CONCATENATE("PROYECTO","  ",C6)</f>
        <v>PROYECTO  (Todas)</v>
      </c>
      <c r="C36" s="130"/>
      <c r="D36" s="130"/>
    </row>
    <row r="37" spans="2:4" ht="52.5" customHeight="1" x14ac:dyDescent="0.25">
      <c r="B37" s="130"/>
      <c r="C37" s="130"/>
      <c r="D37" s="130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D5" sqref="D5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8" t="s">
        <v>87</v>
      </c>
      <c r="C2" s="49" t="s">
        <v>88</v>
      </c>
      <c r="D2" s="50" t="s">
        <v>89</v>
      </c>
      <c r="E2" s="51" t="s">
        <v>90</v>
      </c>
    </row>
    <row r="3" spans="2:7" ht="16.5" thickBot="1" x14ac:dyDescent="0.3">
      <c r="B3" s="56" t="s">
        <v>26</v>
      </c>
      <c r="C3" s="57">
        <f>2249648633.2/1000000</f>
        <v>2249.6486331999999</v>
      </c>
      <c r="D3" s="58">
        <v>0</v>
      </c>
      <c r="E3" s="59">
        <f>734734/1000000</f>
        <v>0.734734</v>
      </c>
      <c r="F3" s="74"/>
      <c r="G3" s="61"/>
    </row>
    <row r="4" spans="2:7" ht="19.5" thickBot="1" x14ac:dyDescent="0.3">
      <c r="B4" s="52" t="s">
        <v>128</v>
      </c>
      <c r="C4" s="53">
        <f>53197266014.59/1000000</f>
        <v>53197.266014589994</v>
      </c>
      <c r="D4" s="54">
        <v>0</v>
      </c>
      <c r="E4" s="55">
        <f>8351135799/1000000</f>
        <v>8351.1357989999997</v>
      </c>
      <c r="F4" s="76"/>
      <c r="G4" s="74"/>
    </row>
    <row r="6" spans="2:7" x14ac:dyDescent="0.25">
      <c r="C6" s="60"/>
      <c r="D6" s="60"/>
      <c r="E6" s="60"/>
    </row>
    <row r="7" spans="2:7" ht="15.75" thickBot="1" x14ac:dyDescent="0.3">
      <c r="E7" s="47"/>
    </row>
    <row r="8" spans="2:7" ht="63.75" thickBot="1" x14ac:dyDescent="0.3">
      <c r="B8" s="48" t="s">
        <v>87</v>
      </c>
      <c r="C8" s="59" t="s">
        <v>99</v>
      </c>
      <c r="E8" s="47"/>
    </row>
    <row r="9" spans="2:7" ht="19.5" thickBot="1" x14ac:dyDescent="0.3">
      <c r="B9" s="56" t="s">
        <v>26</v>
      </c>
      <c r="C9" s="55">
        <f>2249648633.2/1000000</f>
        <v>2249.6486331999999</v>
      </c>
      <c r="E9" s="61"/>
    </row>
    <row r="10" spans="2:7" ht="19.5" thickBot="1" x14ac:dyDescent="0.3">
      <c r="B10" s="52" t="s">
        <v>91</v>
      </c>
      <c r="C10" s="51">
        <f>53197266014.59/1000000</f>
        <v>53197.266014589994</v>
      </c>
      <c r="D10" s="70"/>
      <c r="E10" s="61"/>
    </row>
    <row r="12" spans="2:7" x14ac:dyDescent="0.25">
      <c r="C12" s="70"/>
      <c r="D12" s="70"/>
      <c r="E12" s="70"/>
      <c r="F12" s="74"/>
      <c r="G12" s="75"/>
    </row>
    <row r="13" spans="2:7" x14ac:dyDescent="0.25">
      <c r="C13" s="47"/>
    </row>
    <row r="14" spans="2:7" x14ac:dyDescent="0.25">
      <c r="C14" s="47"/>
    </row>
    <row r="16" spans="2:7" x14ac:dyDescent="0.25">
      <c r="C16" s="47"/>
    </row>
    <row r="17" spans="3:3" x14ac:dyDescent="0.25">
      <c r="C17" s="4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>
      <selection activeCell="L4" sqref="L4"/>
    </sheetView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65" t="s">
        <v>5</v>
      </c>
      <c r="C8" s="61" t="s">
        <v>100</v>
      </c>
    </row>
    <row r="9" spans="2:6" x14ac:dyDescent="0.25">
      <c r="B9" s="62" t="s">
        <v>26</v>
      </c>
      <c r="C9" s="61">
        <v>2249.6486331999999</v>
      </c>
    </row>
    <row r="10" spans="2:6" x14ac:dyDescent="0.25">
      <c r="B10" s="62" t="s">
        <v>91</v>
      </c>
      <c r="C10" s="61">
        <v>53197.266014589994</v>
      </c>
    </row>
    <row r="11" spans="2:6" x14ac:dyDescent="0.25">
      <c r="B11" s="62" t="s">
        <v>6</v>
      </c>
      <c r="C11" s="61">
        <v>55446.914647789992</v>
      </c>
      <c r="D11" s="69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2019-07-30T21:44:52Z</cp:lastPrinted>
  <dcterms:created xsi:type="dcterms:W3CDTF">2018-03-13T13:24:17Z</dcterms:created>
  <dcterms:modified xsi:type="dcterms:W3CDTF">2022-08-05T16:22:14Z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