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4.xml" ContentType="application/vnd.openxmlformats-officedocument.spreadsheetml.pivotTab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pivotTables/pivotTable5.xml" ContentType="application/vnd.openxmlformats-officedocument.spreadsheetml.pivotTab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8.xml" ContentType="application/vnd.openxmlformats-officedocument.spreadsheetml.pivotTabl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nionline-my.sharepoint.com/personal/asorozco_ani_gov_co/Documents/PRESUPUESTO/EJECUCIONES PRESUPUESTO/ejecuciones excell2022 publicar/graficas lili/"/>
    </mc:Choice>
  </mc:AlternateContent>
  <xr:revisionPtr revIDLastSave="0" documentId="13_ncr:1_{9FED0D39-4DF6-4467-9D97-DC3D3CAFB363}" xr6:coauthVersionLast="47" xr6:coauthVersionMax="47" xr10:uidLastSave="{00000000-0000-0000-0000-000000000000}"/>
  <bookViews>
    <workbookView xWindow="-120" yWindow="-120" windowWidth="20730" windowHeight="11160" tabRatio="0" firstSheet="7" activeTab="1" xr2:uid="{00000000-000D-0000-FFFF-FFFF00000000}"/>
  </bookViews>
  <sheets>
    <sheet name="Gráfico1" sheetId="14" state="hidden" r:id="rId1"/>
    <sheet name="Menú" sheetId="8" r:id="rId2"/>
    <sheet name="Participación Apropiación " sheetId="2" r:id="rId3"/>
    <sheet name="Resumen Eje Egreso" sheetId="1" state="hidden" r:id="rId4"/>
    <sheet name="INVERSIÓN" sheetId="4" state="hidden" r:id="rId5"/>
    <sheet name="APR VS RP  Y OBLIGACIÓN Y PAGO" sheetId="3" r:id="rId6"/>
    <sheet name="APR,RP´S,OBL Y PAGO FUNCIONAMIE" sheetId="5" r:id="rId7"/>
    <sheet name="INVERSIÓN APR VS RP Y OBLI" sheetId="7" r:id="rId8"/>
    <sheet name="Reservas Presupuestales" sheetId="9" state="hidden" r:id="rId9"/>
    <sheet name="Participación por Concepto" sheetId="12" r:id="rId10"/>
    <sheet name="EJECUCIÓN  RESERVA" sheetId="10" r:id="rId11"/>
    <sheet name="CXP" sheetId="13" state="hidden" r:id="rId12"/>
    <sheet name="PART. CUENTA X PAGAR CONCEPTO " sheetId="17" r:id="rId13"/>
    <sheet name="EJECUCIÓN CUENTA POR PAGAR " sheetId="19" r:id="rId14"/>
  </sheets>
  <calcPr calcId="191029"/>
  <pivotCaches>
    <pivotCache cacheId="41" r:id="rId15"/>
    <pivotCache cacheId="42" r:id="rId16"/>
    <pivotCache cacheId="43" r:id="rId17"/>
    <pivotCache cacheId="44" r:id="rId18"/>
    <pivotCache cacheId="45" r:id="rId19"/>
    <pivotCache cacheId="46" r:id="rId2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9" l="1"/>
  <c r="D47" i="10"/>
  <c r="C47" i="10"/>
  <c r="C3" i="13"/>
  <c r="C10" i="13"/>
  <c r="C9" i="13"/>
  <c r="E4" i="13"/>
  <c r="D4" i="13"/>
  <c r="C4" i="13"/>
  <c r="E3" i="13"/>
  <c r="C10" i="9"/>
  <c r="C9" i="9"/>
  <c r="E4" i="9"/>
  <c r="D4" i="9"/>
  <c r="C4" i="9"/>
  <c r="E3" i="9"/>
  <c r="C3" i="9"/>
  <c r="J51" i="10"/>
  <c r="E48" i="19"/>
  <c r="E47" i="19"/>
  <c r="E46" i="19"/>
  <c r="D48" i="19"/>
  <c r="D47" i="19"/>
  <c r="D46" i="19"/>
  <c r="C47" i="19"/>
  <c r="C46" i="19"/>
  <c r="E47" i="10"/>
  <c r="E46" i="10"/>
  <c r="E45" i="10"/>
  <c r="D46" i="10"/>
  <c r="D45" i="10"/>
  <c r="C46" i="10"/>
  <c r="C45" i="10"/>
  <c r="I38" i="4" l="1"/>
  <c r="H38" i="4"/>
  <c r="G38" i="4"/>
  <c r="F38" i="4"/>
  <c r="E38" i="4"/>
  <c r="D38" i="4"/>
  <c r="G20" i="1"/>
  <c r="F20" i="1"/>
  <c r="E20" i="1"/>
  <c r="D20" i="1"/>
  <c r="C20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G2" i="1"/>
  <c r="F2" i="1"/>
  <c r="E2" i="1"/>
  <c r="D2" i="1"/>
  <c r="C2" i="1"/>
  <c r="B36" i="7" l="1"/>
  <c r="F44" i="5"/>
  <c r="D44" i="5"/>
  <c r="E47" i="5"/>
  <c r="F45" i="3"/>
  <c r="D45" i="3"/>
  <c r="E43" i="3"/>
  <c r="E46" i="5"/>
  <c r="F45" i="5"/>
  <c r="E45" i="5"/>
  <c r="E44" i="5"/>
  <c r="E44" i="3"/>
  <c r="C48" i="5"/>
  <c r="F44" i="3"/>
  <c r="E45" i="3"/>
  <c r="F46" i="5"/>
  <c r="D46" i="5"/>
  <c r="F48" i="5"/>
  <c r="F43" i="3"/>
  <c r="D47" i="5"/>
  <c r="F42" i="3"/>
  <c r="C47" i="5"/>
  <c r="D45" i="5"/>
  <c r="D48" i="5"/>
  <c r="E48" i="5"/>
  <c r="C43" i="3"/>
  <c r="F47" i="5"/>
  <c r="C45" i="5"/>
  <c r="C44" i="5"/>
  <c r="C42" i="3"/>
  <c r="C46" i="5"/>
  <c r="C44" i="3"/>
  <c r="C45" i="3"/>
  <c r="D42" i="3" l="1"/>
  <c r="D43" i="3"/>
  <c r="E42" i="3"/>
  <c r="D44" i="3"/>
</calcChain>
</file>

<file path=xl/sharedStrings.xml><?xml version="1.0" encoding="utf-8"?>
<sst xmlns="http://schemas.openxmlformats.org/spreadsheetml/2006/main" count="244" uniqueCount="159">
  <si>
    <t>CODIFICACION
PRESUPUESTAL</t>
  </si>
  <si>
    <t>DESCRIPCION</t>
  </si>
  <si>
    <t>A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</si>
  <si>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</si>
  <si>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</si>
  <si>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</si>
  <si>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</si>
  <si>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</si>
  <si>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</si>
  <si>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</si>
  <si>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</si>
  <si>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</si>
  <si>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 xml:space="preserve"> COMPROMISOS
 ACUMULADOS</t>
  </si>
  <si>
    <t xml:space="preserve"> OBLIGACIONES
 ACUMULADAS</t>
  </si>
  <si>
    <t>PAGOS
 ACUMULADOS</t>
  </si>
  <si>
    <t>2 COMPROMISOS
 ACUMULADOS</t>
  </si>
  <si>
    <t>3 OBLIGACIONES
 ACUMULADAS</t>
  </si>
  <si>
    <t xml:space="preserve"> PAGOS
 ACUMULADOS</t>
  </si>
  <si>
    <t xml:space="preserve"> OBLIGACIONES</t>
  </si>
  <si>
    <t xml:space="preserve"> PAGOS</t>
  </si>
  <si>
    <t>APROPIACION</t>
  </si>
  <si>
    <t xml:space="preserve"> APROPIACION
 VIGENTE</t>
  </si>
  <si>
    <t>A-01</t>
  </si>
  <si>
    <t>A-02</t>
  </si>
  <si>
    <t>A-03</t>
  </si>
  <si>
    <t>A-08</t>
  </si>
  <si>
    <t>A-FUNCIONAMIENTO</t>
  </si>
  <si>
    <t>B-SERVICIO DE LA DEUDA PÚBLICA</t>
  </si>
  <si>
    <t>C- INVERSION</t>
  </si>
  <si>
    <t>A-01 -GASTOS DE PERSONAL</t>
  </si>
  <si>
    <t>A-02 -ADQUISICIÓN DE BIENES  Y SERVICIOS</t>
  </si>
  <si>
    <t>A-03-TRANSFERENCIAS CORRIENTES</t>
  </si>
  <si>
    <t>A-08-GASTOS POR TRIBUTOS, MULTAS, SANCIONES E INTERESES DE MORA</t>
  </si>
  <si>
    <t xml:space="preserve">Codigo </t>
  </si>
  <si>
    <t>C-2401-0600-38</t>
  </si>
  <si>
    <t>C-2401-0600-54</t>
  </si>
  <si>
    <t>MEJORAMIENTO DE LA CONCESIÓN ARMENIA PEREIRA MANIZALES  RISARALDA, CALDAS, QUINDIO, VALLE DEL CAUCA</t>
  </si>
  <si>
    <t>C-2404-0600-2</t>
  </si>
  <si>
    <t>REHABILITACIÓN CONSTRUCCIÓN Y MANTENIMIENTO DE LA RED FÉRREA A NIVEL NACIONAL  NACIONAL</t>
  </si>
  <si>
    <t>C-2405-0600-2</t>
  </si>
  <si>
    <t>C-2499-0600-7</t>
  </si>
  <si>
    <t>C-2499-0600-8</t>
  </si>
  <si>
    <t>C-2499-0600-9</t>
  </si>
  <si>
    <t>COMPROMISOS</t>
  </si>
  <si>
    <t>C-2499-0600-10</t>
  </si>
  <si>
    <t>Porcentaje Participación de la Apropiación  por Concepto de Gasto</t>
  </si>
  <si>
    <t xml:space="preserve">Comparativo Ejecución  Presupuestal del  Presupuesto de Funcionamiento </t>
  </si>
  <si>
    <t xml:space="preserve">Detalle Ejecución Presupuestal por Proyecto de Inversión </t>
  </si>
  <si>
    <t>MEJORAMIENTO CONSTRUCCIÓN REHABILITACIÓN, MANTENIMIENTO Y OPERACIÓN, DEL CORREDOR VIAL PAMPLONA - CUCÚTA DEPARTAMENTO DE   NORTE DE SANTANDER</t>
  </si>
  <si>
    <t>MEJORAMIENTO , CONSTRUCCIÓN, REHABILITACIÓN, MANTENIMIENTO  Y OPERACIÓN DEL CORREDOR BUCARAMANGA, BARRANCABERMEJA, YONDÓ EN LOS DEPARTAMENTOS DE   ANTIOQUIA, SANTANDER</t>
  </si>
  <si>
    <t>CONSTRUCCIÓN OPERACIÓN Y MANTENIMIENTO DE LA CONCESIÓN AUTOPISTA CONEXIÓN PACIFICO 1 - AUTOPISTAS PARA LA PROSPERIDAD ANTIOQUIA</t>
  </si>
  <si>
    <t>MEJORAMIENTO REHABILITACIÓN, CONSTRUCCIÓN, MANTENIMIENTO Y OPERACIÓN DEL CORREDOR SANTANA - MOCOA - NEIVA, DEPARTAMENTOS DE  HUILA, PUTUMAYO, CAUCA</t>
  </si>
  <si>
    <t>MEJORAMIENTO REHABILITACIÓN, CONSTRUCCIÓN , MANTENIMIENTO  Y OPERACIÓN DEL CORREDOR POPAYAN - SANTANDER DE QUILICHAO EN EL DEPARTAMENTO DEL     CAUCA</t>
  </si>
  <si>
    <t>MEJORAMIENTO CONSTRUCCIÓN, MANTENIMIENTO Y OPERACIÓN DEL CORREDOR CONEXIÓN NORTE, AUTOPISTAS PARA LA PROSPERIDAD   ANTIOQUIA</t>
  </si>
  <si>
    <t>MEJORAMIENTO CONSTRUCCIÓN, REHABILITACIÓN Y MANTENIMIENTO DEL CORREDOR VILLAVICENCIO - YOPAL DEPARTAMENTOS DEL   META, CASANARE</t>
  </si>
  <si>
    <t>REHABILITACIÓN MEJORAMIENTO, CONSTRUCCIÓN, MANTENIMIENTO Y OPERACIÓN DEL CORREDOR CARTAGENA - BARRANQUILLA Y CIRCUNVALAR DE LA PROSPERIDAD, DEPARTAMENTOS DE   ATLÁNTICO, BOLÍVAR</t>
  </si>
  <si>
    <t>MEJORAMIENTO  CONSTRUCCIÓN, OPERACIÓN, Y MANTENIMIENTO DE LA AUTOPISTA CONEXIÓN PACIFICO 3  AUTOPISTAS PARA LA PROSPERIDAD   ANTIOQUIA</t>
  </si>
  <si>
    <t>MEJORAMIENTO REHABILITACIÓN, CONSTRUCCIÓN, MANTENIMIENTO, Y OPERACIÓN DEL CORREDOR RUMICHACA - PASTO EN EL DEPARTAMENTO DE    NARIÑO</t>
  </si>
  <si>
    <t>REHABILITACIÓN MEJORAMIENTO, OPERACIÓN Y MANTENIMIENTO DEL CORREDOR PERIMETRAL DE CUNDINAMARCA, CENTRO ORIENTE   CUNDINAMARCA</t>
  </si>
  <si>
    <t>MEJORAMIENTO CONSTRUCCIÓN, REHABILITACIÓN OPERACIÓN Y MANTENIMIENTO DE LA CONCESIÓN AUTOPISTA AL MAR 2   ANTIOQUIA</t>
  </si>
  <si>
    <t>MEJORAMIENTO REHABILITACIÓN Y MANTENIMIENTO DEL CORREDOR HONDA - PUERTO SALGAR - GIRARDOT, DEPARTAMENTOS DE    CUNDINAMARCA, CALDAS, TOLIMA</t>
  </si>
  <si>
    <t>MEJORAMIENTO DEL CORREDOR PUERTA DE HIERRO - PALMAR DE VARELA Y CARRETO - CRUZ DEL VISO EN LOS DEPARTAMENTOS DE    ATLÁNTICO, BOLÍVAR, SUCRE</t>
  </si>
  <si>
    <t>CONTROL Y SEGUIMIENTO A LA OPERACIÓN DE LOS PUERTOS CONCESIONADOS   NACIONAL</t>
  </si>
  <si>
    <t>C-2401-0600-72</t>
  </si>
  <si>
    <t>C-2401-0600-59</t>
  </si>
  <si>
    <t>C-2401-0600-60</t>
  </si>
  <si>
    <t>C-2401-0600-61</t>
  </si>
  <si>
    <t>C-2401-0600-62</t>
  </si>
  <si>
    <t>C-2401-0600-63</t>
  </si>
  <si>
    <t>C-2401-0600-64</t>
  </si>
  <si>
    <t>C-2401-0600-65</t>
  </si>
  <si>
    <t>C-2401-0600-66</t>
  </si>
  <si>
    <t>C-2401-0600-67</t>
  </si>
  <si>
    <t>C-2401-0600-68</t>
  </si>
  <si>
    <t>C-2401-0600-69</t>
  </si>
  <si>
    <t>C-2401-0600-70</t>
  </si>
  <si>
    <t>C-2401-0600-71</t>
  </si>
  <si>
    <t>C-2401-0600-73</t>
  </si>
  <si>
    <t>C-2401-0600-74</t>
  </si>
  <si>
    <t>C-2401-0600-75</t>
  </si>
  <si>
    <t>C-2401-0600-76</t>
  </si>
  <si>
    <t>C-2401-0600-77</t>
  </si>
  <si>
    <t>C-2401-0600-78</t>
  </si>
  <si>
    <t>C-2401-0600-79</t>
  </si>
  <si>
    <t>C-2403-0600-4</t>
  </si>
  <si>
    <t>C-2404-0600-4</t>
  </si>
  <si>
    <t>C-2405-0600-4</t>
  </si>
  <si>
    <t xml:space="preserve">DENOMINACIÓN DEL CÓDIGO PRESUPUESTAL
</t>
  </si>
  <si>
    <t>RESERVAS CONSTITUIDAS
(1)</t>
  </si>
  <si>
    <t>CANCELACIONES RESERVAS PRESUPUESTALES
 (2)</t>
  </si>
  <si>
    <t>TOTAL PAGOS
ACUMULADOS
(5)</t>
  </si>
  <si>
    <t>B-INVERSIÓN</t>
  </si>
  <si>
    <t xml:space="preserve">RESERVAS CONSTITUIDAS
</t>
  </si>
  <si>
    <t>CONCEPTO</t>
  </si>
  <si>
    <t xml:space="preserve">CANCELACIONES RESERVAS PRESUPUESTALES
 </t>
  </si>
  <si>
    <t xml:space="preserve">PAGOS
ACUMULADOS
</t>
  </si>
  <si>
    <t>Ejecución Presupuesto de Gastos</t>
  </si>
  <si>
    <t>Ejecución Reserva Presupuestal Constituida</t>
  </si>
  <si>
    <t>Porcentaje Participación de la Reserva por Concepto de Gasto</t>
  </si>
  <si>
    <t>Reservas Vigente</t>
  </si>
  <si>
    <t>Reservas Vigentes</t>
  </si>
  <si>
    <t>Ejecución Acumulada Reservas Constituidas</t>
  </si>
  <si>
    <t>Ejecución Reservas Presupuestales por Concepto</t>
  </si>
  <si>
    <t>Cifras en millones de Pesos</t>
  </si>
  <si>
    <t>C-2401-0600-80</t>
  </si>
  <si>
    <t xml:space="preserve">MEJORAMIENTO APOYO ESTATAL PROYECTO DE CONCESIÓN RUTA DEL SOL SECTOR III,   CESAR, BOLÍVAR, MAGDALENA </t>
  </si>
  <si>
    <t>REHABILITACIÓN CONSTRUCCIÓN, MEJORAMIENTO, OPERACIÓN Y MANTENIMIENTO DE LA CONCESIÓN AUTOPISTA AL RIO MAGDALENA 2, DEPARTAMENTOS DE ANTIOQUIA, SANTANDER</t>
  </si>
  <si>
    <t>CONSTRUCCIÓN OPERACIÓN Y MANTENIMIENTO DE LA VÍA MULALO - LOBOGUERRERO, DEPARTAMENTO DEL VALLE DEL CAUCA</t>
  </si>
  <si>
    <t>MEJORAMIENTO REHABILITACIÓN, CONSTRUCCIÓN, MANTENIMIENTO Y OPERACIÓN DEL CORREDOR BUCARAMANGA PAMPLONA NORTE DE SANTANDER</t>
  </si>
  <si>
    <t>MEJORAMIENTO REHABILITACIÓN, MANTENIMIENTO Y OPERACIÓN DEL CORREDOR TRANSVERSAL DEL SISGA, DEPARTAMENTOS DE BOYACÁ, CUNDINAMARCA, CASANARE</t>
  </si>
  <si>
    <t>MEJORAMIENTO CONSTRUCCIÓN, OPERACIÓN Y MANTENIMIENTO DE LA CONCESIÓN AUTOPISTA CONEXIÓN PACIFICO 2 ANTIOQUIA</t>
  </si>
  <si>
    <t>MEJORAMIENTO CONSTRUCCIÓN, REHABILITACIÓN, OPERACIÓN Y MANTENIMIENTO DE LA CONCESIÓN AUTOPISTA AL MAR 1, DEPARTAMENTO DE ANTIOQUIA</t>
  </si>
  <si>
    <t>CONTROL Y SEGUIMIENTO A LA OPERACIÓN DE LOS AEROPUERTOS CONCESIONADOS  NACIONAL</t>
  </si>
  <si>
    <t>CONTROL Y SEGUIMIENTO A LA OPERACIÓN DE LAS VÍAS FÉRREAS  NACIONAL</t>
  </si>
  <si>
    <t>Apropiación Condicionada o Bloqueada</t>
  </si>
  <si>
    <t>Denominación del Rubro</t>
  </si>
  <si>
    <t>FUNCIONAMIENTO</t>
  </si>
  <si>
    <t>GASTOS DE PERSONAL</t>
  </si>
  <si>
    <t>Apropiación Vigente
(1)</t>
  </si>
  <si>
    <t>Certificados Acumulados
(2)</t>
  </si>
  <si>
    <t>Compromisos
Acumulados
(3)</t>
  </si>
  <si>
    <t>Obligaciones
Acumuladas
(4)</t>
  </si>
  <si>
    <t>Pagos
Acumulados
(5)</t>
  </si>
  <si>
    <t>ADQUISICIÓN DE BIENES  Y SERVICIOS</t>
  </si>
  <si>
    <t>TRANSFERENCIAS CORRIENTES</t>
  </si>
  <si>
    <t>GASTOS POR TRIBUTOS, MULTAS, SANCIONES E INTERESES DE MORA</t>
  </si>
  <si>
    <t>SERVICIO DE LA DEUDA PÚBLICA</t>
  </si>
  <si>
    <t>INVERSION</t>
  </si>
  <si>
    <t>C-INVERSIÓN</t>
  </si>
  <si>
    <t>C-2403-0600-5</t>
  </si>
  <si>
    <t>APOYO ESTATAL A LOS AEROPUERTOS A NIVEL NACIONAL  NACIONAL</t>
  </si>
  <si>
    <t>C-2406-0600-1</t>
  </si>
  <si>
    <t>CONTROL Y SEGUIMIENTO A LAS VIAS FLUVIALES  NACIONAL</t>
  </si>
  <si>
    <t>CONTROL Y SEGUIMIENTO A LA OPERACIÓN DE LAS VÍAS PRIMARIAS CONCESIONADAS  NACIONAL</t>
  </si>
  <si>
    <t>DESARROLLO DE OBRAS COMPLEMENTARIAS, GESTIÓN SOCIAL, AMBIENTAL Y PREDIAL DE LOS CONTRATOS DE CONCESIÓN VIAL.   NACIONAL</t>
  </si>
  <si>
    <t>APOYO ESTATAL A LOS PUERTOS A NIVEL NACIONAL   NACIONAL</t>
  </si>
  <si>
    <t>IMPLEMENTACIÓN DEL SISTEMA INTEGRADO DE GESTIÓN Y CONTROL DE LA AGENCIA NACIONAL DE INFRAESTRUCTURA  NACIONAL</t>
  </si>
  <si>
    <t>APOYO PARA LA GESTIÓN DE LA AGENCIA NACIONAL DE INFRAESTRUCTURA A TRAVÉS DE ASESORÍAS Y CONSULTORÍAS  NACIONAL</t>
  </si>
  <si>
    <t>SISTEMATIZACIÓN PARA EL SERVICIO DE INFORMACIÓN DE LA GESTIÓN ADMINISTRATIVA.  NACIONAL</t>
  </si>
  <si>
    <t>IMPLEMENTACION DEL SISTEMA DE GESTION DOCUMENTAL DE LA AGENCIA NACIONAL DE INFRAESTRUCTURA NACIONAL</t>
  </si>
  <si>
    <t>CXP CONSTITUIDAS
(1)</t>
  </si>
  <si>
    <t>CANCELACIONES CXP
 (2)</t>
  </si>
  <si>
    <t>CXP VIGENTE</t>
  </si>
  <si>
    <t>Ejecución Cuenta por Pagar Constituida</t>
  </si>
  <si>
    <t>Porcentaje Participación de la Cuenta por Pagar por Concepto de Gasto</t>
  </si>
  <si>
    <t>Ejecución de la Cuenta por Pagar Constituida</t>
  </si>
  <si>
    <t xml:space="preserve">  </t>
  </si>
  <si>
    <t>CUENTA X PAGAR VIGENTE</t>
  </si>
  <si>
    <t>Suma de CXP CONSTITUIDAS
(1)</t>
  </si>
  <si>
    <t>Suma de CANCELACIONES CXP
 (2)</t>
  </si>
  <si>
    <t>Suma de TOTAL PAGOS
ACUMULADOS
(5)</t>
  </si>
  <si>
    <t>CXP CONSTITUIDAS</t>
  </si>
  <si>
    <t>CANCELACIONES CXP</t>
  </si>
  <si>
    <t>TOTAL PAGOS</t>
  </si>
  <si>
    <t>Ejecución Acumulada Cuentas por Pagar</t>
  </si>
  <si>
    <t>Ejecución  Cuentas por Pagar por Concepto</t>
  </si>
  <si>
    <t>Suma de APROPIACION
 VIGENTE</t>
  </si>
  <si>
    <t>(Todas)</t>
  </si>
  <si>
    <t>Ejecución  Presupuestal Acumulada al  28/02/2022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</si>
</sst>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\ ???/???"/>
    <numFmt numFmtId="166" formatCode="_-* #,##0.0_-;\-* #,##0.0_-;_-* &quot;-&quot;_-;_-@_-"/>
    <numFmt numFmtId="167" formatCode="0.0%"/>
    <numFmt numFmtId="168" formatCode="_-* #,##0.00_-;\-* #,##0.00_-;_-* &quot;-&quot;_-;_-@_-"/>
    <numFmt numFmtId="169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u/>
      <sz val="11"/>
      <color theme="4"/>
      <name val="Bookman Old Style"/>
      <family val="1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8"/>
      <color theme="1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i/>
      <sz val="28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3"/>
      <name val="Calibri"/>
      <family val="2"/>
      <scheme val="minor"/>
    </font>
    <font>
      <i/>
      <sz val="14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2"/>
        </stop>
        <stop position="1">
          <color theme="4" tint="0.80001220740379042"/>
        </stop>
      </gradientFill>
    </fill>
    <fill>
      <gradientFill degree="90">
        <stop position="0">
          <color theme="2" tint="-0.49803155613879818"/>
        </stop>
        <stop position="1">
          <color theme="4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pivotButton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pivotButton="1" applyAlignment="1">
      <alignment horizontal="center"/>
    </xf>
    <xf numFmtId="0" fontId="0" fillId="2" borderId="0" xfId="0" applyFill="1"/>
    <xf numFmtId="0" fontId="6" fillId="2" borderId="0" xfId="0" applyFont="1" applyFill="1" applyBorder="1"/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0" xfId="0" applyFill="1"/>
    <xf numFmtId="0" fontId="6" fillId="0" borderId="0" xfId="0" applyFont="1" applyFill="1"/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1" fillId="0" borderId="0" xfId="0" applyFont="1" applyFill="1"/>
    <xf numFmtId="0" fontId="0" fillId="2" borderId="0" xfId="0" applyFont="1" applyFill="1"/>
    <xf numFmtId="0" fontId="6" fillId="2" borderId="0" xfId="0" applyFont="1" applyFill="1"/>
    <xf numFmtId="0" fontId="14" fillId="0" borderId="3" xfId="0" applyFont="1" applyBorder="1" applyAlignment="1">
      <alignment horizontal="justify" wrapText="1"/>
    </xf>
    <xf numFmtId="0" fontId="13" fillId="0" borderId="2" xfId="15" applyFont="1" applyAlignment="1">
      <alignment horizontal="justify" wrapText="1"/>
    </xf>
    <xf numFmtId="168" fontId="0" fillId="0" borderId="0" xfId="0" applyNumberFormat="1"/>
    <xf numFmtId="168" fontId="0" fillId="0" borderId="0" xfId="0" applyNumberFormat="1" applyAlignment="1">
      <alignment wrapText="1"/>
    </xf>
    <xf numFmtId="0" fontId="0" fillId="0" borderId="0" xfId="0" applyFont="1" applyFill="1"/>
    <xf numFmtId="0" fontId="16" fillId="2" borderId="0" xfId="0" applyFont="1" applyFill="1"/>
    <xf numFmtId="0" fontId="0" fillId="0" borderId="0" xfId="0" applyFont="1" applyFill="1" applyBorder="1"/>
    <xf numFmtId="0" fontId="0" fillId="2" borderId="0" xfId="0" applyFont="1" applyFill="1" applyBorder="1"/>
    <xf numFmtId="0" fontId="0" fillId="0" borderId="0" xfId="0" applyFont="1"/>
    <xf numFmtId="0" fontId="17" fillId="4" borderId="1" xfId="0" applyFont="1" applyFill="1" applyBorder="1" applyAlignment="1">
      <alignment horizontal="center" vertical="center"/>
    </xf>
    <xf numFmtId="41" fontId="17" fillId="4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168" fontId="0" fillId="3" borderId="1" xfId="1" applyNumberFormat="1" applyFont="1" applyFill="1" applyBorder="1"/>
    <xf numFmtId="0" fontId="0" fillId="3" borderId="1" xfId="0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9" fontId="16" fillId="0" borderId="0" xfId="13" applyFont="1" applyFill="1" applyBorder="1"/>
    <xf numFmtId="10" fontId="16" fillId="0" borderId="0" xfId="13" applyNumberFormat="1" applyFont="1" applyFill="1" applyBorder="1"/>
    <xf numFmtId="0" fontId="18" fillId="0" borderId="0" xfId="0" applyFont="1" applyFill="1" applyBorder="1" applyAlignment="1">
      <alignment horizontal="left"/>
    </xf>
    <xf numFmtId="41" fontId="18" fillId="0" borderId="0" xfId="0" applyNumberFormat="1" applyFont="1" applyFill="1" applyBorder="1"/>
    <xf numFmtId="9" fontId="18" fillId="0" borderId="0" xfId="13" applyFont="1" applyFill="1" applyBorder="1"/>
    <xf numFmtId="167" fontId="18" fillId="0" borderId="0" xfId="13" applyNumberFormat="1" applyFont="1" applyFill="1" applyBorder="1"/>
    <xf numFmtId="43" fontId="0" fillId="0" borderId="0" xfId="16" applyFont="1"/>
    <xf numFmtId="0" fontId="19" fillId="2" borderId="5" xfId="0" applyFont="1" applyFill="1" applyBorder="1" applyAlignment="1">
      <alignment horizontal="center" vertical="center" wrapText="1"/>
    </xf>
    <xf numFmtId="164" fontId="19" fillId="2" borderId="5" xfId="3" applyFont="1" applyFill="1" applyBorder="1" applyAlignment="1">
      <alignment horizontal="center" vertical="center" wrapText="1"/>
    </xf>
    <xf numFmtId="4" fontId="19" fillId="2" borderId="5" xfId="3" applyNumberFormat="1" applyFont="1" applyFill="1" applyBorder="1" applyAlignment="1">
      <alignment horizontal="center" vertical="center" wrapText="1"/>
    </xf>
    <xf numFmtId="164" fontId="19" fillId="2" borderId="6" xfId="3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 wrapText="1"/>
    </xf>
    <xf numFmtId="164" fontId="20" fillId="2" borderId="5" xfId="3" applyFont="1" applyFill="1" applyBorder="1" applyAlignment="1">
      <alignment horizontal="right" vertical="center"/>
    </xf>
    <xf numFmtId="4" fontId="20" fillId="2" borderId="5" xfId="3" applyNumberFormat="1" applyFont="1" applyFill="1" applyBorder="1" applyAlignment="1">
      <alignment horizontal="right" vertical="center"/>
    </xf>
    <xf numFmtId="4" fontId="20" fillId="2" borderId="6" xfId="3" applyNumberFormat="1" applyFont="1" applyFill="1" applyBorder="1" applyAlignment="1">
      <alignment horizontal="right" vertical="center"/>
    </xf>
    <xf numFmtId="0" fontId="19" fillId="2" borderId="7" xfId="0" applyFont="1" applyFill="1" applyBorder="1" applyAlignment="1">
      <alignment vertical="center" wrapText="1"/>
    </xf>
    <xf numFmtId="164" fontId="19" fillId="2" borderId="7" xfId="3" applyFont="1" applyFill="1" applyBorder="1" applyAlignment="1">
      <alignment horizontal="right" vertical="center"/>
    </xf>
    <xf numFmtId="4" fontId="19" fillId="2" borderId="7" xfId="3" applyNumberFormat="1" applyFont="1" applyFill="1" applyBorder="1" applyAlignment="1">
      <alignment horizontal="right" vertical="center"/>
    </xf>
    <xf numFmtId="4" fontId="19" fillId="2" borderId="8" xfId="3" applyNumberFormat="1" applyFont="1" applyFill="1" applyBorder="1" applyAlignment="1">
      <alignment horizontal="right" vertical="center"/>
    </xf>
    <xf numFmtId="164" fontId="0" fillId="0" borderId="0" xfId="0" applyNumberFormat="1"/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0" xfId="0" pivotButton="1" applyNumberFormat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3" fontId="0" fillId="0" borderId="0" xfId="0" pivotButton="1" applyNumberFormat="1"/>
    <xf numFmtId="0" fontId="9" fillId="5" borderId="0" xfId="14" applyFont="1" applyFill="1" applyBorder="1"/>
    <xf numFmtId="0" fontId="9" fillId="0" borderId="0" xfId="14" applyFont="1" applyFill="1" applyBorder="1"/>
    <xf numFmtId="0" fontId="8" fillId="6" borderId="0" xfId="0" applyFont="1" applyFill="1" applyAlignment="1">
      <alignment horizontal="center"/>
    </xf>
    <xf numFmtId="0" fontId="23" fillId="0" borderId="0" xfId="0" applyFont="1"/>
    <xf numFmtId="4" fontId="0" fillId="0" borderId="0" xfId="0" applyNumberFormat="1"/>
    <xf numFmtId="0" fontId="24" fillId="0" borderId="0" xfId="0" applyFont="1"/>
    <xf numFmtId="0" fontId="24" fillId="0" borderId="0" xfId="0" applyFont="1" applyFill="1"/>
    <xf numFmtId="9" fontId="0" fillId="0" borderId="0" xfId="13" applyFont="1"/>
    <xf numFmtId="167" fontId="0" fillId="0" borderId="0" xfId="13" applyNumberFormat="1" applyFont="1"/>
    <xf numFmtId="10" fontId="0" fillId="0" borderId="0" xfId="13" applyNumberFormat="1" applyFont="1"/>
    <xf numFmtId="0" fontId="25" fillId="7" borderId="9" xfId="4" applyFont="1" applyFill="1" applyBorder="1" applyAlignment="1">
      <alignment horizontal="center" vertical="center" wrapText="1"/>
    </xf>
    <xf numFmtId="0" fontId="20" fillId="8" borderId="5" xfId="17" applyFont="1" applyFill="1" applyBorder="1" applyAlignment="1">
      <alignment vertical="center" wrapText="1"/>
    </xf>
    <xf numFmtId="0" fontId="19" fillId="2" borderId="10" xfId="17" applyFont="1" applyFill="1" applyBorder="1" applyAlignment="1">
      <alignment vertical="center" wrapText="1"/>
    </xf>
    <xf numFmtId="164" fontId="25" fillId="7" borderId="9" xfId="5" applyFont="1" applyFill="1" applyBorder="1" applyAlignment="1">
      <alignment horizontal="center" vertical="center" wrapText="1"/>
    </xf>
    <xf numFmtId="164" fontId="25" fillId="7" borderId="11" xfId="5" applyFont="1" applyFill="1" applyBorder="1" applyAlignment="1">
      <alignment horizontal="center" vertical="center" wrapText="1"/>
    </xf>
    <xf numFmtId="39" fontId="20" fillId="8" borderId="5" xfId="18" applyNumberFormat="1" applyFont="1" applyFill="1" applyBorder="1" applyAlignment="1">
      <alignment horizontal="right" vertical="center"/>
    </xf>
    <xf numFmtId="39" fontId="20" fillId="8" borderId="6" xfId="18" applyNumberFormat="1" applyFont="1" applyFill="1" applyBorder="1" applyAlignment="1">
      <alignment horizontal="right" vertical="center"/>
    </xf>
    <xf numFmtId="0" fontId="19" fillId="2" borderId="1" xfId="17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justify" wrapText="1"/>
    </xf>
    <xf numFmtId="4" fontId="26" fillId="2" borderId="10" xfId="17" applyNumberFormat="1" applyFont="1" applyFill="1" applyBorder="1" applyAlignment="1">
      <alignment vertical="center" wrapText="1"/>
    </xf>
    <xf numFmtId="4" fontId="26" fillId="2" borderId="12" xfId="17" applyNumberFormat="1" applyFont="1" applyFill="1" applyBorder="1" applyAlignment="1">
      <alignment vertical="center" wrapText="1"/>
    </xf>
    <xf numFmtId="4" fontId="27" fillId="2" borderId="1" xfId="17" applyNumberFormat="1" applyFont="1" applyFill="1" applyBorder="1" applyAlignment="1">
      <alignment horizontal="right" vertical="center" wrapText="1" readingOrder="1"/>
    </xf>
    <xf numFmtId="4" fontId="27" fillId="2" borderId="13" xfId="17" applyNumberFormat="1" applyFont="1" applyFill="1" applyBorder="1" applyAlignment="1">
      <alignment horizontal="right" vertical="center" wrapText="1" readingOrder="1"/>
    </xf>
    <xf numFmtId="168" fontId="0" fillId="0" borderId="0" xfId="1" applyNumberFormat="1" applyFont="1"/>
    <xf numFmtId="4" fontId="0" fillId="0" borderId="1" xfId="0" applyNumberFormat="1" applyBorder="1"/>
    <xf numFmtId="0" fontId="28" fillId="0" borderId="0" xfId="0" applyFont="1"/>
    <xf numFmtId="0" fontId="8" fillId="0" borderId="0" xfId="0" applyFont="1"/>
    <xf numFmtId="9" fontId="11" fillId="0" borderId="0" xfId="13" applyFont="1" applyFill="1"/>
    <xf numFmtId="167" fontId="11" fillId="0" borderId="0" xfId="13" applyNumberFormat="1" applyFont="1" applyFill="1"/>
    <xf numFmtId="10" fontId="11" fillId="0" borderId="0" xfId="13" applyNumberFormat="1" applyFont="1" applyFill="1"/>
    <xf numFmtId="43" fontId="13" fillId="0" borderId="2" xfId="16" applyFont="1" applyBorder="1"/>
    <xf numFmtId="43" fontId="13" fillId="0" borderId="2" xfId="16" applyFont="1" applyBorder="1" applyAlignment="1">
      <alignment horizontal="center" wrapText="1"/>
    </xf>
    <xf numFmtId="0" fontId="29" fillId="0" borderId="1" xfId="0" applyFont="1" applyBorder="1" applyAlignment="1">
      <alignment wrapText="1"/>
    </xf>
    <xf numFmtId="43" fontId="15" fillId="2" borderId="4" xfId="16" applyFont="1" applyFill="1" applyBorder="1"/>
    <xf numFmtId="43" fontId="15" fillId="0" borderId="4" xfId="16" applyFont="1" applyBorder="1"/>
    <xf numFmtId="0" fontId="16" fillId="2" borderId="0" xfId="0" applyFont="1" applyFill="1" applyBorder="1"/>
    <xf numFmtId="0" fontId="11" fillId="2" borderId="0" xfId="0" applyFont="1" applyFill="1" applyBorder="1"/>
    <xf numFmtId="0" fontId="11" fillId="0" borderId="0" xfId="0" applyFont="1" applyFill="1" applyBorder="1"/>
    <xf numFmtId="0" fontId="11" fillId="2" borderId="0" xfId="0" applyFont="1" applyFill="1"/>
    <xf numFmtId="0" fontId="11" fillId="0" borderId="0" xfId="0" applyFont="1"/>
    <xf numFmtId="10" fontId="11" fillId="0" borderId="0" xfId="0" applyNumberFormat="1" applyFont="1" applyFill="1"/>
    <xf numFmtId="0" fontId="30" fillId="0" borderId="0" xfId="0" applyFont="1" applyFill="1" applyBorder="1" applyAlignment="1">
      <alignment horizontal="left"/>
    </xf>
    <xf numFmtId="41" fontId="30" fillId="0" borderId="0" xfId="0" applyNumberFormat="1" applyFont="1" applyFill="1" applyBorder="1"/>
    <xf numFmtId="10" fontId="30" fillId="0" borderId="0" xfId="13" applyNumberFormat="1" applyFont="1" applyFill="1" applyBorder="1"/>
    <xf numFmtId="167" fontId="30" fillId="0" borderId="0" xfId="13" applyNumberFormat="1" applyFont="1" applyFill="1" applyBorder="1"/>
    <xf numFmtId="9" fontId="30" fillId="0" borderId="0" xfId="13" applyFont="1" applyFill="1" applyBorder="1"/>
    <xf numFmtId="41" fontId="30" fillId="0" borderId="0" xfId="1" applyFont="1" applyFill="1" applyBorder="1"/>
    <xf numFmtId="0" fontId="30" fillId="0" borderId="0" xfId="0" applyFont="1" applyFill="1"/>
    <xf numFmtId="10" fontId="30" fillId="0" borderId="0" xfId="13" applyNumberFormat="1" applyFont="1" applyFill="1"/>
    <xf numFmtId="0" fontId="31" fillId="0" borderId="0" xfId="0" applyFont="1" applyFill="1"/>
    <xf numFmtId="0" fontId="29" fillId="0" borderId="0" xfId="0" applyFont="1" applyFill="1"/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>
      <alignment horizontal="left"/>
    </xf>
    <xf numFmtId="41" fontId="32" fillId="0" borderId="0" xfId="0" applyNumberFormat="1" applyFont="1" applyFill="1" applyBorder="1"/>
    <xf numFmtId="168" fontId="30" fillId="0" borderId="0" xfId="0" applyNumberFormat="1" applyFont="1" applyFill="1" applyBorder="1"/>
    <xf numFmtId="168" fontId="30" fillId="0" borderId="0" xfId="1" applyNumberFormat="1" applyFont="1" applyFill="1" applyBorder="1"/>
    <xf numFmtId="10" fontId="32" fillId="0" borderId="0" xfId="13" applyNumberFormat="1" applyFont="1" applyFill="1" applyBorder="1"/>
    <xf numFmtId="10" fontId="32" fillId="0" borderId="0" xfId="13" applyNumberFormat="1" applyFont="1" applyFill="1"/>
    <xf numFmtId="0" fontId="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43" fontId="21" fillId="0" borderId="0" xfId="0" applyNumberFormat="1" applyFont="1" applyAlignment="1">
      <alignment horizontal="center"/>
    </xf>
  </cellXfs>
  <cellStyles count="19">
    <cellStyle name="Hipervínculo" xfId="14" builtinId="8"/>
    <cellStyle name="Millares" xfId="16" builtinId="3"/>
    <cellStyle name="Millares [0]" xfId="1" builtinId="6"/>
    <cellStyle name="Millares 13" xfId="3" xr:uid="{00000000-0005-0000-0000-000003000000}"/>
    <cellStyle name="Millares 14" xfId="5" xr:uid="{00000000-0005-0000-0000-000004000000}"/>
    <cellStyle name="Millares 18" xfId="8" xr:uid="{00000000-0005-0000-0000-000005000000}"/>
    <cellStyle name="Millares 2" xfId="18" xr:uid="{7DE94401-080B-4C48-B3F5-F8DA1A1EBF28}"/>
    <cellStyle name="Normal" xfId="0" builtinId="0"/>
    <cellStyle name="Normal 13" xfId="2" xr:uid="{00000000-0005-0000-0000-000007000000}"/>
    <cellStyle name="Normal 14" xfId="4" xr:uid="{00000000-0005-0000-0000-000008000000}"/>
    <cellStyle name="Normal 14 5" xfId="6" xr:uid="{00000000-0005-0000-0000-000009000000}"/>
    <cellStyle name="Normal 14 6" xfId="9" xr:uid="{00000000-0005-0000-0000-00000A000000}"/>
    <cellStyle name="Normal 14 8" xfId="11" xr:uid="{00000000-0005-0000-0000-00000B000000}"/>
    <cellStyle name="Normal 18" xfId="7" xr:uid="{00000000-0005-0000-0000-00000C000000}"/>
    <cellStyle name="Normal 19" xfId="10" xr:uid="{00000000-0005-0000-0000-00000D000000}"/>
    <cellStyle name="Normal 2 2 2" xfId="17" xr:uid="{0F941B16-58A2-48EF-B8CF-03E560C8FE57}"/>
    <cellStyle name="Normal 21" xfId="12" xr:uid="{00000000-0005-0000-0000-00000E000000}"/>
    <cellStyle name="Porcentaje" xfId="13" builtinId="5"/>
    <cellStyle name="Título 2" xfId="15" builtinId="17"/>
  </cellStyles>
  <dxfs count="64">
    <dxf>
      <numFmt numFmtId="35" formatCode="_-* #,##0.00_-;\-* #,##0.00_-;_-* &quot;-&quot;??_-;_-@_-"/>
    </dxf>
    <dxf>
      <numFmt numFmtId="169" formatCode="0.00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8" formatCode="_-* #,##0.00_-;\-* #,##0.00_-;_-* &quot;-&quot;_-;_-@_-"/>
    </dxf>
    <dxf>
      <alignment horizontal="center"/>
    </dxf>
    <dxf>
      <alignment wrapText="1"/>
    </dxf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8" formatCode="_-* #,##0.00_-;\-* #,##0.00_-;_-* &quot;-&quot;_-;_-@_-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8" formatCode="_-* #,##0.00_-;\-* #,##0.00_-;_-* &quot;-&quot;_-;_-@_-"/>
    </dxf>
    <dxf>
      <numFmt numFmtId="33" formatCode="_-* #,##0_-;\-* #,##0_-;_-* &quot;-&quot;_-;_-@_-"/>
    </dxf>
    <dxf>
      <numFmt numFmtId="0" formatCode="General"/>
    </dxf>
    <dxf>
      <numFmt numFmtId="13" formatCode="0%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68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pivotCacheDefinition" Target="pivotCache/pivotCacheDefinition4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pivotCacheDefinition" Target="pivotCache/pivotCacheDefinition3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6" Type="http://schemas.openxmlformats.org/officeDocument/2006/relationships/pivotCacheDefinition" Target="pivotCache/pivotCacheDefinition2.xml"/><Relationship Id="rId20" Type="http://schemas.openxmlformats.org/officeDocument/2006/relationships/pivotCacheDefinition" Target="pivotCache/pivotCacheDefinition6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pivotCacheDefinition" Target="pivotCache/pivotCacheDefinition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19" Type="http://schemas.openxmlformats.org/officeDocument/2006/relationships/pivotCacheDefinition" Target="pivotCache/pivotCacheDefinition5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4487712"/>
        <c:axId val="1684580784"/>
      </c:barChart>
      <c:catAx>
        <c:axId val="133448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580784"/>
        <c:crosses val="autoZero"/>
        <c:auto val="1"/>
        <c:lblAlgn val="ctr"/>
        <c:lblOffset val="100"/>
        <c:noMultiLvlLbl val="0"/>
      </c:catAx>
      <c:valAx>
        <c:axId val="168458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448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Febrero_2022.xlsx]PART. CUENTA X PAGAR CONCEPTO !TablaDinámica2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Cuenta por Pagar Vigentes al Cierre de febrero de 2022</a:t>
            </a:r>
          </a:p>
          <a:p>
            <a:pPr>
              <a:defRPr lang="en-US" sz="1400" b="0" spc="0">
                <a:solidFill>
                  <a:schemeClr val="accent1"/>
                </a:solidFill>
              </a:defRPr>
            </a:pPr>
            <a:endPara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</c:pivotFmts>
    <c:plotArea>
      <c:layout/>
      <c:pieChart>
        <c:varyColors val="1"/>
        <c:ser>
          <c:idx val="0"/>
          <c:order val="0"/>
          <c:tx>
            <c:strRef>
              <c:f>'PART. CUENTA X PAGAR CONCEPTO '!$C$8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9C1-47E6-9063-61FAD12C23D5}"/>
              </c:ext>
            </c:extLst>
          </c:dPt>
          <c:dPt>
            <c:idx val="1"/>
            <c:bubble3D val="0"/>
            <c:explosion val="9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2-E9C1-47E6-9063-61FAD12C23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'PART. CUENTA X PAGAR CONCEPTO '!$B$9:$B$11</c:f>
              <c:strCache>
                <c:ptCount val="2"/>
                <c:pt idx="0">
                  <c:v>A-FUNCIONAMIENTO</c:v>
                </c:pt>
                <c:pt idx="1">
                  <c:v>B-INVERSIÓN</c:v>
                </c:pt>
              </c:strCache>
            </c:strRef>
          </c:cat>
          <c:val>
            <c:numRef>
              <c:f>'PART. CUENTA X PAGAR CONCEPTO '!$C$9:$C$11</c:f>
              <c:numCache>
                <c:formatCode>_(* #,##0.00_);_(* \(#,##0.00\);_(* "-"??_);_(@_)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1-47E6-9063-61FAD12C23D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69850"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Febrero_2022.xlsx]EJECUCIÓN CUENTA POR PAGAR !TablaDinámica12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'!$E$46</c:f>
              <c:strCache>
                <c:ptCount val="1"/>
                <c:pt idx="0">
                  <c:v>86,7%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{8747EA61-B8B9-49A5-8035-751B194B9B29}</c15:txfldGUID>
                  <c15:f>'EJECUCIÓN CUENTA POR PAGAR '!$E$46</c15:f>
                  <c15:dlblFieldTableCache>
                    <c:ptCount val="1"/>
                    <c:pt idx="0">
                      <c:v>86,7%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'!$E$47</c:f>
              <c:strCache>
                <c:ptCount val="1"/>
                <c:pt idx="0">
                  <c:v>100,00%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{43257AF7-1DED-4750-8D3A-F13894FBE7F8}</c15:txfldGUID>
                  <c15:f>'EJECUCIÓN CUENTA POR PAGAR '!$E$47</c15:f>
                  <c15:dlblFieldTableCache>
                    <c:ptCount val="1"/>
                    <c:pt idx="0">
                      <c:v>100,00%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'!$E$46</c:f>
              <c:strCache>
                <c:ptCount val="1"/>
                <c:pt idx="0">
                  <c:v>CXP CONSTITUIDAS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'!$E$46</c:f>
              <c:numCache>
                <c:formatCode>_(* #,##0.00_);_(* \(#,##0.00\);_(* "-"??_);_(@_)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4-4F58-8A90-AAEE174AFA6B}"/>
            </c:ext>
          </c:extLst>
        </c:ser>
        <c:ser>
          <c:idx val="1"/>
          <c:order val="1"/>
          <c:tx>
            <c:strRef>
              <c:f>'EJECUCIÓN CUENTA POR PAGAR '!$E$46</c:f>
              <c:strCache>
                <c:ptCount val="1"/>
                <c:pt idx="0">
                  <c:v>CANCELACIONES CXP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'!$E$46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4-4F58-8A90-AAEE174AFA6B}"/>
            </c:ext>
          </c:extLst>
        </c:ser>
        <c:ser>
          <c:idx val="2"/>
          <c:order val="2"/>
          <c:tx>
            <c:strRef>
              <c:f>'EJECUCIÓN CUENTA POR PAGAR '!$E$46</c:f>
              <c:strCache>
                <c:ptCount val="1"/>
                <c:pt idx="0">
                  <c:v>TOTAL PAGOS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A8D-4CD7-9C20-B2CCE189E2FD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8D-4CD7-9C20-B2CCE189E2FD}"/>
              </c:ext>
            </c:extLst>
          </c:dPt>
          <c:dLbls>
            <c:dLbl>
              <c:idx val="0"/>
              <c:tx>
                <c:strRef>
                  <c:f>'EJECUCIÓN CUENTA POR PAGAR '!$E$46</c:f>
                  <c:strCache>
                    <c:ptCount val="1"/>
                    <c:pt idx="0">
                      <c:v>86,7%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{AF21E478-9377-4575-A1C6-7659D8BCFF4D}</c15:txfldGUID>
                      <c15:f>'EJECUCIÓN CUENTA POR PAGAR '!$E$46</c15:f>
                      <c15:dlblFieldTableCache>
                        <c:ptCount val="1"/>
                        <c:pt idx="0">
                          <c:v>86,7%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A8D-4CD7-9C20-B2CCE189E2FD}"/>
                </c:ext>
              </c:extLst>
            </c:dLbl>
            <c:dLbl>
              <c:idx val="1"/>
              <c:tx>
                <c:strRef>
                  <c:f>'EJECUCIÓN CUENTA POR PAGAR '!$E$47</c:f>
                  <c:strCache>
                    <c:ptCount val="1"/>
                    <c:pt idx="0">
                      <c:v>100,00%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{3916D138-B436-4497-8B63-E5C72A12F223}</c15:txfldGUID>
                      <c15:f>'EJECUCIÓN CUENTA POR PAGAR '!$E$47</c15:f>
                      <c15:dlblFieldTableCache>
                        <c:ptCount val="1"/>
                        <c:pt idx="0">
                          <c:v>100,00%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A8D-4CD7-9C20-B2CCE189E2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'!$E$46</c:f>
              <c:numCache>
                <c:formatCode>_(* #,##0.00_);_(* \(#,##0.00\);_(* "-"??_);_(@_)</c:formatCode>
                <c:ptCount val="2"/>
                <c:pt idx="0">
                  <c:v>6842.4202013999993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94-4F58-8A90-AAEE174AF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84723984"/>
        <c:axId val="1684711504"/>
      </c:barChart>
      <c:catAx>
        <c:axId val="168472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11504"/>
        <c:crosses val="autoZero"/>
        <c:auto val="1"/>
        <c:lblAlgn val="ctr"/>
        <c:lblOffset val="100"/>
        <c:noMultiLvlLbl val="0"/>
      </c:catAx>
      <c:valAx>
        <c:axId val="168471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2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Febrero_2022.xlsx]EJECUCIÓN CUENTA POR PAGAR !TablaDinámica13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'!$E$48</c:f>
              <c:strCache>
                <c:ptCount val="1"/>
                <c:pt idx="0">
                  <c:v>86,98%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{96E2BDC1-75C5-4A50-8B2B-30244D3E5D7B}</c15:txfldGUID>
                  <c15:f>'EJECUCIÓN CUENTA POR PAGAR '!$E$48</c15:f>
                  <c15:dlblFieldTableCache>
                    <c:ptCount val="1"/>
                    <c:pt idx="0">
                      <c:v>86,98%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'!$E$48</c:f>
              <c:strCache>
                <c:ptCount val="1"/>
                <c:pt idx="0">
                  <c:v>Suma de CXP CONSTITUIDAS
(1)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8076.2135843999995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C-4A0F-AD05-C0A64349AE12}"/>
            </c:ext>
          </c:extLst>
        </c:ser>
        <c:ser>
          <c:idx val="1"/>
          <c:order val="1"/>
          <c:tx>
            <c:strRef>
              <c:f>'EJECUCIÓN CUENTA POR PAGAR '!$E$48</c:f>
              <c:strCache>
                <c:ptCount val="1"/>
                <c:pt idx="0">
                  <c:v>Suma de CANCELACIONES CXP
 (2)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C-4A0F-AD05-C0A64349AE12}"/>
            </c:ext>
          </c:extLst>
        </c:ser>
        <c:ser>
          <c:idx val="2"/>
          <c:order val="2"/>
          <c:tx>
            <c:strRef>
              <c:f>'EJECUCIÓN CUENTA POR PAGAR '!$E$48</c:f>
              <c:strCache>
                <c:ptCount val="1"/>
                <c:pt idx="0">
                  <c:v>Suma de TOTAL PAGOS
ACUMULADOS
(5)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E88B-462D-9216-3F6C37C0E717}"/>
              </c:ext>
            </c:extLst>
          </c:dPt>
          <c:dLbls>
            <c:dLbl>
              <c:idx val="0"/>
              <c:tx>
                <c:strRef>
                  <c:f>'EJECUCIÓN CUENTA POR PAGAR '!$E$48</c:f>
                  <c:strCache>
                    <c:ptCount val="1"/>
                    <c:pt idx="0">
                      <c:v>86,98%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{D25C248D-A776-484D-B8D1-A79180C7AC40}</c15:txfldGUID>
                      <c15:f>'EJECUCIÓN CUENTA POR PAGAR '!$E$48</c15:f>
                      <c15:dlblFieldTableCache>
                        <c:ptCount val="1"/>
                        <c:pt idx="0">
                          <c:v>86,98%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88B-462D-9216-3F6C37C0E7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7024.8488753999991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C-4A0F-AD05-C0A64349AE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40051648"/>
        <c:axId val="1340049568"/>
      </c:barChart>
      <c:catAx>
        <c:axId val="13400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49568"/>
        <c:crosses val="autoZero"/>
        <c:auto val="1"/>
        <c:lblAlgn val="ctr"/>
        <c:lblOffset val="100"/>
        <c:noMultiLvlLbl val="0"/>
      </c:catAx>
      <c:valAx>
        <c:axId val="13400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5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Febrero_2022.xlsx]Participación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'!$C$6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EE9A-4E3A-B9E5-B9C7CEB0B5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EE9A-4E3A-B9E5-B9C7CEB0B5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EE9A-4E3A-B9E5-B9C7CEB0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'Participación Apropiación '!$C$7:$C$10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B-40D8-8CDD-191B3AE764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56611096929582"/>
          <c:y val="0.52356829040232611"/>
          <c:w val="0.23899804295036686"/>
          <c:h val="0.27931694958984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Febrero_2022.xlsx]APR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8471251207009271E-2"/>
              <c:y val="-5.148006191389503E-2"/>
            </c:manualLayout>
          </c:layout>
          <c:tx>
            <c:strRef>
              <c:f>'APR VS RP  Y OBLIGACIÓN Y PAGO'!$F$42</c:f>
              <c:strCache>
                <c:ptCount val="1"/>
                <c:pt idx="0">
                  <c:v>8,63%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{9160F950-947A-48F7-863C-7F76B3E11B6E}</c15:txfldGUID>
                  <c15:f>'APR VS RP  Y OBLIGACIÓN Y PAGO'!$F$42</c15:f>
                  <c15:dlblFieldTableCache>
                    <c:ptCount val="1"/>
                    <c:pt idx="0">
                      <c:v>8,63%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5848501337785492E-2"/>
              <c:y val="-2.0592024765558069E-2"/>
            </c:manualLayout>
          </c:layout>
          <c:tx>
            <c:strRef>
              <c:f>'APR VS RP  Y OBLIGACIÓN Y PAGO'!$E$42</c:f>
              <c:strCache>
                <c:ptCount val="1"/>
                <c:pt idx="0">
                  <c:v>9,52%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{766390E2-72C7-41DD-BE0D-B5B2DD483DE5}</c15:txfldGUID>
                  <c15:f>'APR VS RP  Y OBLIGACIÓN Y PAGO'!$E$42</c15:f>
                  <c15:dlblFieldTableCache>
                    <c:ptCount val="1"/>
                    <c:pt idx="0">
                      <c:v>9,52%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2379291530903104E-2"/>
              <c:y val="-1.8018021669863417E-2"/>
            </c:manualLayout>
          </c:layout>
          <c:tx>
            <c:strRef>
              <c:f>'APR VS RP  Y OBLIGACIÓN Y PAGO'!$E$43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{B38352C4-422C-4238-87A8-E2674DF17735}</c15:txfldGUID>
                  <c15:f>'APR VS RP  Y OBLIGACIÓN Y PAGO'!$E$43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5440871917138237E-2"/>
              <c:y val="-1.544401857416848E-2"/>
            </c:manualLayout>
          </c:layout>
          <c:tx>
            <c:strRef>
              <c:f>'APR VS RP  Y OBLIGACIÓN Y PAGO'!$F$43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{431E3D67-7F8F-4FA3-B615-296F4E9F0CAB}</c15:txfldGUID>
                  <c15:f>'APR VS RP  Y OBLIGACIÓN Y PAGO'!$F$43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2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3824678118016623E-2"/>
              <c:y val="-5.920207120097927E-2"/>
            </c:manualLayout>
          </c:layout>
          <c:tx>
            <c:strRef>
              <c:f>'APR VS RP  Y OBLIGACIÓN Y PAGO'!$E$44</c:f>
              <c:strCache>
                <c:ptCount val="1"/>
                <c:pt idx="0">
                  <c:v>7,07%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{83DE6A62-4545-453D-A175-EA47C4217F8B}</c15:txfldGUID>
                  <c15:f>'APR VS RP  Y OBLIGACIÓN Y PAGO'!$E$44</c15:f>
                  <c15:dlblFieldTableCache>
                    <c:ptCount val="1"/>
                    <c:pt idx="0">
                      <c:v>7,07%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6.3385809561278803E-2"/>
              <c:y val="-3.0888037148337055E-2"/>
            </c:manualLayout>
          </c:layout>
          <c:tx>
            <c:strRef>
              <c:f>'APR VS RP  Y OBLIGACIÓN Y PAGO'!$F$44</c:f>
              <c:strCache>
                <c:ptCount val="1"/>
                <c:pt idx="0">
                  <c:v>7,07%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{F0299885-95CE-4D73-8452-06E8838D9422}</c15:txfldGUID>
                  <c15:f>'APR VS RP  Y OBLIGACIÓN Y PAGO'!$F$44</c15:f>
                  <c15:dlblFieldTableCache>
                    <c:ptCount val="1"/>
                    <c:pt idx="0">
                      <c:v>7,07%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2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7011846227211591E-2"/>
              <c:y val="-9.5238114540705632E-2"/>
            </c:manualLayout>
          </c:layout>
          <c:tx>
            <c:strRef>
              <c:f>'APR VS RP  Y OBLIGACIÓN Y PAGO'!$D$42</c:f>
              <c:strCache>
                <c:ptCount val="1"/>
                <c:pt idx="0">
                  <c:v>19,16%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{F32B97A8-6494-4370-9DF6-85DDE40C7F4F}</c15:txfldGUID>
                  <c15:f>'APR VS RP  Y OBLIGACIÓN Y PAGO'!$D$42</c15:f>
                  <c15:dlblFieldTableCache>
                    <c:ptCount val="1"/>
                    <c:pt idx="0">
                      <c:v>19,16%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2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01337785575E-2"/>
              <c:y val="-2.0592024765557975E-2"/>
            </c:manualLayout>
          </c:layout>
          <c:tx>
            <c:strRef>
              <c:f>'APR VS RP  Y OBLIGACIÓN Y PAGO'!$D$43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{B8487F4F-F2EA-4B3D-8F73-6B781DDD9F34}</c15:txfldGUID>
                  <c15:f>'APR VS RP  Y OBLIGACIÓN Y PAGO'!$D$43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2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4.6130497023125071E-2"/>
              <c:y val="-1.2870015478473733E-2"/>
            </c:manualLayout>
          </c:layout>
          <c:tx>
            <c:strRef>
              <c:f>'APR VS RP  Y OBLIGACIÓN Y PAGO'!$D$44</c:f>
              <c:strCache>
                <c:ptCount val="1"/>
                <c:pt idx="0">
                  <c:v>95,40%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{047AED89-7D8F-4B45-A950-0B94AC6CCB90}</c15:txfldGUID>
                  <c15:f>'APR VS RP  Y OBLIGACIÓN Y PAGO'!$D$44</c15:f>
                  <c15:dlblFieldTableCache>
                    <c:ptCount val="1"/>
                    <c:pt idx="0">
                      <c:v>95,40%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view3D>
      <c:rotX val="15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867149842911267"/>
          <c:y val="9.5356883502443979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PAGO'!$F$42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PAGO'!$F$42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PAGO'!$F$42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7D8-471D-A1AF-F4C8AE927CCE}"/>
            </c:ext>
          </c:extLst>
        </c:ser>
        <c:ser>
          <c:idx val="1"/>
          <c:order val="1"/>
          <c:tx>
            <c:strRef>
              <c:f>'APR VS RP  Y OBLIGACIÓN Y PAGO'!$F$42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AB4-44D9-83B1-862E0EB2615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AB4-44D9-83B1-862E0EB2615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AB4-44D9-83B1-862E0EB2615B}"/>
              </c:ext>
            </c:extLst>
          </c:dPt>
          <c:dLbls>
            <c:dLbl>
              <c:idx val="0"/>
              <c:layout>
                <c:manualLayout>
                  <c:x val="3.7011846227211591E-2"/>
                  <c:y val="-9.5238114540705632E-2"/>
                </c:manualLayout>
              </c:layout>
              <c:tx>
                <c:strRef>
                  <c:f>'APR VS RP  Y OBLIGACIÓN Y PAGO'!$D$42</c:f>
                  <c:strCache>
                    <c:ptCount val="1"/>
                    <c:pt idx="0">
                      <c:v>19,16%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{81C37D25-090A-4BC0-9A60-729FC9848836}</c15:txfldGUID>
                      <c15:f>'APR VS RP  Y OBLIGACIÓN Y PAGO'!$D$42</c15:f>
                      <c15:dlblFieldTableCache>
                        <c:ptCount val="1"/>
                        <c:pt idx="0">
                          <c:v>19,16%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1AB4-44D9-83B1-862E0EB2615B}"/>
                </c:ext>
              </c:extLst>
            </c:dLbl>
            <c:dLbl>
              <c:idx val="1"/>
              <c:layout>
                <c:manualLayout>
                  <c:x val="3.5848501337785575E-2"/>
                  <c:y val="-2.0592024765557975E-2"/>
                </c:manualLayout>
              </c:layout>
              <c:tx>
                <c:strRef>
                  <c:f>'APR VS RP  Y OBLIGACIÓN Y PAGO'!$D$43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{5F9C083A-E43F-476F-86B3-4D4B607CC045}</c15:txfldGUID>
                      <c15:f>'APR VS RP  Y OBLIGACIÓN Y PAGO'!$D$43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1AB4-44D9-83B1-862E0EB2615B}"/>
                </c:ext>
              </c:extLst>
            </c:dLbl>
            <c:dLbl>
              <c:idx val="2"/>
              <c:layout>
                <c:manualLayout>
                  <c:x val="4.6130497023125071E-2"/>
                  <c:y val="-1.2870015478473733E-2"/>
                </c:manualLayout>
              </c:layout>
              <c:tx>
                <c:strRef>
                  <c:f>'APR VS RP  Y OBLIGACIÓN Y PAGO'!$D$44</c:f>
                  <c:strCache>
                    <c:ptCount val="1"/>
                    <c:pt idx="0">
                      <c:v>95,40%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{EB2677FB-8D81-4EFE-85AA-43BDA8F7FBB0}</c15:txfldGUID>
                      <c15:f>'APR VS RP  Y OBLIGACIÓN Y PAGO'!$D$44</c15:f>
                      <c15:dlblFieldTableCache>
                        <c:ptCount val="1"/>
                        <c:pt idx="0">
                          <c:v>95,40%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PAGO'!$F$42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PAGO'!$F$42</c:f>
              <c:numCache>
                <c:formatCode>_-* #,##0.00_-;\-* #,##0.00_-;_-* "-"_-;_-@_-</c:formatCode>
                <c:ptCount val="3"/>
                <c:pt idx="0">
                  <c:v>19116.617771880003</c:v>
                </c:pt>
                <c:pt idx="1">
                  <c:v>0</c:v>
                </c:pt>
                <c:pt idx="2">
                  <c:v>4297736.3522624597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D8-471D-A1AF-F4C8AE927CCE}"/>
            </c:ext>
          </c:extLst>
        </c:ser>
        <c:ser>
          <c:idx val="2"/>
          <c:order val="2"/>
          <c:tx>
            <c:strRef>
              <c:f>'APR VS RP  Y OBLIGACIÓN Y PAGO'!$F$42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1AB4-44D9-83B1-862E0EB2615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1AB4-44D9-83B1-862E0EB2615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8-1AB4-44D9-83B1-862E0EB2615B}"/>
              </c:ext>
            </c:extLst>
          </c:dPt>
          <c:dLbls>
            <c:dLbl>
              <c:idx val="0"/>
              <c:layout>
                <c:manualLayout>
                  <c:x val="3.5848501337785492E-2"/>
                  <c:y val="-2.0592024765558069E-2"/>
                </c:manualLayout>
              </c:layout>
              <c:tx>
                <c:strRef>
                  <c:f>'APR VS RP  Y OBLIGACIÓN Y PAGO'!$E$42</c:f>
                  <c:strCache>
                    <c:ptCount val="1"/>
                    <c:pt idx="0">
                      <c:v>9,52%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{2A6A127C-814E-47A6-AD4C-2C3E031F7F53}</c15:txfldGUID>
                      <c15:f>'APR VS RP  Y OBLIGACIÓN Y PAGO'!$E$42</c15:f>
                      <c15:dlblFieldTableCache>
                        <c:ptCount val="1"/>
                        <c:pt idx="0">
                          <c:v>9,52%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1AB4-44D9-83B1-862E0EB2615B}"/>
                </c:ext>
              </c:extLst>
            </c:dLbl>
            <c:dLbl>
              <c:idx val="1"/>
              <c:layout>
                <c:manualLayout>
                  <c:x val="3.2379291530903104E-2"/>
                  <c:y val="-1.8018021669863417E-2"/>
                </c:manualLayout>
              </c:layout>
              <c:tx>
                <c:strRef>
                  <c:f>'APR VS RP  Y OBLIGACIÓN Y PAGO'!$E$43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{0E1DCA73-DC08-4528-94DD-467FD69B514D}</c15:txfldGUID>
                      <c15:f>'APR VS RP  Y OBLIGACIÓN Y PAGO'!$E$43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1AB4-44D9-83B1-862E0EB2615B}"/>
                </c:ext>
              </c:extLst>
            </c:dLbl>
            <c:dLbl>
              <c:idx val="2"/>
              <c:layout>
                <c:manualLayout>
                  <c:x val="4.3824678118016623E-2"/>
                  <c:y val="-5.920207120097927E-2"/>
                </c:manualLayout>
              </c:layout>
              <c:tx>
                <c:strRef>
                  <c:f>'APR VS RP  Y OBLIGACIÓN Y PAGO'!$E$44</c:f>
                  <c:strCache>
                    <c:ptCount val="1"/>
                    <c:pt idx="0">
                      <c:v>7,07%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{B1C9DD0A-4A63-4423-B210-89DA0C4A75F2}</c15:txfldGUID>
                      <c15:f>'APR VS RP  Y OBLIGACIÓN Y PAGO'!$E$44</c15:f>
                      <c15:dlblFieldTableCache>
                        <c:ptCount val="1"/>
                        <c:pt idx="0">
                          <c:v>7,07%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PAGO'!$F$42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PAGO'!$F$42</c:f>
              <c:numCache>
                <c:formatCode>_-* #,##0.00_-;\-* #,##0.00_-;_-* "-"_-;_-@_-</c:formatCode>
                <c:ptCount val="3"/>
                <c:pt idx="0">
                  <c:v>9503.2423856200003</c:v>
                </c:pt>
                <c:pt idx="1">
                  <c:v>0</c:v>
                </c:pt>
                <c:pt idx="2">
                  <c:v>318609.99961584993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7D8-471D-A1AF-F4C8AE927CCE}"/>
            </c:ext>
          </c:extLst>
        </c:ser>
        <c:ser>
          <c:idx val="3"/>
          <c:order val="3"/>
          <c:tx>
            <c:strRef>
              <c:f>'APR VS RP  Y OBLIGACIÓN Y PAGO'!$F$42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1AB4-44D9-83B1-862E0EB2615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AB4-44D9-83B1-862E0EB2615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1AB4-44D9-83B1-862E0EB2615B}"/>
              </c:ext>
            </c:extLst>
          </c:dPt>
          <c:dLbls>
            <c:dLbl>
              <c:idx val="0"/>
              <c:layout>
                <c:manualLayout>
                  <c:x val="4.8471251207009271E-2"/>
                  <c:y val="-5.148006191389503E-2"/>
                </c:manualLayout>
              </c:layout>
              <c:tx>
                <c:strRef>
                  <c:f>'APR VS RP  Y OBLIGACIÓN Y PAGO'!$F$42</c:f>
                  <c:strCache>
                    <c:ptCount val="1"/>
                    <c:pt idx="0">
                      <c:v>8,63%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{A7335493-ECFC-45DB-9753-780332117886}</c15:txfldGUID>
                      <c15:f>'APR VS RP  Y OBLIGACIÓN Y PAGO'!$F$42</c15:f>
                      <c15:dlblFieldTableCache>
                        <c:ptCount val="1"/>
                        <c:pt idx="0">
                          <c:v>8,63%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AB4-44D9-83B1-862E0EB2615B}"/>
                </c:ext>
              </c:extLst>
            </c:dLbl>
            <c:dLbl>
              <c:idx val="1"/>
              <c:layout>
                <c:manualLayout>
                  <c:x val="2.5440871917138237E-2"/>
                  <c:y val="-1.544401857416848E-2"/>
                </c:manualLayout>
              </c:layout>
              <c:tx>
                <c:strRef>
                  <c:f>'APR VS RP  Y OBLIGACIÓN Y PAGO'!$F$43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{542AC66E-43DE-4183-A0B6-44672D83B2EF}</c15:txfldGUID>
                      <c15:f>'APR VS RP  Y OBLIGACIÓN Y PAGO'!$F$43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1AB4-44D9-83B1-862E0EB2615B}"/>
                </c:ext>
              </c:extLst>
            </c:dLbl>
            <c:dLbl>
              <c:idx val="2"/>
              <c:layout>
                <c:manualLayout>
                  <c:x val="6.3385809561278803E-2"/>
                  <c:y val="-3.0888037148337055E-2"/>
                </c:manualLayout>
              </c:layout>
              <c:tx>
                <c:strRef>
                  <c:f>'APR VS RP  Y OBLIGACIÓN Y PAGO'!$F$44</c:f>
                  <c:strCache>
                    <c:ptCount val="1"/>
                    <c:pt idx="0">
                      <c:v>7,07%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{1EBCDFD6-78D9-4263-8828-79E958AE0F4E}</c15:txfldGUID>
                      <c15:f>'APR VS RP  Y OBLIGACIÓN Y PAGO'!$F$44</c15:f>
                      <c15:dlblFieldTableCache>
                        <c:ptCount val="1"/>
                        <c:pt idx="0">
                          <c:v>7,07%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AB4-44D9-83B1-862E0EB26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PAGO'!$F$42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PAGO'!$F$42</c:f>
              <c:numCache>
                <c:formatCode>_-* #,##0.00_-;\-* #,##0.00_-;_-* "-"_-;_-@_-</c:formatCode>
                <c:ptCount val="3"/>
                <c:pt idx="0">
                  <c:v>8616.35397362</c:v>
                </c:pt>
                <c:pt idx="1">
                  <c:v>0</c:v>
                </c:pt>
                <c:pt idx="2">
                  <c:v>318494.04679617996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D8-471D-A1AF-F4C8AE927C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7664"/>
        <c:axId val="-1289799840"/>
        <c:axId val="0"/>
      </c:bar3DChart>
      <c:catAx>
        <c:axId val="-12897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840"/>
        <c:crosses val="autoZero"/>
        <c:auto val="1"/>
        <c:lblAlgn val="ctr"/>
        <c:lblOffset val="100"/>
        <c:noMultiLvlLbl val="0"/>
      </c:catAx>
      <c:valAx>
        <c:axId val="-128979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Febrero_2022.xlsx]APR,RP´S,OBL Y PAGO FUNCIONAMIE!TablaDinámica1</c:name>
    <c:fmtId val="3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3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16200000" scaled="1"/>
                <a:tileRect/>
              </a:gradFill>
            </a:ln>
            <a:effectLst>
              <a:glow rad="63500">
                <a:schemeClr val="accent1">
                  <a:satMod val="175000"/>
                  <a:alpha val="40000"/>
                </a:schemeClr>
              </a:glow>
              <a:innerShdw blurRad="114300">
                <a:prstClr val="black"/>
              </a:inn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6531510743454421E-2"/>
              <c:y val="0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98,6%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27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3743964176165087E-2"/>
              <c:y val="-2.6119880174080862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28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130208723267125E-2"/>
              <c:y val="-2.2371356771704004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99,2%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2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6684045881126174E-2"/>
              <c:y val="-8.9485427086816016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99,4%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0883836154637805E-2"/>
              <c:y val="-2.0134221094533604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1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8035461668591239E-2"/>
              <c:y val="-6.7114070315112007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3598423093985197E-2"/>
              <c:y val="-2.050684014396141E-17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2199555936472323E-2"/>
              <c:y val="-8.2027360575845639E-17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97,0%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502606882168926E-2"/>
              <c:y val="-1.1185678385852165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86,3%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5026068821689156E-2"/>
              <c:y val="-1.3422814063022401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39,8%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6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9484968997124768E-2"/>
              <c:y val="-2.0134221094533604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37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5190302564371785E-2"/>
              <c:y val="-2.0134221094533604E-2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100%</a:t>
                </a: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</c:pivotFmts>
    <c:view3D>
      <c:rotX val="15"/>
      <c:rotY val="7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4.9964579000555287E-2"/>
          <c:y val="9.5607892083772919E-2"/>
          <c:w val="0.83288813931110117"/>
          <c:h val="0.84353668832736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FUNCIONAMIE'!$C$6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47-4728-8AEE-66B8A8E5BCB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EB-4428-B811-96DB1E4F8A07}"/>
              </c:ext>
            </c:extLst>
          </c:dPt>
          <c:dLbls>
            <c:spPr>
              <a:noFill/>
              <a:ln>
                <a:gradFill flip="none"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16200000" scaled="1"/>
                  <a:tileRect/>
                </a:gradFill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  <a:innerShdw blurRad="114300">
                  <a:prstClr val="black"/>
                </a:inn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FUNCIONAMIE'!$C$7:$C$11</c:f>
              <c:numCache>
                <c:formatCode>_-* #,##0.00_-;\-* #,##0.00_-;_-* "-"_-;_-@_-</c:formatCode>
                <c:ptCount val="4"/>
                <c:pt idx="0">
                  <c:v>51464.345000000001</c:v>
                </c:pt>
                <c:pt idx="1">
                  <c:v>19419.071</c:v>
                </c:pt>
                <c:pt idx="2">
                  <c:v>14851.09737</c:v>
                </c:pt>
                <c:pt idx="3">
                  <c:v>14051.472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3EB-4428-B811-96DB1E4F8A07}"/>
            </c:ext>
          </c:extLst>
        </c:ser>
        <c:ser>
          <c:idx val="1"/>
          <c:order val="1"/>
          <c:tx>
            <c:strRef>
              <c:f>'APR,RP´S,OBL Y PAGO FUNCIONAMIE'!$D$6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F347-4728-8AEE-66B8A8E5BC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F347-4728-8AEE-66B8A8E5BCB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A80-4D97-BBD6-398D7F862C5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B-14CD-4AC3-BA85-AC09D1D29DD3}"/>
              </c:ext>
            </c:extLst>
          </c:dPt>
          <c:dLbls>
            <c:dLbl>
              <c:idx val="0"/>
              <c:layout>
                <c:manualLayout>
                  <c:x val="1.3743964176165087E-2"/>
                  <c:y val="-2.6119880174080862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347-4728-8AEE-66B8A8E5BCB6}"/>
                </c:ext>
              </c:extLst>
            </c:dLbl>
            <c:dLbl>
              <c:idx val="1"/>
              <c:layout>
                <c:manualLayout>
                  <c:x val="2.2130208723267125E-2"/>
                  <c:y val="-2.2371356771704004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99,2%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347-4728-8AEE-66B8A8E5BCB6}"/>
                </c:ext>
              </c:extLst>
            </c:dLbl>
            <c:dLbl>
              <c:idx val="2"/>
              <c:layout>
                <c:manualLayout>
                  <c:x val="1.6684045881126174E-2"/>
                  <c:y val="-8.9485427086816016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99,4%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A80-4D97-BBD6-398D7F862C58}"/>
                </c:ext>
              </c:extLst>
            </c:dLbl>
            <c:dLbl>
              <c:idx val="3"/>
              <c:layout>
                <c:manualLayout>
                  <c:x val="2.0883836154637805E-2"/>
                  <c:y val="-2.013422109453360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4CD-4AC3-BA85-AC09D1D29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FUNCIONAMIE'!$D$7:$D$11</c:f>
              <c:numCache>
                <c:formatCode>_-* #,##0.00_-;\-* #,##0.00_-;_-* "-"_-;_-@_-</c:formatCode>
                <c:ptCount val="4"/>
                <c:pt idx="0">
                  <c:v>6953.7531133299999</c:v>
                </c:pt>
                <c:pt idx="1">
                  <c:v>12131.539118190001</c:v>
                </c:pt>
                <c:pt idx="2">
                  <c:v>31.325540359999998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3EB-4428-B811-96DB1E4F8A07}"/>
            </c:ext>
          </c:extLst>
        </c:ser>
        <c:ser>
          <c:idx val="2"/>
          <c:order val="2"/>
          <c:tx>
            <c:strRef>
              <c:f>'APR,RP´S,OBL Y PAGO FUNCIONAMIE'!$E$6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B3EB-4428-B811-96DB1E4F8A0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B3EB-4428-B811-96DB1E4F8A0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B3EB-4428-B811-96DB1E4F8A07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C-14CD-4AC3-BA85-AC09D1D29DD3}"/>
              </c:ext>
            </c:extLst>
          </c:dPt>
          <c:dLbls>
            <c:dLbl>
              <c:idx val="0"/>
              <c:layout>
                <c:manualLayout>
                  <c:x val="4.8035461668591239E-2"/>
                  <c:y val="-6.71140703151120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3EB-4428-B811-96DB1E4F8A07}"/>
                </c:ext>
              </c:extLst>
            </c:dLbl>
            <c:dLbl>
              <c:idx val="1"/>
              <c:layout>
                <c:manualLayout>
                  <c:x val="2.653151074345442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3EB-4428-B811-96DB1E4F8A07}"/>
                </c:ext>
              </c:extLst>
            </c:dLbl>
            <c:dLbl>
              <c:idx val="2"/>
              <c:layout>
                <c:manualLayout>
                  <c:x val="2.502606882168926E-2"/>
                  <c:y val="-1.11856783858521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3EB-4428-B811-96DB1E4F8A07}"/>
                </c:ext>
              </c:extLst>
            </c:dLbl>
            <c:dLbl>
              <c:idx val="3"/>
              <c:layout>
                <c:manualLayout>
                  <c:x val="2.9484968997124768E-2"/>
                  <c:y val="-2.01342210945336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14CD-4AC3-BA85-AC09D1D29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FUNCIONAMIE'!$E$7:$E$11</c:f>
              <c:numCache>
                <c:formatCode>_-* #,##0.00_-;\-* #,##0.00_-;_-* "-"_-;_-@_-</c:formatCode>
                <c:ptCount val="4"/>
                <c:pt idx="0">
                  <c:v>6953.7531133299999</c:v>
                </c:pt>
                <c:pt idx="1">
                  <c:v>2518.2949529299999</c:v>
                </c:pt>
                <c:pt idx="2">
                  <c:v>31.194319359999998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8-B3EB-4428-B811-96DB1E4F8A07}"/>
            </c:ext>
          </c:extLst>
        </c:ser>
        <c:ser>
          <c:idx val="3"/>
          <c:order val="3"/>
          <c:tx>
            <c:strRef>
              <c:f>'APR,RP´S,OBL Y PAGO FUNCIONAMIE'!$F$6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1A80-4D97-BBD6-398D7F862C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F-1A80-4D97-BBD6-398D7F862C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1-1A80-4D97-BBD6-398D7F862C5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14CD-4AC3-BA85-AC09D1D29DD3}"/>
              </c:ext>
            </c:extLst>
          </c:dPt>
          <c:dLbls>
            <c:dLbl>
              <c:idx val="0"/>
              <c:layout>
                <c:manualLayout>
                  <c:x val="3.3598423093985197E-2"/>
                  <c:y val="-2.050684014396141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A80-4D97-BBD6-398D7F862C58}"/>
                </c:ext>
              </c:extLst>
            </c:dLbl>
            <c:dLbl>
              <c:idx val="1"/>
              <c:layout>
                <c:manualLayout>
                  <c:x val="4.2199555936472323E-2"/>
                  <c:y val="-8.2027360575845639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97,0%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1A80-4D97-BBD6-398D7F862C58}"/>
                </c:ext>
              </c:extLst>
            </c:dLbl>
            <c:dLbl>
              <c:idx val="2"/>
              <c:layout>
                <c:manualLayout>
                  <c:x val="2.5026068821689156E-2"/>
                  <c:y val="-1.34228140630224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39,8%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1A80-4D97-BBD6-398D7F862C58}"/>
                </c:ext>
              </c:extLst>
            </c:dLbl>
            <c:dLbl>
              <c:idx val="3"/>
              <c:layout>
                <c:manualLayout>
                  <c:x val="3.5190302564371785E-2"/>
                  <c:y val="-2.01342210945336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4CD-4AC3-BA85-AC09D1D29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FUNCIONAMIE'!$B$7:$B$11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FUNCIONAMIE'!$F$7:$F$11</c:f>
              <c:numCache>
                <c:formatCode>_-* #,##0.00_-;\-* #,##0.00_-;_-* "-"_-;_-@_-</c:formatCode>
                <c:ptCount val="4"/>
                <c:pt idx="0">
                  <c:v>6068.9383403299998</c:v>
                </c:pt>
                <c:pt idx="1">
                  <c:v>2516.2213139299997</c:v>
                </c:pt>
                <c:pt idx="2">
                  <c:v>31.194319359999998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E-0ABE-4720-BC32-77A53D180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88960"/>
        <c:axId val="-1289797120"/>
        <c:axId val="0"/>
      </c:bar3DChart>
      <c:catAx>
        <c:axId val="-12897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7120"/>
        <c:crosses val="autoZero"/>
        <c:auto val="1"/>
        <c:lblAlgn val="ctr"/>
        <c:lblOffset val="100"/>
        <c:noMultiLvlLbl val="0"/>
      </c:catAx>
      <c:valAx>
        <c:axId val="-128979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8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048308663004915"/>
          <c:y val="0.33746081929897681"/>
          <c:w val="0.11093573372126572"/>
          <c:h val="0.220426035186092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Febrero_2022.xlsx]APR,RP´S,OBL Y PAGO FUNCIONAMIE!TablaDinámica1</c:name>
    <c:fmtId val="4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8.6396936455469999E-3"/>
              <c:y val="-1.8065970308862384E-2"/>
            </c:manualLayout>
          </c:layout>
          <c:tx>
            <c:strRef>
              <c:f>'APR,RP´S,OBL Y PAGO FUNCIONAMIE'!$E$44</c:f>
              <c:strCache>
                <c:ptCount val="1"/>
                <c:pt idx="0">
                  <c:v>13,51%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{2DF684E2-6283-4F00-8840-09A7220E3AE9}</c15:txfldGUID>
                  <c15:f>'APR,RP´S,OBL Y PAGO FUNCIONAMIE'!$E$44</c15:f>
                  <c15:dlblFieldTableCache>
                    <c:ptCount val="1"/>
                    <c:pt idx="0">
                      <c:v>13,51%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1.0081627158746843E-2"/>
              <c:y val="8.2801407386695023E-17"/>
            </c:manualLayout>
          </c:layout>
          <c:tx>
            <c:strRef>
              <c:f>'APR,RP´S,OBL Y PAGO FUNCIONAMIE'!$F$44</c:f>
              <c:strCache>
                <c:ptCount val="1"/>
                <c:pt idx="0">
                  <c:v>11,79%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{CE80A920-72B0-460B-B512-FDB27ADE5518}</c15:txfldGUID>
                  <c15:f>'APR,RP´S,OBL Y PAGO FUNCIONAMIE'!$F$44</c15:f>
                  <c15:dlblFieldTableCache>
                    <c:ptCount val="1"/>
                    <c:pt idx="0">
                      <c:v>11,79%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0599552275835011E-2"/>
              <c:y val="-5.6456157215194772E-2"/>
            </c:manualLayout>
          </c:layout>
          <c:tx>
            <c:strRef>
              <c:f>'APR,RP´S,OBL Y PAGO FUNCIONAMIE'!$D$44</c:f>
              <c:strCache>
                <c:ptCount val="1"/>
                <c:pt idx="0">
                  <c:v>13,51%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{7EDCC1D9-1F2E-4C1C-9DB4-282554CD832D}</c15:txfldGUID>
                  <c15:f>'APR,RP´S,OBL Y PAGO FUNCIONAMIE'!$D$44</c15:f>
                  <c15:dlblFieldTableCache>
                    <c:ptCount val="1"/>
                    <c:pt idx="0">
                      <c:v>13,51%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7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1.2126103203497171E-2"/>
              <c:y val="-2.4840709174685748E-2"/>
            </c:manualLayout>
          </c:layout>
          <c:tx>
            <c:strRef>
              <c:f>'APR,RP´S,OBL Y PAGO FUNCIONAMIE'!$E$45</c:f>
              <c:strCache>
                <c:ptCount val="1"/>
                <c:pt idx="0">
                  <c:v>12,97%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{A32AE6A8-6EB2-4284-B5A4-DE71353D07CA}</c15:txfldGUID>
                  <c15:f>'APR,RP´S,OBL Y PAGO FUNCIONAMIE'!$E$45</c15:f>
                  <c15:dlblFieldTableCache>
                    <c:ptCount val="1"/>
                    <c:pt idx="0">
                      <c:v>12,97%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8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4.3206973537486476E-3"/>
              <c:y val="-4.5164925772155752E-3"/>
            </c:manualLayout>
          </c:layout>
          <c:tx>
            <c:strRef>
              <c:f>'APR,RP´S,OBL Y PAGO FUNCIONAMIE'!$F$45</c:f>
              <c:strCache>
                <c:ptCount val="1"/>
                <c:pt idx="0">
                  <c:v>12,96%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{74380493-C6F2-430A-80EA-0C841BA8F11E}</c15:txfldGUID>
                  <c15:f>'APR,RP´S,OBL Y PAGO FUNCIONAMIE'!$F$45</c15:f>
                  <c15:dlblFieldTableCache>
                    <c:ptCount val="1"/>
                    <c:pt idx="0">
                      <c:v>12,96%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6792060204283768E-2"/>
              <c:y val="0"/>
            </c:manualLayout>
          </c:layout>
          <c:tx>
            <c:strRef>
              <c:f>'APR,RP´S,OBL Y PAGO FUNCIONAMIE'!$D$45</c:f>
              <c:strCache>
                <c:ptCount val="1"/>
                <c:pt idx="0">
                  <c:v>62,47%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{EC9B6F6D-A4DA-4787-A0D6-A77A31950E3E}</c15:txfldGUID>
                  <c15:f>'APR,RP´S,OBL Y PAGO FUNCIONAMIE'!$D$45</c15:f>
                  <c15:dlblFieldTableCache>
                    <c:ptCount val="1"/>
                    <c:pt idx="0">
                      <c:v>62,47%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7.6327546383108029E-3"/>
              <c:y val="-2.2582462886077876E-3"/>
            </c:manualLayout>
          </c:layout>
          <c:tx>
            <c:strRef>
              <c:f>'APR,RP´S,OBL Y PAGO FUNCIONAMIE'!$D$46</c:f>
              <c:strCache>
                <c:ptCount val="1"/>
                <c:pt idx="0">
                  <c:v>0,21%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{B1FD46FD-0113-4B5A-BD1D-E7C868111C9F}</c15:txfldGUID>
                  <c15:f>'APR,RP´S,OBL Y PAGO FUNCIONAMIE'!$D$46</c15:f>
                  <c15:dlblFieldTableCache>
                    <c:ptCount val="1"/>
                    <c:pt idx="0">
                      <c:v>0,21%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1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1.3738958348959445E-2"/>
              <c:y val="-2.2582462886077876E-3"/>
            </c:manualLayout>
          </c:layout>
          <c:tx>
            <c:strRef>
              <c:f>'APR,RP´S,OBL Y PAGO FUNCIONAMIE'!$E$46</c:f>
              <c:strCache>
                <c:ptCount val="1"/>
                <c:pt idx="0">
                  <c:v>0,21%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{EEE7AB3A-62C1-4A6F-9F04-004AB4EBD8F2}</c15:txfldGUID>
                  <c15:f>'APR,RP´S,OBL Y PAGO FUNCIONAMIE'!$E$46</c15:f>
                  <c15:dlblFieldTableCache>
                    <c:ptCount val="1"/>
                    <c:pt idx="0">
                      <c:v>0,21%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2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2.595136577025673E-2"/>
              <c:y val="-2.2582462886077876E-3"/>
            </c:manualLayout>
          </c:layout>
          <c:tx>
            <c:strRef>
              <c:f>'APR,RP´S,OBL Y PAGO FUNCIONAMIE'!$F$46</c:f>
              <c:strCache>
                <c:ptCount val="1"/>
                <c:pt idx="0">
                  <c:v>0,21%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{5B2B01BD-A6F0-4A1A-9414-61F72B83FA4D}</c15:txfldGUID>
                  <c15:f>'APR,RP´S,OBL Y PAGO FUNCIONAMIE'!$F$46</c15:f>
                  <c15:dlblFieldTableCache>
                    <c:ptCount val="1"/>
                    <c:pt idx="0">
                      <c:v>0,21%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3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-1.11945774821415E-16"/>
              <c:y val="-4.5164925772155752E-3"/>
            </c:manualLayout>
          </c:layout>
          <c:tx>
            <c:strRef>
              <c:f>'APR,RP´S,OBL Y PAGO FUNCIONAMIE'!$D$47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{A3B5144F-29AA-4361-86C4-1286C12B47F7}</c15:txfldGUID>
                  <c15:f>'APR,RP´S,OBL Y PAGO FUNCIONAMIE'!$D$47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4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4.5796527829864821E-3"/>
              <c:y val="-2.2582462886077876E-3"/>
            </c:manualLayout>
          </c:layout>
          <c:tx>
            <c:strRef>
              <c:f>'APR,RP´S,OBL Y PAGO FUNCIONAMIE'!$E$47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{6C322320-FFD4-483A-B9F5-13EB8C63AE13}</c15:txfldGUID>
                  <c15:f>'APR,RP´S,OBL Y PAGO FUNCIONAMIE'!$E$47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5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9.1593055659729642E-3"/>
              <c:y val="0"/>
            </c:manualLayout>
          </c:layout>
          <c:tx>
            <c:strRef>
              <c:f>'APR,RP´S,OBL Y PAGO FUNCIONAMIE'!$F$47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{421ABAA1-2A5D-49E6-A98C-895F731090CD}</c15:txfldGUID>
                  <c15:f>'APR,RP´S,OBL Y PAGO FUNCIONAMIE'!$F$47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FUNCIONAMIE'!$E$44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FUNCIONAMIE'!$E$44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FUNCIONAMIE'!$E$44</c:f>
              <c:numCache>
                <c:formatCode>_-* #,##0.00_-;\-* #,##0.00_-;_-* "-"_-;_-@_-</c:formatCode>
                <c:ptCount val="4"/>
                <c:pt idx="0">
                  <c:v>51464.345000000001</c:v>
                </c:pt>
                <c:pt idx="1">
                  <c:v>19419.071</c:v>
                </c:pt>
                <c:pt idx="2">
                  <c:v>14851.09737</c:v>
                </c:pt>
                <c:pt idx="3">
                  <c:v>14051.472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883-44CD-A2AC-A2BEF4CEBDAE}"/>
            </c:ext>
          </c:extLst>
        </c:ser>
        <c:ser>
          <c:idx val="1"/>
          <c:order val="1"/>
          <c:tx>
            <c:strRef>
              <c:f>'APR,RP´S,OBL Y PAGO FUNCIONAMIE'!$E$44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883-44CD-A2AC-A2BEF4CEBDA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1412-4152-B7A6-78957392800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412-4152-B7A6-78957392800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1412-4152-B7A6-78957392800E}"/>
              </c:ext>
            </c:extLst>
          </c:dPt>
          <c:dLbls>
            <c:dLbl>
              <c:idx val="0"/>
              <c:layout>
                <c:manualLayout>
                  <c:x val="1.0599552275835011E-2"/>
                  <c:y val="-5.6456157215194772E-2"/>
                </c:manualLayout>
              </c:layout>
              <c:tx>
                <c:strRef>
                  <c:f>'APR,RP´S,OBL Y PAGO FUNCIONAMIE'!$D$44</c:f>
                  <c:strCache>
                    <c:ptCount val="1"/>
                    <c:pt idx="0">
                      <c:v>13,51%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{9C50B4D8-3BEC-4750-9C4B-5799AED074B0}</c15:txfldGUID>
                      <c15:f>'APR,RP´S,OBL Y PAGO FUNCIONAMIE'!$D$44</c15:f>
                      <c15:dlblFieldTableCache>
                        <c:ptCount val="1"/>
                        <c:pt idx="0">
                          <c:v>13,51%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A883-44CD-A2AC-A2BEF4CEBDAE}"/>
                </c:ext>
              </c:extLst>
            </c:dLbl>
            <c:dLbl>
              <c:idx val="1"/>
              <c:layout>
                <c:manualLayout>
                  <c:x val="1.6792060204283768E-2"/>
                  <c:y val="0"/>
                </c:manualLayout>
              </c:layout>
              <c:tx>
                <c:strRef>
                  <c:f>'APR,RP´S,OBL Y PAGO FUNCIONAMIE'!$D$45</c:f>
                  <c:strCache>
                    <c:ptCount val="1"/>
                    <c:pt idx="0">
                      <c:v>62,47%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{8B52C74A-343C-4D37-8F93-6800B05C0545}</c15:txfldGUID>
                      <c15:f>'APR,RP´S,OBL Y PAGO FUNCIONAMIE'!$D$45</c15:f>
                      <c15:dlblFieldTableCache>
                        <c:ptCount val="1"/>
                        <c:pt idx="0">
                          <c:v>62,47%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1412-4152-B7A6-78957392800E}"/>
                </c:ext>
              </c:extLst>
            </c:dLbl>
            <c:dLbl>
              <c:idx val="2"/>
              <c:layout>
                <c:manualLayout>
                  <c:x val="7.6327546383108029E-3"/>
                  <c:y val="-2.2582462886077876E-3"/>
                </c:manualLayout>
              </c:layout>
              <c:tx>
                <c:strRef>
                  <c:f>'APR,RP´S,OBL Y PAGO FUNCIONAMIE'!$D$46</c:f>
                  <c:strCache>
                    <c:ptCount val="1"/>
                    <c:pt idx="0">
                      <c:v>0,21%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{E5EEB206-85DB-4CB6-B8E0-F7DB17BBCED7}</c15:txfldGUID>
                      <c15:f>'APR,RP´S,OBL Y PAGO FUNCIONAMIE'!$D$46</c15:f>
                      <c15:dlblFieldTableCache>
                        <c:ptCount val="1"/>
                        <c:pt idx="0">
                          <c:v>0,21%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1412-4152-B7A6-78957392800E}"/>
                </c:ext>
              </c:extLst>
            </c:dLbl>
            <c:dLbl>
              <c:idx val="3"/>
              <c:layout>
                <c:manualLayout>
                  <c:x val="-1.11945774821415E-16"/>
                  <c:y val="-4.5164925772155752E-3"/>
                </c:manualLayout>
              </c:layout>
              <c:tx>
                <c:strRef>
                  <c:f>'APR,RP´S,OBL Y PAGO FUNCIONAMIE'!$D$47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{A3FA5983-4146-48B5-9EFF-DC99999DA871}</c15:txfldGUID>
                      <c15:f>'APR,RP´S,OBL Y PAGO FUNCIONAMIE'!$D$47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1412-4152-B7A6-7895739280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FUNCIONAMIE'!$E$44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FUNCIONAMIE'!$E$44</c:f>
              <c:numCache>
                <c:formatCode>_-* #,##0.00_-;\-* #,##0.00_-;_-* "-"_-;_-@_-</c:formatCode>
                <c:ptCount val="4"/>
                <c:pt idx="0">
                  <c:v>6953.7531133299999</c:v>
                </c:pt>
                <c:pt idx="1">
                  <c:v>12131.539118190001</c:v>
                </c:pt>
                <c:pt idx="2">
                  <c:v>31.325540359999998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A883-44CD-A2AC-A2BEF4CEBDAE}"/>
            </c:ext>
          </c:extLst>
        </c:ser>
        <c:ser>
          <c:idx val="2"/>
          <c:order val="2"/>
          <c:tx>
            <c:strRef>
              <c:f>'APR,RP´S,OBL Y PAGO FUNCIONAMIE'!$E$44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883-44CD-A2AC-A2BEF4CEBDA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A883-44CD-A2AC-A2BEF4CEBDA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1412-4152-B7A6-78957392800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1412-4152-B7A6-78957392800E}"/>
              </c:ext>
            </c:extLst>
          </c:dPt>
          <c:dLbls>
            <c:dLbl>
              <c:idx val="0"/>
              <c:layout>
                <c:manualLayout>
                  <c:x val="8.6396936455469999E-3"/>
                  <c:y val="-1.8065970308862384E-2"/>
                </c:manualLayout>
              </c:layout>
              <c:tx>
                <c:strRef>
                  <c:f>'APR,RP´S,OBL Y PAGO FUNCIONAMIE'!$E$44</c:f>
                  <c:strCache>
                    <c:ptCount val="1"/>
                    <c:pt idx="0">
                      <c:v>13,51%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{DE028837-F044-4B83-B092-1EF333D10D4D}</c15:txfldGUID>
                      <c15:f>'APR,RP´S,OBL Y PAGO FUNCIONAMIE'!$E$44</c15:f>
                      <c15:dlblFieldTableCache>
                        <c:ptCount val="1"/>
                        <c:pt idx="0">
                          <c:v>13,51%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A883-44CD-A2AC-A2BEF4CEBDAE}"/>
                </c:ext>
              </c:extLst>
            </c:dLbl>
            <c:dLbl>
              <c:idx val="1"/>
              <c:layout>
                <c:manualLayout>
                  <c:x val="1.2126103203497171E-2"/>
                  <c:y val="-2.4840709174685748E-2"/>
                </c:manualLayout>
              </c:layout>
              <c:tx>
                <c:strRef>
                  <c:f>'APR,RP´S,OBL Y PAGO FUNCIONAMIE'!$E$45</c:f>
                  <c:strCache>
                    <c:ptCount val="1"/>
                    <c:pt idx="0">
                      <c:v>12,97%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{CFAB1FCB-8142-47D7-BAB6-725DE930E2AD}</c15:txfldGUID>
                      <c15:f>'APR,RP´S,OBL Y PAGO FUNCIONAMIE'!$E$45</c15:f>
                      <c15:dlblFieldTableCache>
                        <c:ptCount val="1"/>
                        <c:pt idx="0">
                          <c:v>12,97%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A883-44CD-A2AC-A2BEF4CEBDAE}"/>
                </c:ext>
              </c:extLst>
            </c:dLbl>
            <c:dLbl>
              <c:idx val="2"/>
              <c:layout>
                <c:manualLayout>
                  <c:x val="1.3738958348959445E-2"/>
                  <c:y val="-2.2582462886077876E-3"/>
                </c:manualLayout>
              </c:layout>
              <c:tx>
                <c:strRef>
                  <c:f>'APR,RP´S,OBL Y PAGO FUNCIONAMIE'!$E$46</c:f>
                  <c:strCache>
                    <c:ptCount val="1"/>
                    <c:pt idx="0">
                      <c:v>0,21%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{03FC029C-572F-482A-A70C-6B59285ACA32}</c15:txfldGUID>
                      <c15:f>'APR,RP´S,OBL Y PAGO FUNCIONAMIE'!$E$46</c15:f>
                      <c15:dlblFieldTableCache>
                        <c:ptCount val="1"/>
                        <c:pt idx="0">
                          <c:v>0,21%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1412-4152-B7A6-78957392800E}"/>
                </c:ext>
              </c:extLst>
            </c:dLbl>
            <c:dLbl>
              <c:idx val="3"/>
              <c:layout>
                <c:manualLayout>
                  <c:x val="4.5796527829864821E-3"/>
                  <c:y val="-2.2582462886077876E-3"/>
                </c:manualLayout>
              </c:layout>
              <c:tx>
                <c:strRef>
                  <c:f>'APR,RP´S,OBL Y PAGO FUNCIONAMIE'!$E$47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{ACB1E344-02CD-4DCA-AF3F-142836DC81EB}</c15:txfldGUID>
                      <c15:f>'APR,RP´S,OBL Y PAGO FUNCIONAMIE'!$E$47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1412-4152-B7A6-7895739280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FUNCIONAMIE'!$E$44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FUNCIONAMIE'!$E$44</c:f>
              <c:numCache>
                <c:formatCode>_-* #,##0.00_-;\-* #,##0.00_-;_-* "-"_-;_-@_-</c:formatCode>
                <c:ptCount val="4"/>
                <c:pt idx="0">
                  <c:v>6953.7531133299999</c:v>
                </c:pt>
                <c:pt idx="1">
                  <c:v>2518.2949529299999</c:v>
                </c:pt>
                <c:pt idx="2">
                  <c:v>31.194319359999998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A883-44CD-A2AC-A2BEF4CEBDAE}"/>
            </c:ext>
          </c:extLst>
        </c:ser>
        <c:ser>
          <c:idx val="3"/>
          <c:order val="3"/>
          <c:tx>
            <c:strRef>
              <c:f>'APR,RP´S,OBL Y PAGO FUNCIONAMIE'!$E$44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A883-44CD-A2AC-A2BEF4CEBDA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883-44CD-A2AC-A2BEF4CEBDA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412-4152-B7A6-78957392800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1412-4152-B7A6-78957392800E}"/>
              </c:ext>
            </c:extLst>
          </c:dPt>
          <c:dLbls>
            <c:dLbl>
              <c:idx val="0"/>
              <c:layout>
                <c:manualLayout>
                  <c:x val="1.0081627158746843E-2"/>
                  <c:y val="8.2801407386695023E-17"/>
                </c:manualLayout>
              </c:layout>
              <c:tx>
                <c:strRef>
                  <c:f>'APR,RP´S,OBL Y PAGO FUNCIONAMIE'!$F$44</c:f>
                  <c:strCache>
                    <c:ptCount val="1"/>
                    <c:pt idx="0">
                      <c:v>11,79%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{DB83220D-6F56-4C6C-802B-E57C0DB455D9}</c15:txfldGUID>
                      <c15:f>'APR,RP´S,OBL Y PAGO FUNCIONAMIE'!$F$44</c15:f>
                      <c15:dlblFieldTableCache>
                        <c:ptCount val="1"/>
                        <c:pt idx="0">
                          <c:v>11,79%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A883-44CD-A2AC-A2BEF4CEBDAE}"/>
                </c:ext>
              </c:extLst>
            </c:dLbl>
            <c:dLbl>
              <c:idx val="1"/>
              <c:layout>
                <c:manualLayout>
                  <c:x val="4.3206973537486476E-3"/>
                  <c:y val="-4.5164925772155752E-3"/>
                </c:manualLayout>
              </c:layout>
              <c:tx>
                <c:strRef>
                  <c:f>'APR,RP´S,OBL Y PAGO FUNCIONAMIE'!$F$45</c:f>
                  <c:strCache>
                    <c:ptCount val="1"/>
                    <c:pt idx="0">
                      <c:v>12,96%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{87B26720-8E02-4C57-9328-E165D82D5121}</c15:txfldGUID>
                      <c15:f>'APR,RP´S,OBL Y PAGO FUNCIONAMIE'!$F$45</c15:f>
                      <c15:dlblFieldTableCache>
                        <c:ptCount val="1"/>
                        <c:pt idx="0">
                          <c:v>12,96%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A883-44CD-A2AC-A2BEF4CEBDAE}"/>
                </c:ext>
              </c:extLst>
            </c:dLbl>
            <c:dLbl>
              <c:idx val="2"/>
              <c:layout>
                <c:manualLayout>
                  <c:x val="2.595136577025673E-2"/>
                  <c:y val="-2.2582462886077876E-3"/>
                </c:manualLayout>
              </c:layout>
              <c:tx>
                <c:strRef>
                  <c:f>'APR,RP´S,OBL Y PAGO FUNCIONAMIE'!$F$46</c:f>
                  <c:strCache>
                    <c:ptCount val="1"/>
                    <c:pt idx="0">
                      <c:v>0,21%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{27E5955C-E4CE-4E4B-9C29-C537452FB022}</c15:txfldGUID>
                      <c15:f>'APR,RP´S,OBL Y PAGO FUNCIONAMIE'!$F$46</c15:f>
                      <c15:dlblFieldTableCache>
                        <c:ptCount val="1"/>
                        <c:pt idx="0">
                          <c:v>0,21%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1412-4152-B7A6-78957392800E}"/>
                </c:ext>
              </c:extLst>
            </c:dLbl>
            <c:dLbl>
              <c:idx val="3"/>
              <c:layout>
                <c:manualLayout>
                  <c:x val="9.1593055659729642E-3"/>
                  <c:y val="0"/>
                </c:manualLayout>
              </c:layout>
              <c:tx>
                <c:strRef>
                  <c:f>'APR,RP´S,OBL Y PAGO FUNCIONAMIE'!$F$47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{D9A5C4DC-69ED-4136-A24A-EF3DE1218B38}</c15:txfldGUID>
                      <c15:f>'APR,RP´S,OBL Y PAGO FUNCIONAMIE'!$F$47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1412-4152-B7A6-7895739280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FUNCIONAMIE'!$E$44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FUNCIONAMIE'!$E$44</c:f>
              <c:numCache>
                <c:formatCode>_-* #,##0.00_-;\-* #,##0.00_-;_-* "-"_-;_-@_-</c:formatCode>
                <c:ptCount val="4"/>
                <c:pt idx="0">
                  <c:v>6068.9383403299998</c:v>
                </c:pt>
                <c:pt idx="1">
                  <c:v>2516.2213139299997</c:v>
                </c:pt>
                <c:pt idx="2">
                  <c:v>31.194319359999998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A883-44CD-A2AC-A2BEF4CEBD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6994399"/>
        <c:axId val="336992319"/>
        <c:axId val="0"/>
      </c:bar3DChart>
      <c:catAx>
        <c:axId val="336994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6992319"/>
        <c:crosses val="autoZero"/>
        <c:auto val="1"/>
        <c:lblAlgn val="ctr"/>
        <c:lblOffset val="100"/>
        <c:noMultiLvlLbl val="0"/>
      </c:catAx>
      <c:valAx>
        <c:axId val="33699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6994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Febrero_2022.xlsx]INVERSIÓN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0.12284798067950614"/>
              <c:y val="-2.417969062318555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1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13216963085065E-2"/>
          <c:y val="0.1788783155498416"/>
          <c:w val="0.78504221080381564"/>
          <c:h val="0.76202228212715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OBLI'!$B$8</c:f>
              <c:strCache>
                <c:ptCount val="1"/>
                <c:pt idx="0">
                  <c:v>Suma de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OBLI'!$B$9</c:f>
              <c:numCache>
                <c:formatCode>_-* #,##0.00_-;\-* #,##0.00_-;_-* "-"_-;_-@_-</c:formatCode>
                <c:ptCount val="1"/>
                <c:pt idx="0">
                  <c:v>4505182025012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OBLI'!$C$8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OBLI'!$C$9</c:f>
              <c:numCache>
                <c:formatCode>_-* #,##0.00_-;\-* #,##0.00_-;_-* "-"_-;_-@_-</c:formatCode>
                <c:ptCount val="1"/>
                <c:pt idx="0">
                  <c:v>4297736352262.46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OBLI'!$D$8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OBLI'!$D$9</c:f>
              <c:numCache>
                <c:formatCode>_-* #,##0.00_-;\-* #,##0.00_-;_-* "-"_-;_-@_-</c:formatCode>
                <c:ptCount val="1"/>
                <c:pt idx="0">
                  <c:v>318609999615.84998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OBLI'!$E$8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57A0-460A-8D13-204D9338C648}"/>
              </c:ext>
            </c:extLst>
          </c:dPt>
          <c:dLbls>
            <c:dLbl>
              <c:idx val="0"/>
              <c:layout>
                <c:manualLayout>
                  <c:x val="0.12284798067950614"/>
                  <c:y val="-2.4179690623185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A0-460A-8D13-204D9338C648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OBLI'!$E$9</c:f>
              <c:numCache>
                <c:formatCode>_-* #,##0.00_-;\-* #,##0.00_-;_-* "-"_-;_-@_-</c:formatCode>
                <c:ptCount val="1"/>
                <c:pt idx="0">
                  <c:v>318494046796.17993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DA-403E-A763-1D815D20DF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2224"/>
        <c:axId val="-1289799296"/>
        <c:axId val="0"/>
      </c:bar3DChart>
      <c:catAx>
        <c:axId val="-128979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296"/>
        <c:crosses val="autoZero"/>
        <c:auto val="1"/>
        <c:lblAlgn val="ctr"/>
        <c:lblOffset val="100"/>
        <c:noMultiLvlLbl val="0"/>
      </c:catAx>
      <c:valAx>
        <c:axId val="-128979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 prstMaterial="matte"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Febrero_2022.xlsx]Participación por Concepto!TablaDinámica4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/>
                </a:solidFill>
              </a:rPr>
              <a:t>Reservas</a:t>
            </a:r>
            <a:r>
              <a:rPr lang="en-US" baseline="0">
                <a:solidFill>
                  <a:schemeClr val="accent1"/>
                </a:solidFill>
              </a:rPr>
              <a:t> Presupuestales Vigentes a febrero de 2022</a:t>
            </a:r>
            <a:endParaRPr lang="en-US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10022762150937441"/>
          <c:y val="8.7685444403705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</c:pivotFmts>
    <c:plotArea>
      <c:layout>
        <c:manualLayout>
          <c:layoutTarget val="inner"/>
          <c:xMode val="edge"/>
          <c:yMode val="edge"/>
          <c:x val="0.14480370873578988"/>
          <c:y val="0.30748130390451983"/>
          <c:w val="0.3812921082711147"/>
          <c:h val="0.61279082629202786"/>
        </c:manualLayout>
      </c:layout>
      <c:pieChart>
        <c:varyColors val="1"/>
        <c:ser>
          <c:idx val="0"/>
          <c:order val="0"/>
          <c:tx>
            <c:strRef>
              <c:f>'Participación por Concepto'!$C$8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BAE0-4DF7-A809-603F7EE01DF5}"/>
              </c:ext>
            </c:extLst>
          </c:dPt>
          <c:dPt>
            <c:idx val="1"/>
            <c:bubble3D val="0"/>
            <c:explosion val="6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2-BAE0-4DF7-A809-603F7EE01DF5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0-4DF7-A809-603F7EE01D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por Concepto'!$B$9:$B$11</c:f>
              <c:strCache>
                <c:ptCount val="2"/>
                <c:pt idx="0">
                  <c:v>A-FUNCIONAMIENTO</c:v>
                </c:pt>
                <c:pt idx="1">
                  <c:v>B-INVERSIÓN</c:v>
                </c:pt>
              </c:strCache>
            </c:strRef>
          </c:cat>
          <c:val>
            <c:numRef>
              <c:f>'Participación por Concepto'!$C$9:$C$11</c:f>
              <c:numCache>
                <c:formatCode>_(* #,##0.00_);_(* \(#,##0.00\);_(* "-"??_);_(@_)</c:formatCode>
                <c:ptCount val="2"/>
                <c:pt idx="0">
                  <c:v>2249.6486331999999</c:v>
                </c:pt>
                <c:pt idx="1">
                  <c:v>53197.266014589994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0-4DF7-A809-603F7EE01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Febrero_2022.xlsx]EJECUCIÓN  RESERVA!TablaDinámica5</c:name>
    <c:fmtId val="6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 RESERVA'!$E$47</c:f>
              <c:strCache>
                <c:ptCount val="1"/>
                <c:pt idx="0">
                  <c:v>21,15%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{A976C339-0491-470A-9041-994BC03663BD}</c15:txfldGUID>
                  <c15:f>'EJECUCIÓN  RESERVA'!$E$47</c15:f>
                  <c15:dlblFieldTableCache>
                    <c:ptCount val="1"/>
                    <c:pt idx="0">
                      <c:v>21,15%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2211068011397805"/>
          <c:y val="7.3561011021630748E-2"/>
          <c:w val="0.54532440098753576"/>
          <c:h val="0.86324423007771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'EJECUCIÓN  RESERVA'!$E$47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55446.914647789992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2-45C2-8769-5820BFAD2514}"/>
            </c:ext>
          </c:extLst>
        </c:ser>
        <c:ser>
          <c:idx val="1"/>
          <c:order val="1"/>
          <c:tx>
            <c:strRef>
              <c:f>'EJECUCIÓN  RESERVA'!$E$47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F2-45C2-8769-5820BFAD2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2-45C2-8769-5820BFAD2514}"/>
            </c:ext>
          </c:extLst>
        </c:ser>
        <c:ser>
          <c:idx val="2"/>
          <c:order val="2"/>
          <c:tx>
            <c:strRef>
              <c:f>'EJECUCIÓN  RESERVA'!$E$47</c:f>
              <c:strCache>
                <c:ptCount val="1"/>
                <c:pt idx="0">
                  <c:v>PAGOS
ACUMULADOS
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CF2-45C2-8769-5820BFAD2514}"/>
              </c:ext>
            </c:extLst>
          </c:dPt>
          <c:dLbls>
            <c:dLbl>
              <c:idx val="0"/>
              <c:tx>
                <c:strRef>
                  <c:f>'EJECUCIÓN  RESERVA'!$E$47</c:f>
                  <c:strCache>
                    <c:ptCount val="1"/>
                    <c:pt idx="0">
                      <c:v>21,15%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{D49714E3-BBDC-4A81-8B79-FDF6AC1482BD}</c15:txfldGUID>
                      <c15:f>'EJECUCIÓN  RESERVA'!$E$47</c15:f>
                      <c15:dlblFieldTableCache>
                        <c:ptCount val="1"/>
                        <c:pt idx="0">
                          <c:v>21,15%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CF2-45C2-8769-5820BFAD2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11728.3558988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F2-45C2-8769-5820BFAD25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289798752"/>
        <c:axId val="-1289796576"/>
      </c:barChart>
      <c:catAx>
        <c:axId val="-128979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6576"/>
        <c:crosses val="autoZero"/>
        <c:auto val="1"/>
        <c:lblAlgn val="ctr"/>
        <c:lblOffset val="100"/>
        <c:noMultiLvlLbl val="0"/>
      </c:catAx>
      <c:valAx>
        <c:axId val="-128979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99468594467761"/>
          <c:y val="0.36000466370185913"/>
          <c:w val="0.28331122281639659"/>
          <c:h val="0.39626009885324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Febrero_2022.xlsx]EJECUCIÓN  RESERVA!TablaDinámica2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dLbl>
          <c:idx val="0"/>
          <c:tx>
            <c:strRef>
              <c:f>'EJECUCIÓN  RESERVA'!$E$46</c:f>
              <c:strCache>
                <c:ptCount val="1"/>
                <c:pt idx="0">
                  <c:v>18,03%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{CD86BFAC-E397-4B65-AC1C-8ED768229227}</c15:txfldGUID>
                  <c15:f>'EJECUCIÓN  RESERVA'!$E$46</c15:f>
                  <c15:dlblFieldTableCache>
                    <c:ptCount val="1"/>
                    <c:pt idx="0">
                      <c:v>18,03%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/>
        </c:spPr>
        <c:dLbl>
          <c:idx val="0"/>
          <c:tx>
            <c:strRef>
              <c:f>'EJECUCIÓN  RESERVA'!$E$45</c:f>
              <c:strCache>
                <c:ptCount val="1"/>
                <c:pt idx="0">
                  <c:v>94,9%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{2CFCC1E3-B59F-46F8-B479-4C39BD1BBEAD}</c15:txfldGUID>
                  <c15:f>'EJECUCIÓN  RESERVA'!$E$45</c15:f>
                  <c15:dlblFieldTableCache>
                    <c:ptCount val="1"/>
                    <c:pt idx="0">
                      <c:v>94,9%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 RESERVA'!$E$46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2249.6486331999999</c:v>
                </c:pt>
                <c:pt idx="1">
                  <c:v>53197.266014589994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7-46E8-AC6C-A42DB97A7843}"/>
            </c:ext>
          </c:extLst>
        </c:ser>
        <c:ser>
          <c:idx val="1"/>
          <c:order val="1"/>
          <c:tx>
            <c:strRef>
              <c:f>'EJECUCIÓN  RESERVA'!$E$46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7-46E8-AC6C-A42DB97A7843}"/>
            </c:ext>
          </c:extLst>
        </c:ser>
        <c:ser>
          <c:idx val="2"/>
          <c:order val="2"/>
          <c:tx>
            <c:strRef>
              <c:f>'EJECUCIÓN  RESERVA'!$E$46</c:f>
              <c:strCache>
                <c:ptCount val="1"/>
                <c:pt idx="0">
                  <c:v>PAGOS
ACUMULADOS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D4E-4081-A5C6-BEC96AF9D1D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4E-4081-A5C6-BEC96AF9D1D5}"/>
              </c:ext>
            </c:extLst>
          </c:dPt>
          <c:dLbls>
            <c:dLbl>
              <c:idx val="0"/>
              <c:tx>
                <c:strRef>
                  <c:f>'EJECUCIÓN  RESERVA'!$E$45</c:f>
                  <c:strCache>
                    <c:ptCount val="1"/>
                    <c:pt idx="0">
                      <c:v>94,9%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{E895C214-7991-4B39-A440-A3327D9CDE6B}</c15:txfldGUID>
                      <c15:f>'EJECUCIÓN  RESERVA'!$E$45</c15:f>
                      <c15:dlblFieldTableCache>
                        <c:ptCount val="1"/>
                        <c:pt idx="0">
                          <c:v>94,9%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D4E-4081-A5C6-BEC96AF9D1D5}"/>
                </c:ext>
              </c:extLst>
            </c:dLbl>
            <c:dLbl>
              <c:idx val="1"/>
              <c:tx>
                <c:strRef>
                  <c:f>'EJECUCIÓN  RESERVA'!$E$46</c:f>
                  <c:strCache>
                    <c:ptCount val="1"/>
                    <c:pt idx="0">
                      <c:v>18,03%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{4991EDD9-31E0-48A8-A00F-51262AD925DF}</c15:txfldGUID>
                      <c15:f>'EJECUCIÓN  RESERVA'!$E$46</c15:f>
                      <c15:dlblFieldTableCache>
                        <c:ptCount val="1"/>
                        <c:pt idx="0">
                          <c:v>18,03%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D4E-4081-A5C6-BEC96AF9D1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2135.2183752999999</c:v>
                </c:pt>
                <c:pt idx="1">
                  <c:v>9593.1375234999996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B7-46E8-AC6C-A42DB97A78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23162799"/>
        <c:axId val="1723175279"/>
      </c:barChart>
      <c:catAx>
        <c:axId val="172316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75279"/>
        <c:crosses val="autoZero"/>
        <c:auto val="1"/>
        <c:lblAlgn val="ctr"/>
        <c:lblOffset val="100"/>
        <c:noMultiLvlLbl val="0"/>
      </c:catAx>
      <c:valAx>
        <c:axId val="172317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62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566268484632602"/>
          <c:y val="0.20534889108229304"/>
          <c:w val="0.24976548199903259"/>
          <c:h val="0.57176419087035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1FC3485-A233-4AE4-ABB5-5507948553DC}">
  <sheetPr codeName="Gráfico1"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4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4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#'Aforo Vs Recaudo Rec Propios'!A1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7.png"/><Relationship Id="rId6" Type="http://schemas.openxmlformats.org/officeDocument/2006/relationships/chart" Target="../charts/chart5.xml"/><Relationship Id="rId5" Type="http://schemas.openxmlformats.org/officeDocument/2006/relationships/image" Target="../media/image8.png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chart" Target="../charts/chart6.xml"/><Relationship Id="rId6" Type="http://schemas.microsoft.com/office/2007/relationships/hdphoto" Target="../media/hdphoto2.wdp"/><Relationship Id="rId5" Type="http://schemas.openxmlformats.org/officeDocument/2006/relationships/image" Target="../media/image9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CDDA9C-01EF-C5C3-A678-57D1ACBA53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66675</xdr:rowOff>
    </xdr:from>
    <xdr:to>
      <xdr:col>2</xdr:col>
      <xdr:colOff>1043433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133350</xdr:colOff>
      <xdr:row>0</xdr:row>
      <xdr:rowOff>114300</xdr:rowOff>
    </xdr:from>
    <xdr:ext cx="5019675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3571875" y="114300"/>
          <a:ext cx="5019675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marL="0" indent="0"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 28 de febrero de 2022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495299</xdr:colOff>
      <xdr:row>11</xdr:row>
      <xdr:rowOff>161924</xdr:rowOff>
    </xdr:from>
    <xdr:to>
      <xdr:col>7</xdr:col>
      <xdr:colOff>9525</xdr:colOff>
      <xdr:row>31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85725</xdr:rowOff>
    </xdr:from>
    <xdr:to>
      <xdr:col>2</xdr:col>
      <xdr:colOff>1312923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572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123826</xdr:rowOff>
    </xdr:from>
    <xdr:ext cx="5205076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3444394" y="123826"/>
          <a:ext cx="5205076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Ejecución Reservas a 28 de febrero de 2022</a:t>
          </a:r>
        </a:p>
      </xdr:txBody>
    </xdr:sp>
    <xdr:clientData/>
  </xdr:oneCellAnchor>
  <xdr:twoCellAnchor editAs="oneCell">
    <xdr:from>
      <xdr:col>7</xdr:col>
      <xdr:colOff>409575</xdr:colOff>
      <xdr:row>4</xdr:row>
      <xdr:rowOff>47625</xdr:rowOff>
    </xdr:from>
    <xdr:to>
      <xdr:col>9</xdr:col>
      <xdr:colOff>742949</xdr:colOff>
      <xdr:row>8</xdr:row>
      <xdr:rowOff>133831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8096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153555</xdr:colOff>
      <xdr:row>28</xdr:row>
      <xdr:rowOff>173182</xdr:rowOff>
    </xdr:from>
    <xdr:to>
      <xdr:col>6</xdr:col>
      <xdr:colOff>124981</xdr:colOff>
      <xdr:row>54</xdr:row>
      <xdr:rowOff>38484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47143</xdr:colOff>
      <xdr:row>11</xdr:row>
      <xdr:rowOff>134118</xdr:rowOff>
    </xdr:from>
    <xdr:to>
      <xdr:col>7</xdr:col>
      <xdr:colOff>48106</xdr:colOff>
      <xdr:row>26</xdr:row>
      <xdr:rowOff>144318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21EC5F7-5023-B12A-3037-D9764BB5A8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0.63353</cdr:x>
      <cdr:y>0.8355</cdr:y>
    </cdr:from>
    <cdr:to>
      <cdr:x>0.97856</cdr:x>
      <cdr:y>0.96537</cdr:y>
    </cdr:to>
    <cdr:sp macro="" textlink="">
      <cdr:nvSpPr>
        <cdr:cNvPr id="2" name="CuadroTexto 1"/>
        <cdr:cNvSpPr txBox="1"/>
      </cdr:nvSpPr>
      <cdr:spPr>
        <a:xfrm xmlns:a="http://schemas.openxmlformats.org/drawingml/2006/main" rot="10800000" flipH="1" flipV="1">
          <a:off x="3095625" y="1838325"/>
          <a:ext cx="16859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accent1"/>
              </a:solidFill>
            </a:rPr>
            <a:t>Cifras en millones</a:t>
          </a:r>
          <a:r>
            <a:rPr lang="en-US" sz="1100" baseline="0">
              <a:solidFill>
                <a:schemeClr val="accent1"/>
              </a:solidFill>
            </a:rPr>
            <a:t> de Pesos</a:t>
          </a:r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66675</xdr:rowOff>
    </xdr:from>
    <xdr:to>
      <xdr:col>2</xdr:col>
      <xdr:colOff>1148208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DCFF59-F25A-4580-B40D-77087F05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245408</xdr:colOff>
      <xdr:row>0</xdr:row>
      <xdr:rowOff>170330</xdr:rowOff>
    </xdr:from>
    <xdr:ext cx="5066180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CD5348C-90D5-4600-98AE-5435660CC32A}"/>
            </a:ext>
          </a:extLst>
        </xdr:cNvPr>
        <xdr:cNvSpPr/>
      </xdr:nvSpPr>
      <xdr:spPr>
        <a:xfrm>
          <a:off x="3999379" y="170330"/>
          <a:ext cx="5066180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28 de febrero de 2022</a:t>
          </a: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4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5C7E67-D313-4BDA-B548-9FD49819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9525</xdr:colOff>
      <xdr:row>12</xdr:row>
      <xdr:rowOff>90487</xdr:rowOff>
    </xdr:from>
    <xdr:to>
      <xdr:col>6</xdr:col>
      <xdr:colOff>742950</xdr:colOff>
      <xdr:row>32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FAD7EB-D3B4-3828-892A-033511F50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85725</xdr:rowOff>
    </xdr:from>
    <xdr:to>
      <xdr:col>2</xdr:col>
      <xdr:colOff>928075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845C8F-1F6F-4BF4-B006-2B676484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5725"/>
          <a:ext cx="253212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123826</xdr:rowOff>
    </xdr:from>
    <xdr:ext cx="5205076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92AB5CA-C827-4C2E-9F97-C76E5B70D5E8}"/>
            </a:ext>
          </a:extLst>
        </xdr:cNvPr>
        <xdr:cNvSpPr/>
      </xdr:nvSpPr>
      <xdr:spPr>
        <a:xfrm>
          <a:off x="3314700" y="123826"/>
          <a:ext cx="5205076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28 de febrero de 2022</a:t>
          </a:r>
        </a:p>
      </xdr:txBody>
    </xdr:sp>
    <xdr:clientData/>
  </xdr:oneCellAnchor>
  <xdr:twoCellAnchor editAs="oneCell">
    <xdr:from>
      <xdr:col>8</xdr:col>
      <xdr:colOff>44996</xdr:colOff>
      <xdr:row>3</xdr:row>
      <xdr:rowOff>96212</xdr:rowOff>
    </xdr:from>
    <xdr:to>
      <xdr:col>12</xdr:col>
      <xdr:colOff>685223</xdr:colOff>
      <xdr:row>10</xdr:row>
      <xdr:rowOff>115455</xdr:rowOff>
    </xdr:to>
    <xdr:pic>
      <xdr:nvPicPr>
        <xdr:cNvPr id="4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0A7AA1-B250-4A19-807B-CD6F9783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6890" y="673485"/>
          <a:ext cx="1400302" cy="136621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740833</xdr:colOff>
      <xdr:row>12</xdr:row>
      <xdr:rowOff>162983</xdr:rowOff>
    </xdr:from>
    <xdr:to>
      <xdr:col>7</xdr:col>
      <xdr:colOff>355986</xdr:colOff>
      <xdr:row>27</xdr:row>
      <xdr:rowOff>19819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61DAE07-578D-2800-D4B6-C54EE7DD0F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332894</xdr:colOff>
      <xdr:row>29</xdr:row>
      <xdr:rowOff>163079</xdr:rowOff>
    </xdr:from>
    <xdr:to>
      <xdr:col>6</xdr:col>
      <xdr:colOff>98137</xdr:colOff>
      <xdr:row>55</xdr:row>
      <xdr:rowOff>125171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122CAB3-100A-6864-6DAA-A3B0869E1D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1529208</xdr:colOff>
      <xdr:row>1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1628775</xdr:colOff>
      <xdr:row>0</xdr:row>
      <xdr:rowOff>123825</xdr:rowOff>
    </xdr:from>
    <xdr:ext cx="6562726" cy="96898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44561" y="123825"/>
          <a:ext cx="6562726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800" b="0" i="1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28 de febrero de 2022</a:t>
          </a:r>
        </a:p>
      </xdr:txBody>
    </xdr:sp>
    <xdr:clientData/>
  </xdr:oneCellAnchor>
  <xdr:twoCellAnchor editAs="oneCell">
    <xdr:from>
      <xdr:col>0</xdr:col>
      <xdr:colOff>476250</xdr:colOff>
      <xdr:row>23</xdr:row>
      <xdr:rowOff>180975</xdr:rowOff>
    </xdr:from>
    <xdr:to>
      <xdr:col>1</xdr:col>
      <xdr:colOff>5086350</xdr:colOff>
      <xdr:row>28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029575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48162</xdr:colOff>
      <xdr:row>8</xdr:row>
      <xdr:rowOff>400050</xdr:rowOff>
    </xdr:from>
    <xdr:to>
      <xdr:col>1</xdr:col>
      <xdr:colOff>171987</xdr:colOff>
      <xdr:row>10</xdr:row>
      <xdr:rowOff>323850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7" y="219075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48163</xdr:colOff>
      <xdr:row>14</xdr:row>
      <xdr:rowOff>9525</xdr:rowOff>
    </xdr:from>
    <xdr:ext cx="1238250" cy="838200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8" y="434340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9629775</xdr:colOff>
      <xdr:row>7</xdr:row>
      <xdr:rowOff>371475</xdr:rowOff>
    </xdr:from>
    <xdr:to>
      <xdr:col>1</xdr:col>
      <xdr:colOff>10125075</xdr:colOff>
      <xdr:row>9</xdr:row>
      <xdr:rowOff>114300</xdr:rowOff>
    </xdr:to>
    <xdr:pic>
      <xdr:nvPicPr>
        <xdr:cNvPr id="9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1704975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7305675</xdr:colOff>
      <xdr:row>8</xdr:row>
      <xdr:rowOff>419100</xdr:rowOff>
    </xdr:from>
    <xdr:to>
      <xdr:col>1</xdr:col>
      <xdr:colOff>7800975</xdr:colOff>
      <xdr:row>10</xdr:row>
      <xdr:rowOff>161925</xdr:rowOff>
    </xdr:to>
    <xdr:pic>
      <xdr:nvPicPr>
        <xdr:cNvPr id="10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22098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10525125</xdr:colOff>
      <xdr:row>9</xdr:row>
      <xdr:rowOff>419100</xdr:rowOff>
    </xdr:from>
    <xdr:to>
      <xdr:col>1</xdr:col>
      <xdr:colOff>11020425</xdr:colOff>
      <xdr:row>11</xdr:row>
      <xdr:rowOff>161925</xdr:rowOff>
    </xdr:to>
    <xdr:pic>
      <xdr:nvPicPr>
        <xdr:cNvPr id="11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26670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8181975</xdr:colOff>
      <xdr:row>10</xdr:row>
      <xdr:rowOff>400050</xdr:rowOff>
    </xdr:from>
    <xdr:to>
      <xdr:col>1</xdr:col>
      <xdr:colOff>8677275</xdr:colOff>
      <xdr:row>12</xdr:row>
      <xdr:rowOff>142875</xdr:rowOff>
    </xdr:to>
    <xdr:pic>
      <xdr:nvPicPr>
        <xdr:cNvPr id="12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31051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8753475</xdr:colOff>
      <xdr:row>13</xdr:row>
      <xdr:rowOff>381000</xdr:rowOff>
    </xdr:from>
    <xdr:to>
      <xdr:col>1</xdr:col>
      <xdr:colOff>9248775</xdr:colOff>
      <xdr:row>15</xdr:row>
      <xdr:rowOff>123825</xdr:rowOff>
    </xdr:to>
    <xdr:pic>
      <xdr:nvPicPr>
        <xdr:cNvPr id="13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44577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6229350</xdr:colOff>
      <xdr:row>14</xdr:row>
      <xdr:rowOff>381000</xdr:rowOff>
    </xdr:from>
    <xdr:to>
      <xdr:col>1</xdr:col>
      <xdr:colOff>6724650</xdr:colOff>
      <xdr:row>16</xdr:row>
      <xdr:rowOff>123825</xdr:rowOff>
    </xdr:to>
    <xdr:pic>
      <xdr:nvPicPr>
        <xdr:cNvPr id="14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49149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48163</xdr:colOff>
      <xdr:row>19</xdr:row>
      <xdr:rowOff>9525</xdr:rowOff>
    </xdr:from>
    <xdr:ext cx="1238250" cy="838200"/>
    <xdr:pic>
      <xdr:nvPicPr>
        <xdr:cNvPr id="15" name="Imagen 14">
          <a:extLst>
            <a:ext uri="{FF2B5EF4-FFF2-40B4-BE49-F238E27FC236}">
              <a16:creationId xmlns:a16="http://schemas.microsoft.com/office/drawing/2014/main" id="{6B5B2787-6459-4156-A14A-07103BE85D7B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8" y="434340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10182225</xdr:colOff>
      <xdr:row>18</xdr:row>
      <xdr:rowOff>438150</xdr:rowOff>
    </xdr:from>
    <xdr:to>
      <xdr:col>1</xdr:col>
      <xdr:colOff>10677525</xdr:colOff>
      <xdr:row>20</xdr:row>
      <xdr:rowOff>180975</xdr:rowOff>
    </xdr:to>
    <xdr:pic>
      <xdr:nvPicPr>
        <xdr:cNvPr id="16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FBE764-B396-4042-AF2C-B3A6C74608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65341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6715125</xdr:colOff>
      <xdr:row>19</xdr:row>
      <xdr:rowOff>400050</xdr:rowOff>
    </xdr:from>
    <xdr:to>
      <xdr:col>1</xdr:col>
      <xdr:colOff>7210425</xdr:colOff>
      <xdr:row>21</xdr:row>
      <xdr:rowOff>142875</xdr:rowOff>
    </xdr:to>
    <xdr:pic>
      <xdr:nvPicPr>
        <xdr:cNvPr id="17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1037F0-D3CF-4F75-B8F9-6A51B245B7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69532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5959928</xdr:colOff>
      <xdr:row>20</xdr:row>
      <xdr:rowOff>381000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2CFE50D-14FC-1B13-FCDF-3328260449DA}"/>
            </a:ext>
          </a:extLst>
        </xdr:cNvPr>
        <xdr:cNvSpPr txBox="1"/>
      </xdr:nvSpPr>
      <xdr:spPr>
        <a:xfrm>
          <a:off x="7075714" y="772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13</xdr:row>
      <xdr:rowOff>161925</xdr:rowOff>
    </xdr:from>
    <xdr:to>
      <xdr:col>7</xdr:col>
      <xdr:colOff>285750</xdr:colOff>
      <xdr:row>36</xdr:row>
      <xdr:rowOff>152401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323850</xdr:colOff>
      <xdr:row>0</xdr:row>
      <xdr:rowOff>66675</xdr:rowOff>
    </xdr:from>
    <xdr:to>
      <xdr:col>2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981075</xdr:colOff>
      <xdr:row>0</xdr:row>
      <xdr:rowOff>123825</xdr:rowOff>
    </xdr:from>
    <xdr:ext cx="5067300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19525" y="123825"/>
          <a:ext cx="5067300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28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febrero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2022</a:t>
          </a: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5</xdr:col>
      <xdr:colOff>440055</xdr:colOff>
      <xdr:row>107</xdr:row>
      <xdr:rowOff>186055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CBCE56B-766B-4964-B21C-D8E296F49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82975"/>
          <a:ext cx="5612130" cy="4186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0.69385</cdr:x>
      <cdr:y>0.91503</cdr:y>
    </cdr:from>
    <cdr:to>
      <cdr:x>0.96257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1B3752C-34EE-4853-91C4-36B20CEEF4A5}"/>
            </a:ext>
          </a:extLst>
        </cdr:cNvPr>
        <cdr:cNvSpPr txBox="1"/>
      </cdr:nvSpPr>
      <cdr:spPr>
        <a:xfrm xmlns:a="http://schemas.openxmlformats.org/drawingml/2006/main">
          <a:off x="4943474" y="4000500"/>
          <a:ext cx="1914525" cy="371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66675</xdr:rowOff>
    </xdr:from>
    <xdr:to>
      <xdr:col>2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123825</xdr:rowOff>
    </xdr:from>
    <xdr:ext cx="5095875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43325" y="123825"/>
          <a:ext cx="5095875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28 de febrero de 2022</a:t>
          </a:r>
        </a:p>
      </xdr:txBody>
    </xdr:sp>
    <xdr:clientData/>
  </xdr:oneCellAnchor>
  <xdr:twoCellAnchor>
    <xdr:from>
      <xdr:col>0</xdr:col>
      <xdr:colOff>542921</xdr:colOff>
      <xdr:row>11</xdr:row>
      <xdr:rowOff>161925</xdr:rowOff>
    </xdr:from>
    <xdr:to>
      <xdr:col>12</xdr:col>
      <xdr:colOff>523874</xdr:colOff>
      <xdr:row>37</xdr:row>
      <xdr:rowOff>142874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542921" y="2257425"/>
          <a:ext cx="11049003" cy="4933949"/>
          <a:chOff x="476246" y="2324100"/>
          <a:chExt cx="10982328" cy="4933949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/>
        </xdr:nvGraphicFramePr>
        <xdr:xfrm>
          <a:off x="476246" y="2324100"/>
          <a:ext cx="10982328" cy="49339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64760" y="2343149"/>
            <a:ext cx="10614894" cy="35242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s-ES" sz="18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COMPARATIVO</a:t>
            </a:r>
            <a:r>
              <a:rPr lang="es-ES" sz="1800" b="1" cap="none" spc="0" baseline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 RP´S VS  OBLIGACIONES Y PAGOS DE  FUNCIONAMIENTO, SERVICIO A LA DEUDA E INVERSIÓN</a:t>
            </a:r>
            <a:endPara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12</xdr:col>
      <xdr:colOff>66675</xdr:colOff>
      <xdr:row>0</xdr:row>
      <xdr:rowOff>0</xdr:rowOff>
    </xdr:from>
    <xdr:to>
      <xdr:col>14</xdr:col>
      <xdr:colOff>400050</xdr:colOff>
      <xdr:row>9</xdr:row>
      <xdr:rowOff>85725</xdr:rowOff>
    </xdr:to>
    <xdr:pic>
      <xdr:nvPicPr>
        <xdr:cNvPr id="8" name="Image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0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429155</xdr:colOff>
      <xdr:row>0</xdr:row>
      <xdr:rowOff>1</xdr:rowOff>
    </xdr:from>
    <xdr:to>
      <xdr:col>1</xdr:col>
      <xdr:colOff>1600200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55" y="1"/>
          <a:ext cx="166634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2152651</xdr:colOff>
      <xdr:row>0</xdr:row>
      <xdr:rowOff>95251</xdr:rowOff>
    </xdr:from>
    <xdr:ext cx="5105399" cy="64770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647951" y="95251"/>
          <a:ext cx="5105399" cy="647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28 de febrero de 2022</a:t>
          </a:r>
        </a:p>
      </xdr:txBody>
    </xdr:sp>
    <xdr:clientData/>
  </xdr:oneCellAnchor>
  <xdr:twoCellAnchor editAs="oneCell">
    <xdr:from>
      <xdr:col>6</xdr:col>
      <xdr:colOff>171450</xdr:colOff>
      <xdr:row>1</xdr:row>
      <xdr:rowOff>142875</xdr:rowOff>
    </xdr:from>
    <xdr:to>
      <xdr:col>8</xdr:col>
      <xdr:colOff>504825</xdr:colOff>
      <xdr:row>9</xdr:row>
      <xdr:rowOff>228600</xdr:rowOff>
    </xdr:to>
    <xdr:pic>
      <xdr:nvPicPr>
        <xdr:cNvPr id="8" name="Imagen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3333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466725</xdr:colOff>
      <xdr:row>11</xdr:row>
      <xdr:rowOff>152398</xdr:rowOff>
    </xdr:from>
    <xdr:to>
      <xdr:col>7</xdr:col>
      <xdr:colOff>419100</xdr:colOff>
      <xdr:row>41</xdr:row>
      <xdr:rowOff>114300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pSpPr/>
      </xdr:nvGrpSpPr>
      <xdr:grpSpPr>
        <a:xfrm>
          <a:off x="466725" y="2628898"/>
          <a:ext cx="8372475" cy="5676902"/>
          <a:chOff x="447675" y="2505073"/>
          <a:chExt cx="9134475" cy="5676902"/>
        </a:xfrm>
      </xdr:grpSpPr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GrpSpPr/>
        </xdr:nvGrpSpPr>
        <xdr:grpSpPr>
          <a:xfrm>
            <a:off x="447675" y="2505073"/>
            <a:ext cx="9134475" cy="5676902"/>
            <a:chOff x="628650" y="2562223"/>
            <a:chExt cx="9134475" cy="5676902"/>
          </a:xfrm>
        </xdr:grpSpPr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GraphicFramePr>
              <a:graphicFrameLocks/>
            </xdr:cNvGraphicFramePr>
          </xdr:nvGraphicFramePr>
          <xdr:xfrm>
            <a:off x="628650" y="2562223"/>
            <a:ext cx="9134475" cy="567690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647825" y="2724148"/>
              <a:ext cx="7419475" cy="225572"/>
            </a:xfrm>
            <a:prstGeom prst="rect">
              <a:avLst/>
            </a:prstGeom>
          </xdr:spPr>
        </xdr:pic>
      </xdr:grpSp>
      <xdr:sp macro="" textlink="">
        <xdr:nvSpPr>
          <xdr:cNvPr id="4097" name="Text Box 1">
            <a:extLst>
              <a:ext uri="{FF2B5EF4-FFF2-40B4-BE49-F238E27FC236}">
                <a16:creationId xmlns:a16="http://schemas.microsoft.com/office/drawing/2014/main" id="{00000000-0008-0000-0600-000001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39076" y="7905750"/>
            <a:ext cx="16573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s-CO" sz="1100" b="0" i="0" u="none" strike="noStrike" baseline="0">
                <a:solidFill>
                  <a:schemeClr val="accent1"/>
                </a:solidFill>
                <a:latin typeface="Calibri"/>
                <a:cs typeface="Calibri"/>
              </a:rPr>
              <a:t>Cifras en millones de pesos</a:t>
            </a:r>
          </a:p>
          <a:p>
            <a:pPr algn="l" rtl="0">
              <a:defRPr sz="1000"/>
            </a:pPr>
            <a:endParaRPr lang="es-CO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>
    <xdr:from>
      <xdr:col>1</xdr:col>
      <xdr:colOff>0</xdr:colOff>
      <xdr:row>11</xdr:row>
      <xdr:rowOff>186416</xdr:rowOff>
    </xdr:from>
    <xdr:to>
      <xdr:col>7</xdr:col>
      <xdr:colOff>394608</xdr:colOff>
      <xdr:row>41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34E27C1-9AB6-4FA3-2AC9-D75DD008A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790576</xdr:colOff>
      <xdr:row>15</xdr:row>
      <xdr:rowOff>19052</xdr:rowOff>
    </xdr:from>
    <xdr:to>
      <xdr:col>6</xdr:col>
      <xdr:colOff>123825</xdr:colOff>
      <xdr:row>35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1443160</xdr:colOff>
      <xdr:row>15</xdr:row>
      <xdr:rowOff>0</xdr:rowOff>
    </xdr:from>
    <xdr:ext cx="4721421" cy="59323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319460" y="3000375"/>
          <a:ext cx="4721421" cy="5932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6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209550</xdr:colOff>
      <xdr:row>4</xdr:row>
      <xdr:rowOff>152400</xdr:rowOff>
    </xdr:from>
    <xdr:to>
      <xdr:col>6</xdr:col>
      <xdr:colOff>561975</xdr:colOff>
      <xdr:row>14</xdr:row>
      <xdr:rowOff>47625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152400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123825</xdr:rowOff>
    </xdr:from>
    <xdr:to>
      <xdr:col>2</xdr:col>
      <xdr:colOff>481458</xdr:colOff>
      <xdr:row>3</xdr:row>
      <xdr:rowOff>180975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2382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1104900</xdr:colOff>
      <xdr:row>0</xdr:row>
      <xdr:rowOff>142875</xdr:rowOff>
    </xdr:from>
    <xdr:ext cx="5070759" cy="71853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4067175" y="142875"/>
          <a:ext cx="507075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Administrativa y Financiera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28 de febrero de 2022</a:t>
          </a:r>
        </a:p>
      </xdr:txBody>
    </xdr:sp>
    <xdr:clientData/>
  </xdr:oneCellAnchor>
  <xdr:twoCellAnchor editAs="oneCell">
    <xdr:from>
      <xdr:col>1</xdr:col>
      <xdr:colOff>640209</xdr:colOff>
      <xdr:row>16</xdr:row>
      <xdr:rowOff>133351</xdr:rowOff>
    </xdr:from>
    <xdr:to>
      <xdr:col>1</xdr:col>
      <xdr:colOff>1006824</xdr:colOff>
      <xdr:row>19</xdr:row>
      <xdr:rowOff>85725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6998" b="96869" l="10000" r="90000">
                      <a14:foregroundMark x1="26579" y1="92449" x2="26579" y2="92449"/>
                      <a14:foregroundMark x1="26579" y1="97053" x2="26579" y2="97053"/>
                      <a14:foregroundMark x1="36579" y1="88214" x2="36579" y2="88214"/>
                      <a14:foregroundMark x1="89737" y1="56722" x2="89737" y2="56722"/>
                      <a14:foregroundMark x1="72895" y1="6998" x2="72895" y2="699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16509" y="3324226"/>
          <a:ext cx="366615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248247</xdr:colOff>
      <xdr:row>11</xdr:row>
      <xdr:rowOff>53649</xdr:rowOff>
    </xdr:from>
    <xdr:to>
      <xdr:col>2</xdr:col>
      <xdr:colOff>370886</xdr:colOff>
      <xdr:row>13</xdr:row>
      <xdr:rowOff>155902</xdr:rowOff>
    </xdr:to>
    <xdr:sp macro="" textlink="">
      <xdr:nvSpPr>
        <xdr:cNvPr id="3" name="Bocadillo: rectángulo con esquinas redondeada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124547" y="2292024"/>
          <a:ext cx="1760939" cy="483253"/>
        </a:xfrm>
        <a:prstGeom prst="wedgeRoundRectCallout">
          <a:avLst>
            <a:gd name="adj1" fmla="val -21915"/>
            <a:gd name="adj2" fmla="val 103891"/>
            <a:gd name="adj3" fmla="val 16667"/>
          </a:avLst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none" lIns="91440" tIns="45720" rIns="91440" bIns="45720" rtlCol="0" anchor="ctr">
          <a:spAutoFit/>
        </a:bodyPr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SELECCIONE</a:t>
          </a:r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EL PROYECTO </a:t>
          </a:r>
        </a:p>
        <a:p>
          <a:pPr algn="ctr"/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SU INTERES</a:t>
          </a:r>
          <a:endParaRPr lang="es-CO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0.7624</cdr:x>
      <cdr:y>0.90754</cdr:y>
    </cdr:from>
    <cdr:to>
      <cdr:x>0.98501</cdr:x>
      <cdr:y>0.9781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705C195F-B02C-4D96-AEB9-DF120BD90A31}"/>
            </a:ext>
          </a:extLst>
        </cdr:cNvPr>
        <cdr:cNvSpPr txBox="1"/>
      </cdr:nvSpPr>
      <cdr:spPr>
        <a:xfrm xmlns:a="http://schemas.openxmlformats.org/drawingml/2006/main">
          <a:off x="6296024" y="3552823"/>
          <a:ext cx="18383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3.623831597222" createdVersion="8" refreshedVersion="8" minRefreshableVersion="3" recordCount="35" xr:uid="{43C55DC2-2A1A-4A14-87E7-DE790057C0A3}">
  <cacheSource type="worksheet">
    <worksheetSource ref="B1:H36" sheet="INVERSIÓN"/>
  </cacheSource>
  <cacheFields count="7">
    <cacheField name="Codigo " numFmtId="0">
      <sharedItems/>
    </cacheField>
    <cacheField name="DESCRIPCION" numFmtId="0">
      <sharedItems count="35">
        <s v="MEJORAMIENTO APOYO ESTATAL PROYECTO DE CONCESIÓN RUTA DEL SOL SECTOR III,   CESAR, BOLÍVAR, MAGDALENA "/>
        <s v="MEJORAMIENTO DE LA CONCESIÓN ARMENIA PEREIRA MANIZALES  RISARALDA, CALDAS, QUINDIO, VALLE DEL CAUCA"/>
        <s v="MEJORAMIENTO CONSTRUCCIÓN REHABILITACIÓN, MANTENIMIENTO Y OPERACIÓN, DEL CORREDOR VIAL PAMPLONA - CUCÚTA DEPARTAMENTO DE   NORTE DE SANTANDER"/>
        <s v="MEJORAMIENTO , CONSTRUCCIÓN, REHABILITACIÓN, MANTENIMIENTO  Y OPERACIÓN DEL CORREDOR BUCARAMANGA, BARRANCABERMEJA, YONDÓ EN LOS DEPARTAMENTOS DE   ANTIOQUIA, SANTANDER"/>
        <s v="CONSTRUCCIÓN OPERACIÓN Y MANTENIMIENTO DE LA CONCESIÓN AUTOPISTA CONEXIÓN PACIFICO 1 - AUTOPISTAS PARA LA PROSPERIDAD ANTIOQUIA"/>
        <s v="REHABILITACIÓN CONSTRUCCIÓN, MEJORAMIENTO, OPERACIÓN Y MANTENIMIENTO DE LA CONCESIÓN AUTOPISTA AL RIO MAGDALENA 2, DEPARTAMENTOS DE ANTIOQUIA, SANTANDER"/>
        <s v="MEJORAMIENTO REHABILITACIÓN, CONSTRUCCIÓN, MANTENIMIENTO Y OPERACIÓN DEL CORREDOR SANTANA - MOCOA - NEIVA, DEPARTAMENTOS DE  HUILA, PUTUMAYO, CAUCA"/>
        <s v="MEJORAMIENTO REHABILITACIÓN, CONSTRUCCIÓN , MANTENIMIENTO  Y OPERACIÓN DEL CORREDOR POPAYAN - SANTANDER DE QUILICHAO EN EL DEPARTAMENTO DEL     CAUCA"/>
        <s v="MEJORAMIENTO CONSTRUCCIÓN, MANTENIMIENTO Y OPERACIÓN DEL CORREDOR CONEXIÓN NORTE, AUTOPISTAS PARA LA PROSPERIDAD   ANTIOQUIA"/>
        <s v="CONTROL Y SEGUIMIENTO A LA OPERACIÓN DE LAS VÍAS PRIMARIAS CONCESIONADAS  NACIONAL"/>
        <s v="MEJORAMIENTO CONSTRUCCIÓN, REHABILITACIÓN Y MANTENIMIENTO DEL CORREDOR VILLAVICENCIO - YOPAL DEPARTAMENTOS DEL   META, CASANARE"/>
        <s v="CONSTRUCCIÓN OPERACIÓN Y MANTENIMIENTO DE LA VÍA MULALO - LOBOGUERRERO, DEPARTAMENTO DEL VALLE DEL CAUCA"/>
        <s v="MEJORAMIENTO REHABILITACIÓN, CONSTRUCCIÓN, MANTENIMIENTO Y OPERACIÓN DEL CORREDOR BUCARAMANGA PAMPLONA NORTE DE SANTANDER"/>
        <s v="MEJORAMIENTO REHABILITACIÓN, MANTENIMIENTO Y OPERACIÓN DEL CORREDOR TRANSVERSAL DEL SISGA, DEPARTAMENTOS DE BOYACÁ, CUNDINAMARCA, CASANARE"/>
        <s v="REHABILITACIÓN MEJORAMIENTO, CONSTRUCCIÓN, MANTENIMIENTO Y OPERACIÓN DEL CORREDOR CARTAGENA - BARRANQUILLA Y CIRCUNVALAR DE LA PROSPERIDAD, DEPARTAMENTOS DE   ATLÁNTICO, BOLÍVAR"/>
        <s v="MEJORAMIENTO CONSTRUCCIÓN, OPERACIÓN Y MANTENIMIENTO DE LA CONCESIÓN AUTOPISTA CONEXIÓN PACIFICO 2 ANTIOQUIA"/>
        <s v="MEJORAMIENTO  CONSTRUCCIÓN, OPERACIÓN, Y MANTENIMIENTO DE LA AUTOPISTA CONEXIÓN PACIFICO 3  AUTOPISTAS PARA LA PROSPERIDAD   ANTIOQUIA"/>
        <s v="MEJORAMIENTO REHABILITACIÓN, CONSTRUCCIÓN, MANTENIMIENTO, Y OPERACIÓN DEL CORREDOR RUMICHACA - PASTO EN EL DEPARTAMENTO DE    NARIÑO"/>
        <s v="REHABILITACIÓN MEJORAMIENTO, OPERACIÓN Y MANTENIMIENTO DEL CORREDOR PERIMETRAL DE CUNDINAMARCA, CENTRO ORIENTE   CUNDINAMARCA"/>
        <s v="MEJORAMIENTO CONSTRUCCIÓN, REHABILITACIÓN OPERACIÓN Y MANTENIMIENTO DE LA CONCESIÓN AUTOPISTA AL MAR 2   ANTIOQUIA"/>
        <s v="MEJORAMIENTO REHABILITACIÓN Y MANTENIMIENTO DEL CORREDOR HONDA - PUERTO SALGAR - GIRARDOT, DEPARTAMENTOS DE    CUNDINAMARCA, CALDAS, TOLIMA"/>
        <s v="MEJORAMIENTO CONSTRUCCIÓN, REHABILITACIÓN, OPERACIÓN Y MANTENIMIENTO DE LA CONCESIÓN AUTOPISTA AL MAR 1, DEPARTAMENTO DE ANTIOQUIA"/>
        <s v="MEJORAMIENTO DEL CORREDOR PUERTA DE HIERRO - PALMAR DE VARELA Y CARRETO - CRUZ DEL VISO EN LOS DEPARTAMENTOS DE    ATLÁNTICO, BOLÍVAR, SUCRE"/>
        <s v="DESARROLLO DE OBRAS COMPLEMENTARIAS, GESTIÓN SOCIAL, AMBIENTAL Y PREDIAL DE LOS CONTRATOS DE CONCESIÓN VIAL.   NACIONAL"/>
        <s v="CONTROL Y SEGUIMIENTO A LA OPERACIÓN DE LOS AEROPUERTOS CONCESIONADOS  NACIONAL"/>
        <s v="APOYO ESTATAL A LOS AEROPUERTOS A NIVEL NACIONAL  NACIONAL"/>
        <s v="REHABILITACIÓN CONSTRUCCIÓN Y MANTENIMIENTO DE LA RED FÉRREA A NIVEL NACIONAL  NACIONAL"/>
        <s v="CONTROL Y SEGUIMIENTO A LA OPERACIÓN DE LAS VÍAS FÉRREAS  NACIONAL"/>
        <s v="APOYO ESTATAL A LOS PUERTOS A NIVEL NACIONAL   NACIONAL"/>
        <s v="CONTROL Y SEGUIMIENTO A LA OPERACIÓN DE LOS PUERTOS CONCESIONADOS   NACIONAL"/>
        <s v="CONTROL Y SEGUIMIENTO A LAS VIAS FLUVIALES  NACIONAL"/>
        <s v="IMPLEMENTACIÓN DEL SISTEMA INTEGRADO DE GESTIÓN Y CONTROL DE LA AGENCIA NACIONAL DE INFRAESTRUCTURA  NACIONAL"/>
        <s v="APOYO PARA LA GESTIÓN DE LA AGENCIA NACIONAL DE INFRAESTRUCTURA A TRAVÉS DE ASESORÍAS Y CONSULTORÍAS  NACIONAL"/>
        <s v="SISTEMATIZACIÓN PARA EL SERVICIO DE INFORMACIÓN DE LA GESTIÓN ADMINISTRATIVA.  NACIONAL"/>
        <s v="IMPLEMENTACION DEL SISTEMA DE GESTION DOCUMENTAL DE LA AGENCIA NACIONAL DE INFRAESTRUCTURA NACIONAL"/>
      </sharedItems>
    </cacheField>
    <cacheField name="APROPIACION_x000a_ VIGENTE" numFmtId="4">
      <sharedItems containsSemiMixedTypes="0" containsString="0" containsNumber="1" containsInteger="1" minValue="200000000" maxValue="326484319237"/>
    </cacheField>
    <cacheField name="CERTIFICADOS_x000a_ ACUMULADOS" numFmtId="4">
      <sharedItems containsSemiMixedTypes="0" containsString="0" containsNumber="1" minValue="0" maxValue="326484319237"/>
    </cacheField>
    <cacheField name="COMPROMISOS_x000a_ ACUMULADOS" numFmtId="4">
      <sharedItems containsSemiMixedTypes="0" containsString="0" containsNumber="1" minValue="0" maxValue="326484319237"/>
    </cacheField>
    <cacheField name="OBLIGACIONES_x000a_ ACUMULADAS" numFmtId="4">
      <sharedItems containsSemiMixedTypes="0" containsString="0" containsNumber="1" minValue="0" maxValue="65829708441"/>
    </cacheField>
    <cacheField name="PAGOS_x000a_ ACUMULADOS" numFmtId="4">
      <sharedItems containsSemiMixedTypes="0" containsString="0" containsNumber="1" minValue="0" maxValue="658297084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3.623832175923" createdVersion="6" refreshedVersion="8" minRefreshableVersion="3" recordCount="2" xr:uid="{00000000-000A-0000-FFFF-FFFF12000000}">
  <cacheSource type="worksheet">
    <worksheetSource ref="B2:E4" sheet="Reservas Presupuestales"/>
  </cacheSource>
  <cacheFields count="4">
    <cacheField name="DENOMINACIÓN DEL CÓDIGO PRESUPUESTAL_x000a_" numFmtId="0">
      <sharedItems count="3">
        <s v="A-FUNCIONAMIENTO"/>
        <s v="C-INVERSIÓN"/>
        <s v="B-INVERSIÓN" u="1"/>
      </sharedItems>
    </cacheField>
    <cacheField name="RESERVAS CONSTITUIDAS_x000a_(1)" numFmtId="164">
      <sharedItems containsSemiMixedTypes="0" containsString="0" containsNumber="1" minValue="2249.6486331999999" maxValue="53197.266014589994"/>
    </cacheField>
    <cacheField name="CANCELACIONES RESERVAS PRESUPUESTALES_x000a_ (2)" numFmtId="4">
      <sharedItems containsSemiMixedTypes="0" containsString="0" containsNumber="1" containsInteger="1" minValue="0" maxValue="0"/>
    </cacheField>
    <cacheField name="TOTAL PAGOS_x000a_ACUMULADOS_x000a_(5)" numFmtId="4">
      <sharedItems containsSemiMixedTypes="0" containsString="0" containsNumber="1" minValue="2135.2183752999999" maxValue="9593.1375234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3.623833333331" createdVersion="6" refreshedVersion="8" minRefreshableVersion="3" recordCount="2" xr:uid="{00000000-000A-0000-FFFF-FFFF15000000}">
  <cacheSource type="worksheet">
    <worksheetSource ref="B8:C10" sheet="Reservas Presupuestales"/>
  </cacheSource>
  <cacheFields count="2">
    <cacheField name="DENOMINACIÓN DEL CÓDIGO PRESUPUESTAL_x000a_" numFmtId="0">
      <sharedItems count="2">
        <s v="A-FUNCIONAMIENTO"/>
        <s v="B-INVERSIÓN"/>
      </sharedItems>
    </cacheField>
    <cacheField name="Reservas Vigente" numFmtId="0">
      <sharedItems containsSemiMixedTypes="0" containsString="0" containsNumber="1" minValue="2249.6486331999999" maxValue="53197.26601458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3.623834027778" createdVersion="6" refreshedVersion="8" minRefreshableVersion="3" recordCount="7" xr:uid="{00000000-000A-0000-FFFF-FFFF21000000}">
  <cacheSource type="worksheet">
    <worksheetSource ref="A1:G8" sheet="Resumen Eje Egreso"/>
  </cacheSource>
  <cacheFields count="7">
    <cacheField name="CODIFICACION_x000a_PRESUPUESTAL" numFmtId="0">
      <sharedItems/>
    </cacheField>
    <cacheField name="DESCRIPCION" numFmtId="0">
      <sharedItems count="7">
        <s v="A-FUNCIONAMIENTO"/>
        <s v="A-01 -GASTOS DE PERSONAL"/>
        <s v="A-02 -ADQUISICIÓN DE BIENES  Y SERVICIOS"/>
        <s v="A-03-TRANSFERENCIAS CORRIENTES"/>
        <s v="A-08-GASTOS POR TRIBUTOS, MULTAS, SANCIONES E INTERESES DE MORA"/>
        <s v="B-SERVICIO DE LA DEUDA PÚBLICA"/>
        <s v="C- INVERSION"/>
      </sharedItems>
    </cacheField>
    <cacheField name="APROPIACION_x000a_ VIGENTE" numFmtId="168">
      <sharedItems containsSemiMixedTypes="0" containsString="0" containsNumber="1" minValue="14051.472" maxValue="4505182.0250120005"/>
    </cacheField>
    <cacheField name="CERTIFICADOS_x000a_ ACUMULADOS" numFmtId="168">
      <sharedItems containsSemiMixedTypes="0" containsString="0" containsNumber="1" minValue="0" maxValue="4322970.6842790004"/>
    </cacheField>
    <cacheField name="COMPROMISOS_x000a_ ACUMULADOS" numFmtId="168">
      <sharedItems containsSemiMixedTypes="0" containsString="0" containsNumber="1" minValue="0" maxValue="4297736.3522624597"/>
    </cacheField>
    <cacheField name="OBLIGACIONES_x000a_ ACUMULADAS" numFmtId="168">
      <sharedItems containsSemiMixedTypes="0" containsString="0" containsNumber="1" minValue="0" maxValue="318609.99961584993"/>
    </cacheField>
    <cacheField name="PAGOS_x000a_A CUMULADOS" numFmtId="168">
      <sharedItems containsSemiMixedTypes="0" containsString="0" containsNumber="1" minValue="0" maxValue="318494.04679617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3.623835300925" createdVersion="8" refreshedVersion="8" minRefreshableVersion="3" recordCount="2" xr:uid="{5CAAD5DA-7FE5-4B09-911A-9449B72E6A2D}">
  <cacheSource type="worksheet">
    <worksheetSource ref="B8:C10" sheet="CXP"/>
  </cacheSource>
  <cacheFields count="2">
    <cacheField name="DENOMINACIÓN DEL CÓDIGO PRESUPUESTAL_x000a_" numFmtId="0">
      <sharedItems count="2">
        <s v="A-FUNCIONAMIENTO"/>
        <s v="B-INVERSIÓN"/>
      </sharedItems>
    </cacheField>
    <cacheField name="CXP VIGENTE" numFmtId="0">
      <sharedItems containsSemiMixedTypes="0" containsString="0" containsNumber="1" minValue="182.428674" maxValue="7893.784910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3.623835763887" createdVersion="8" refreshedVersion="8" minRefreshableVersion="3" recordCount="2" xr:uid="{FF0EDD7A-82B8-4566-9084-31FDF2F0A7EF}">
  <cacheSource type="worksheet">
    <worksheetSource ref="B2:E4" sheet="CXP"/>
  </cacheSource>
  <cacheFields count="4">
    <cacheField name="DENOMINACIÓN DEL CÓDIGO PRESUPUESTAL_x000a_" numFmtId="0">
      <sharedItems count="2">
        <s v="A-FUNCIONAMIENTO"/>
        <s v="C-INVERSIÓN"/>
      </sharedItems>
    </cacheField>
    <cacheField name="CXP CONSTITUIDAS_x000a_(1)" numFmtId="164">
      <sharedItems containsSemiMixedTypes="0" containsString="0" containsNumber="1" minValue="182.428674" maxValue="7893.7849103999997"/>
    </cacheField>
    <cacheField name="CANCELACIONES CXP_x000a_ (2)" numFmtId="4">
      <sharedItems containsSemiMixedTypes="0" containsString="0" containsNumber="1" containsInteger="1" minValue="0" maxValue="0"/>
    </cacheField>
    <cacheField name="TOTAL PAGOS_x000a_ACUMULADOS_x000a_(5)" numFmtId="4">
      <sharedItems containsSemiMixedTypes="0" containsString="0" containsNumber="1" minValue="182.428674" maxValue="6842.4202013999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s v="C-2401-0600-38"/>
    <x v="0"/>
    <n v="199229942693"/>
    <n v="199229942693"/>
    <n v="199229942693"/>
    <n v="667460180"/>
    <n v="667460180"/>
  </r>
  <r>
    <s v="C-2401-0600-54"/>
    <x v="1"/>
    <n v="3111246158"/>
    <n v="3111246158"/>
    <n v="3111246158"/>
    <n v="0"/>
    <n v="0"/>
  </r>
  <r>
    <s v="C-2401-0600-59"/>
    <x v="2"/>
    <n v="267568660974"/>
    <n v="267568660974"/>
    <n v="267568660974"/>
    <n v="515340818"/>
    <n v="515340818"/>
  </r>
  <r>
    <s v="C-2401-0600-60"/>
    <x v="3"/>
    <n v="175859178607"/>
    <n v="175859178607"/>
    <n v="175859178607"/>
    <n v="589163443"/>
    <n v="589163443"/>
  </r>
  <r>
    <s v="C-2401-0600-61"/>
    <x v="4"/>
    <n v="253083219752"/>
    <n v="253083219752"/>
    <n v="253083219752"/>
    <n v="8076357952"/>
    <n v="8076357952"/>
  </r>
  <r>
    <s v="C-2401-0600-62"/>
    <x v="5"/>
    <n v="243923443489"/>
    <n v="243923443489"/>
    <n v="243923443489"/>
    <n v="21653320129"/>
    <n v="21653320129"/>
  </r>
  <r>
    <s v="C-2401-0600-63"/>
    <x v="6"/>
    <n v="173754342655"/>
    <n v="173754342655"/>
    <n v="173754342655"/>
    <n v="26218470693"/>
    <n v="26218470693"/>
  </r>
  <r>
    <s v="C-2401-0600-64"/>
    <x v="7"/>
    <n v="188036887431"/>
    <n v="188036887431"/>
    <n v="188036887431"/>
    <n v="31914916292"/>
    <n v="31914916292"/>
  </r>
  <r>
    <s v="C-2401-0600-65"/>
    <x v="8"/>
    <n v="230526549416"/>
    <n v="230526549416"/>
    <n v="230526549416"/>
    <n v="27184528940"/>
    <n v="27184528940"/>
  </r>
  <r>
    <s v="C-2401-0600-66"/>
    <x v="9"/>
    <n v="12654096592"/>
    <n v="11538502198.5"/>
    <n v="10501033636.309999"/>
    <n v="472868344.60000002"/>
    <n v="456294600.60000002"/>
  </r>
  <r>
    <s v="C-2401-0600-67"/>
    <x v="10"/>
    <n v="222571821813"/>
    <n v="222571821813"/>
    <n v="222571821813"/>
    <n v="7839829655"/>
    <n v="7839829655"/>
  </r>
  <r>
    <s v="C-2401-0600-68"/>
    <x v="11"/>
    <n v="256174672458"/>
    <n v="256174672458"/>
    <n v="256174672458"/>
    <n v="783848182"/>
    <n v="783848182"/>
  </r>
  <r>
    <s v="C-2401-0600-69"/>
    <x v="12"/>
    <n v="133566456234"/>
    <n v="133566456234"/>
    <n v="133566456234"/>
    <n v="426302018"/>
    <n v="426302018"/>
  </r>
  <r>
    <s v="C-2401-0600-70"/>
    <x v="13"/>
    <n v="92126982346"/>
    <n v="92126982346"/>
    <n v="92126982346"/>
    <n v="308643829"/>
    <n v="308643829"/>
  </r>
  <r>
    <s v="C-2401-0600-71"/>
    <x v="14"/>
    <n v="177242188803"/>
    <n v="177242188803"/>
    <n v="177242188803"/>
    <n v="12868469971"/>
    <n v="12868469971"/>
  </r>
  <r>
    <s v="C-2401-0600-72"/>
    <x v="15"/>
    <n v="186661572672"/>
    <n v="186661572672"/>
    <n v="186661572672"/>
    <n v="65829708441"/>
    <n v="65829708441"/>
  </r>
  <r>
    <s v="C-2401-0600-73"/>
    <x v="16"/>
    <n v="217966528302"/>
    <n v="217966528302"/>
    <n v="217966528302"/>
    <n v="35582322411"/>
    <n v="35582322411"/>
  </r>
  <r>
    <s v="C-2401-0600-74"/>
    <x v="17"/>
    <n v="264689746048"/>
    <n v="264689746048"/>
    <n v="264689746048"/>
    <n v="18890851579"/>
    <n v="18890851579"/>
  </r>
  <r>
    <s v="C-2401-0600-75"/>
    <x v="18"/>
    <n v="141607661383"/>
    <n v="141607661383"/>
    <n v="141607661383"/>
    <n v="35860807678"/>
    <n v="35860807678"/>
  </r>
  <r>
    <s v="C-2401-0600-76"/>
    <x v="19"/>
    <n v="326484319237"/>
    <n v="326484319237"/>
    <n v="326484319237"/>
    <n v="18896410145"/>
    <n v="18896410145"/>
  </r>
  <r>
    <s v="C-2401-0600-77"/>
    <x v="20"/>
    <n v="103270216578"/>
    <n v="103270216578"/>
    <n v="103270216578"/>
    <n v="2037283578"/>
    <n v="2037283578"/>
  </r>
  <r>
    <s v="C-2401-0600-78"/>
    <x v="21"/>
    <n v="323578411182"/>
    <n v="323578411182"/>
    <n v="323578411182"/>
    <n v="1121067275"/>
    <n v="1121067275"/>
  </r>
  <r>
    <s v="C-2401-0600-79"/>
    <x v="22"/>
    <n v="53127095469"/>
    <n v="53127095469"/>
    <n v="53127095469"/>
    <n v="0"/>
    <n v="0"/>
  </r>
  <r>
    <s v="C-2401-0600-80"/>
    <x v="23"/>
    <n v="105000000000"/>
    <n v="2259020000"/>
    <n v="16549.91"/>
    <n v="16549.91"/>
    <n v="16549.91"/>
  </r>
  <r>
    <s v="C-2403-0600-4"/>
    <x v="24"/>
    <n v="2257022926"/>
    <n v="1977078034.5"/>
    <n v="1875445400.79"/>
    <n v="89295939.290000007"/>
    <n v="88125556.290000007"/>
  </r>
  <r>
    <s v="C-2403-0600-5"/>
    <x v="25"/>
    <n v="3785000000"/>
    <n v="0"/>
    <n v="0"/>
    <n v="0"/>
    <n v="0"/>
  </r>
  <r>
    <s v="C-2404-0600-2"/>
    <x v="26"/>
    <n v="76235881312"/>
    <n v="49002053305"/>
    <n v="29487449537"/>
    <n v="0"/>
    <n v="0"/>
  </r>
  <r>
    <s v="C-2404-0600-4"/>
    <x v="27"/>
    <n v="1124097372"/>
    <n v="906736566"/>
    <n v="818933657.09000003"/>
    <n v="30087649.09"/>
    <n v="30087649.09"/>
  </r>
  <r>
    <s v="C-2405-0600-2"/>
    <x v="28"/>
    <n v="1000000000"/>
    <n v="367252932"/>
    <n v="367250432"/>
    <n v="0"/>
    <n v="0"/>
  </r>
  <r>
    <s v="C-2405-0600-4"/>
    <x v="29"/>
    <n v="3056837754"/>
    <n v="2834303381"/>
    <n v="2681239655.2800002"/>
    <n v="129354569.48"/>
    <n v="129354569.48"/>
  </r>
  <r>
    <s v="C-2406-0600-1"/>
    <x v="30"/>
    <n v="907945356"/>
    <n v="146495298"/>
    <n v="119393074"/>
    <n v="3398631"/>
    <n v="3398631"/>
  </r>
  <r>
    <s v="C-2499-0600-7"/>
    <x v="31"/>
    <n v="200000000"/>
    <n v="145267564"/>
    <n v="79900728.379999995"/>
    <n v="3271531.38"/>
    <n v="3271531.38"/>
  </r>
  <r>
    <s v="C-2499-0600-8"/>
    <x v="32"/>
    <n v="58800000000"/>
    <n v="15027849708"/>
    <n v="13595457292.889999"/>
    <n v="413612800.07999998"/>
    <n v="401888912.41000003"/>
  </r>
  <r>
    <s v="C-2499-0600-9"/>
    <x v="33"/>
    <n v="5000000000"/>
    <n v="3694212376"/>
    <n v="3138361589.9699998"/>
    <n v="178338995.18000001"/>
    <n v="91854190.180000007"/>
  </r>
  <r>
    <s v="C-2499-0600-10"/>
    <x v="34"/>
    <n v="1000000000"/>
    <n v="910769216"/>
    <n v="910727008.84000003"/>
    <n v="24651396.84"/>
    <n v="24651396.8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49.6486331999999"/>
    <n v="0"/>
    <n v="2135.2183752999999"/>
  </r>
  <r>
    <x v="1"/>
    <n v="53197.266014589994"/>
    <n v="0"/>
    <n v="9593.137523499999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49.6486331999999"/>
  </r>
  <r>
    <x v="1"/>
    <n v="53197.26601458999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A"/>
    <x v="0"/>
    <n v="99785.985369999995"/>
    <n v="63518.306918000002"/>
    <n v="19116.617771880003"/>
    <n v="9503.2423856200003"/>
    <n v="8616.35397362"/>
  </r>
  <r>
    <s v="A-01"/>
    <x v="1"/>
    <n v="51464.345000000001"/>
    <n v="49182.286999999997"/>
    <n v="6953.7531133299999"/>
    <n v="6953.7531133299999"/>
    <n v="6068.9383403299998"/>
  </r>
  <r>
    <s v="A-02"/>
    <x v="2"/>
    <n v="19419.071"/>
    <n v="14103.505918000001"/>
    <n v="12131.539118190001"/>
    <n v="2518.2949529299999"/>
    <n v="2516.2213139299997"/>
  </r>
  <r>
    <s v="A-03"/>
    <x v="3"/>
    <n v="14851.09737"/>
    <n v="232.51400000000001"/>
    <n v="31.325540359999998"/>
    <n v="31.194319359999998"/>
    <n v="31.194319359999998"/>
  </r>
  <r>
    <s v="A-08"/>
    <x v="4"/>
    <n v="14051.472"/>
    <n v="0"/>
    <n v="0"/>
    <n v="0"/>
    <n v="0"/>
  </r>
  <r>
    <s v="B"/>
    <x v="5"/>
    <n v="1167604.3350470001"/>
    <n v="0"/>
    <n v="0"/>
    <n v="0"/>
    <n v="0"/>
  </r>
  <r>
    <s v="C"/>
    <x v="6"/>
    <n v="4505182.0250120005"/>
    <n v="4322970.6842790004"/>
    <n v="4297736.3522624597"/>
    <n v="318609.99961584993"/>
    <n v="318494.0467961799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</r>
  <r>
    <x v="1"/>
    <n v="182.428674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  <n v="0"/>
    <n v="6842.4202013999993"/>
  </r>
  <r>
    <x v="1"/>
    <n v="182.428674"/>
    <n v="0"/>
    <n v="182.4286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4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5">
  <location ref="B6:C10" firstHeaderRow="1" firstDataRow="1" firstDataCol="1"/>
  <pivotFields count="7">
    <pivotField subtotalTop="0" showAll="0"/>
    <pivotField axis="axisRow" subtotalTop="0" multipleItemSelectionAllowed="1" showAll="0">
      <items count="8">
        <item h="1" x="1"/>
        <item h="1" x="2"/>
        <item h="1" x="3"/>
        <item h="1" x="4"/>
        <item x="0"/>
        <item x="5"/>
        <item x="6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 APROPIACION_x000a_ VIGENTE" fld="2" baseField="0" baseItem="0" numFmtId="168"/>
  </dataFields>
  <formats count="1">
    <format dxfId="63">
      <pivotArea outline="0" collapsedLevelsAreSubtotals="1" fieldPosition="0"/>
    </format>
  </formats>
  <chartFormats count="4"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0D5708-094E-45B6-BA75-B79845BB5591}" name="TablaDinámica12" cacheId="4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B6:E9" firstHeaderRow="0" firstDataRow="1" firstDataCol="1"/>
  <pivotFields count="4">
    <pivotField axis="axisRow" showAll="0">
      <items count="3">
        <item x="0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XP CONSTITUIDAS" fld="1" baseField="0" baseItem="1"/>
    <dataField name="CANCELACIONES CXP" fld="2" baseField="0" baseItem="1"/>
    <dataField name="TOTAL PAGOS" fld="3" baseField="0" baseItem="1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1" cacheId="4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0">
  <location ref="B6:F10" firstHeaderRow="0" firstDataRow="1" firstDataCol="1"/>
  <pivotFields count="7">
    <pivotField subtotalTop="0" showAll="0"/>
    <pivotField axis="axisRow" subtotalTop="0" multipleItemSelectionAllowed="1" showAll="0">
      <items count="8">
        <item x="0"/>
        <item h="1" x="1"/>
        <item h="1" x="2"/>
        <item h="1" x="3"/>
        <item h="1" x="4"/>
        <item x="5"/>
        <item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COMPROMISOS" fld="4" baseField="2" baseItem="1048829" numFmtId="41"/>
    <dataField name=" OBLIGACIONES" fld="5" baseField="1" baseItem="8"/>
    <dataField name=" PAGOS" fld="6" baseField="1" baseItem="9"/>
  </dataFields>
  <formats count="14">
    <format dxfId="62">
      <pivotArea outline="0" fieldPosition="0">
        <references count="1">
          <reference field="4294967294" count="1">
            <x v="0"/>
          </reference>
        </references>
      </pivotArea>
    </format>
    <format dxfId="61">
      <pivotArea outline="0" fieldPosition="0">
        <references count="1">
          <reference field="4294967294" count="1">
            <x v="2"/>
          </reference>
        </references>
      </pivotArea>
    </format>
    <format dxfId="60">
      <pivotArea outline="0" fieldPosition="0">
        <references count="1">
          <reference field="4294967294" count="1">
            <x v="3"/>
          </reference>
        </references>
      </pivotArea>
    </format>
    <format dxfId="59">
      <pivotArea outline="0" fieldPosition="0">
        <references count="1">
          <reference field="4294967294" count="1">
            <x v="0"/>
          </reference>
        </references>
      </pivotArea>
    </format>
    <format dxfId="58">
      <pivotArea outline="0" fieldPosition="0">
        <references count="1">
          <reference field="4294967294" count="1">
            <x v="2"/>
          </reference>
        </references>
      </pivotArea>
    </format>
    <format dxfId="57">
      <pivotArea outline="0" fieldPosition="0">
        <references count="1">
          <reference field="4294967294" count="1">
            <x v="3"/>
          </reference>
        </references>
      </pivotArea>
    </format>
    <format dxfId="56">
      <pivotArea outline="0" fieldPosition="0">
        <references count="1">
          <reference field="4294967294" count="1">
            <x v="0"/>
          </reference>
        </references>
      </pivotArea>
    </format>
    <format dxfId="55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54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3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2">
      <pivotArea collapsedLevelsAreSubtotals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1">
      <pivotArea outline="0" fieldPosition="0">
        <references count="1">
          <reference field="4294967294" count="1">
            <x v="1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9">
      <pivotArea outline="0" collapsedLevelsAreSubtotals="1" fieldPosition="0"/>
    </format>
  </formats>
  <chartFormats count="13"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6">
      <pivotArea type="data" outline="0" fieldPosition="0">
        <references count="2">
          <reference field="4294967294" count="1" selected="0">
            <x v="3"/>
          </reference>
          <reference field="1" count="1" selected="0">
            <x v="0"/>
          </reference>
        </references>
      </pivotArea>
    </chartFormat>
    <chartFormat chart="29" format="17">
      <pivotArea type="data" outline="0" fieldPosition="0">
        <references count="2">
          <reference field="4294967294" count="1" selected="0">
            <x v="2"/>
          </reference>
          <reference field="1" count="1" selected="0">
            <x v="0"/>
          </reference>
        </references>
      </pivotArea>
    </chartFormat>
    <chartFormat chart="29" format="18">
      <pivotArea type="data" outline="0" fieldPosition="0">
        <references count="2">
          <reference field="4294967294" count="1" selected="0">
            <x v="2"/>
          </reference>
          <reference field="1" count="1" selected="0">
            <x v="5"/>
          </reference>
        </references>
      </pivotArea>
    </chartFormat>
    <chartFormat chart="29" format="19">
      <pivotArea type="data" outline="0" fieldPosition="0">
        <references count="2">
          <reference field="4294967294" count="1" selected="0">
            <x v="3"/>
          </reference>
          <reference field="1" count="1" selected="0">
            <x v="5"/>
          </reference>
        </references>
      </pivotArea>
    </chartFormat>
    <chartFormat chart="29" format="20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29" format="21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  <chartFormat chart="29" format="22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9" format="23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29" format="24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Dinámica1" cacheId="4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44">
  <location ref="B6:F11" firstHeaderRow="0" firstDataRow="1" firstDataCol="1"/>
  <pivotFields count="7">
    <pivotField subtotalTop="0" showAll="0"/>
    <pivotField axis="axisRow" subtotalTop="0" multipleItemSelectionAllowed="1" showAll="0">
      <items count="8">
        <item h="1" x="0"/>
        <item x="1"/>
        <item x="2"/>
        <item x="3"/>
        <item x="4"/>
        <item h="1" x="5"/>
        <item h="1"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8">
    <format dxfId="48">
      <pivotArea dataOnly="0" labelOnly="1" fieldPosition="0">
        <references count="1">
          <reference field="1" count="1">
            <x v="4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1">
      <pivotArea outline="0" collapsedLevelsAreSubtotals="1" fieldPosition="0"/>
    </format>
  </formats>
  <chartFormats count="38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26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27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8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30" format="29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30" format="30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30" format="31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32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30" format="33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30" format="3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30" format="35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30" format="3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30" format="37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  <chartFormat chart="4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3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3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3" format="4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43" format="5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43" format="6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43" format="7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43" format="8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43" format="9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43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43" format="11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43" format="12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43" format="13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43" format="14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43" format="15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EDC81A-63C4-4529-BFC8-329A0A6E8EA0}" name="TablaDinámica1" cacheId="4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7">
  <location ref="B8:E9" firstHeaderRow="0" firstDataRow="1" firstDataCol="0" rowPageCount="1" colPageCount="1"/>
  <pivotFields count="7">
    <pivotField showAll="0"/>
    <pivotField axis="axisPage" subtotalTop="0" multipleItemSelectionAllowed="1" showAll="0">
      <items count="36">
        <item x="1"/>
        <item x="26"/>
        <item x="28"/>
        <item x="31"/>
        <item x="32"/>
        <item x="33"/>
        <item x="34"/>
        <item x="2"/>
        <item x="3"/>
        <item x="4"/>
        <item x="6"/>
        <item x="7"/>
        <item x="8"/>
        <item x="9"/>
        <item x="10"/>
        <item x="14"/>
        <item x="16"/>
        <item x="17"/>
        <item x="18"/>
        <item x="19"/>
        <item x="20"/>
        <item x="22"/>
        <item x="29"/>
        <item x="0"/>
        <item x="5"/>
        <item x="11"/>
        <item x="12"/>
        <item x="13"/>
        <item x="15"/>
        <item x="21"/>
        <item x="24"/>
        <item x="27"/>
        <item x="23"/>
        <item x="25"/>
        <item x="30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a de APROPIACION_x000a_ VIGENTE" fld="2" baseField="0" baseItem="0"/>
    <dataField name="2 COMPROMISOS_x000a_ ACUMULADOS" fld="4" baseField="0" baseItem="0"/>
    <dataField name="3 OBLIGACIONES_x000a_ ACUMULADAS" fld="5" baseField="0" baseItem="0" numFmtId="166"/>
    <dataField name=" PAGOS_x000a_ ACUMULADOS" fld="6" baseField="0" baseItem="0" numFmtId="166"/>
  </dataFields>
  <formats count="8">
    <format dxfId="40">
      <pivotArea collapsedLevelsAreSubtotals="1" fieldPosition="0">
        <references count="1">
          <reference field="1" count="0"/>
        </references>
      </pivotArea>
    </format>
    <format dxfId="39">
      <pivotArea grandRow="1" outline="0" collapsedLevelsAreSubtotals="1" fieldPosition="0"/>
    </format>
    <format dxfId="38">
      <pivotArea collapsedLevelsAreSubtotals="1" fieldPosition="0">
        <references count="1">
          <reference field="1" count="0"/>
        </references>
      </pivotArea>
    </format>
    <format dxfId="37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6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5">
      <pivotArea dataOnly="0" outline="0" fieldPosition="0">
        <references count="1">
          <reference field="1" count="0"/>
        </references>
      </pivotArea>
    </format>
    <format dxfId="34">
      <pivotArea field="1" type="button" dataOnly="0" labelOnly="1" outline="0" axis="axisPage" fieldPosition="0"/>
    </format>
    <format dxfId="33">
      <pivotArea outline="0" collapsedLevelsAreSubtotals="1" fieldPosition="0"/>
    </format>
  </formats>
  <chartFormats count="7"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7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aDinámica4" cacheId="43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">
  <location ref="B8:C11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Reservas Vigentes" fld="1" baseField="0" baseItem="0" numFmtId="43"/>
  </dataFields>
  <formats count="8">
    <format dxfId="32">
      <pivotArea collapsedLevelsAreSubtotals="1" fieldPosition="0">
        <references count="1">
          <reference field="0" count="0"/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outline="0" axis="axisValues" fieldPosition="0"/>
    </format>
    <format dxfId="27">
      <pivotArea dataOnly="0" labelOnly="1" fieldPosition="0">
        <references count="1">
          <reference field="0" count="0"/>
        </references>
      </pivotArea>
    </format>
    <format dxfId="26">
      <pivotArea dataOnly="0" labelOnly="1" grandRow="1" outline="0" fieldPosition="0"/>
    </format>
    <format dxfId="25">
      <pivotArea dataOnly="0" labelOnly="1" outline="0" axis="axisValues" fieldPosition="0"/>
    </format>
  </format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TablaDinámica5" cacheId="4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31:D32" firstHeaderRow="0" firstDataRow="1" firstDataCol="0"/>
  <pivotFields count="4">
    <pivotField showAll="0">
      <items count="4">
        <item x="0"/>
        <item m="1" x="2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1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/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field="0" type="button" dataOnly="0" labelOnly="1" outline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field="0" type="button" dataOnly="0" labelOnly="1" outline="0"/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field="0" type="button" dataOnly="0" labelOnly="1" outline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14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6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7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laDinámica2" cacheId="4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6:E9" firstHeaderRow="0" firstDataRow="1" firstDataCol="1"/>
  <pivotFields count="4">
    <pivotField axis="axisRow" showAll="0">
      <items count="4">
        <item x="0"/>
        <item m="1" x="2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2"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0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0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5"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6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94AD76-E726-4EDC-9CEA-DD45F7E1F33A}" name="TablaDinámica2" cacheId="4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5">
  <location ref="B8:C11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UENTA X PAGAR VIGENTE" fld="1" baseField="0" baseItem="0" numFmtId="169"/>
  </dataFields>
  <formats count="1">
    <format dxfId="1">
      <pivotArea outline="0" collapsedLevelsAreSubtotals="1" fieldPosition="0"/>
    </format>
  </formats>
  <chartFormats count="3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C2ADB7-6F79-45D5-AB1F-2135A759B712}" name="TablaDinámica13" cacheId="4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J3:L4" firstHeaderRow="0" firstDataRow="1" firstDataCol="0"/>
  <pivotFields count="4">
    <pivotField showAll="0"/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uma de CXP CONSTITUIDAS_x000a_(1)" fld="1" baseField="0" baseItem="0"/>
    <dataField name="Suma de CANCELACIONES CXP_x000a_ (2)" fld="2" baseField="0" baseItem="0"/>
    <dataField name="Suma de TOTAL PAGOS_x000a_ACUMULADOS_x000a_(5)" fld="3" baseField="0" baseItem="0"/>
  </dataFields>
  <formats count="1">
    <format dxfId="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4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5" tint="-0.249977111117893"/>
  </sheetPr>
  <dimension ref="A1:B22"/>
  <sheetViews>
    <sheetView showGridLines="0" showRowColHeaders="0" tabSelected="1" zoomScale="70" zoomScaleNormal="70" workbookViewId="0">
      <selection activeCell="H11" sqref="H11"/>
    </sheetView>
  </sheetViews>
  <sheetFormatPr baseColWidth="10" defaultRowHeight="15" x14ac:dyDescent="0.25"/>
  <cols>
    <col min="1" max="1" width="16.7109375" customWidth="1"/>
    <col min="2" max="2" width="165.5703125" bestFit="1" customWidth="1"/>
  </cols>
  <sheetData>
    <row r="1" spans="1:2" ht="36" x14ac:dyDescent="0.55000000000000004">
      <c r="A1" s="89" t="s">
        <v>146</v>
      </c>
    </row>
    <row r="8" spans="1:2" ht="36" x14ac:dyDescent="0.55000000000000004">
      <c r="B8" s="65" t="s">
        <v>96</v>
      </c>
    </row>
    <row r="9" spans="1:2" ht="36" x14ac:dyDescent="0.55000000000000004">
      <c r="B9" s="63" t="s">
        <v>45</v>
      </c>
    </row>
    <row r="10" spans="1:2" ht="36" x14ac:dyDescent="0.55000000000000004">
      <c r="B10" s="63" t="s">
        <v>158</v>
      </c>
    </row>
    <row r="11" spans="1:2" ht="36" x14ac:dyDescent="0.55000000000000004">
      <c r="B11" s="63" t="s">
        <v>46</v>
      </c>
    </row>
    <row r="12" spans="1:2" ht="36" x14ac:dyDescent="0.55000000000000004">
      <c r="B12" s="63" t="s">
        <v>47</v>
      </c>
    </row>
    <row r="13" spans="1:2" ht="36" x14ac:dyDescent="0.55000000000000004">
      <c r="B13" s="64"/>
    </row>
    <row r="14" spans="1:2" ht="36" x14ac:dyDescent="0.55000000000000004">
      <c r="B14" s="65" t="s">
        <v>97</v>
      </c>
    </row>
    <row r="15" spans="1:2" ht="36" x14ac:dyDescent="0.55000000000000004">
      <c r="B15" s="63" t="s">
        <v>98</v>
      </c>
    </row>
    <row r="16" spans="1:2" ht="36" x14ac:dyDescent="0.55000000000000004">
      <c r="B16" s="63" t="s">
        <v>97</v>
      </c>
    </row>
    <row r="17" spans="2:2" ht="36" x14ac:dyDescent="0.55000000000000004">
      <c r="B17" s="13"/>
    </row>
    <row r="19" spans="2:2" ht="36" x14ac:dyDescent="0.55000000000000004">
      <c r="B19" s="65" t="s">
        <v>143</v>
      </c>
    </row>
    <row r="20" spans="2:2" ht="36" x14ac:dyDescent="0.55000000000000004">
      <c r="B20" s="63" t="s">
        <v>144</v>
      </c>
    </row>
    <row r="21" spans="2:2" ht="36" x14ac:dyDescent="0.55000000000000004">
      <c r="B21" s="63" t="s">
        <v>145</v>
      </c>
    </row>
    <row r="22" spans="2:2" ht="36" x14ac:dyDescent="0.55000000000000004">
      <c r="B22" s="88"/>
    </row>
  </sheetData>
  <hyperlinks>
    <hyperlink ref="B9" location="'Participación Apropiación '!A1" display="Porcentaje Participación de la apropiación  por concepto de Gasto" xr:uid="{00000000-0004-0000-0000-000000000000}"/>
    <hyperlink ref="B10" location="'APR VS RP  Y OBLIGACIÓN Y PAGO'!A1" display="Ejecución Acumulada al  31/05/2019" xr:uid="{00000000-0004-0000-0000-000001000000}"/>
    <hyperlink ref="B11" location="'APR,RP´S,OBL Y PAGO FUNCIONAMIE'!A1" display="Comparativo presupuesto de Funcionamiento " xr:uid="{00000000-0004-0000-0000-000002000000}"/>
    <hyperlink ref="B12" location="'INVERSIÓN APR VS RP Y OBLI'!A1" display="Detalle Ejecución Preupuestal por Proyecto de Inversión " xr:uid="{00000000-0004-0000-0000-000003000000}"/>
    <hyperlink ref="B16" location="'EJECUCIÓN  RESERVA'!A1" display="Ejecución Reserva Presupuestal Constituida" xr:uid="{00000000-0004-0000-0000-000004000000}"/>
    <hyperlink ref="B15" location="'Participación por Concepto'!A1" display="Porcentaje Participación de la Reserva por Concepto de Gasto" xr:uid="{00000000-0004-0000-0000-000005000000}"/>
    <hyperlink ref="B20" location="'PART. CUENTA X PAGAR CONCEPTO '!A1" display="Porcentaje Participación de la Cuenta por Pagar por Concepto de Gasto" xr:uid="{AC55130B-CC29-44F9-B1D7-AF40CD196286}"/>
    <hyperlink ref="B21" location="'EJECUCIÓN CUENTA POR PAGAR '!A1" display="Ejecución de la Cuenta por Pagar Constituida" xr:uid="{22F13090-CBF9-4CA4-8D59-CB20EE444C46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tabColor theme="5" tint="-0.249977111117893"/>
  </sheetPr>
  <dimension ref="A6:N75"/>
  <sheetViews>
    <sheetView showGridLines="0" showRowColHeaders="0" zoomScale="99" workbookViewId="0">
      <selection activeCell="F6" sqref="F6"/>
    </sheetView>
  </sheetViews>
  <sheetFormatPr baseColWidth="10" defaultRowHeight="15" outlineLevelRow="2" x14ac:dyDescent="0.25"/>
  <cols>
    <col min="2" max="2" width="14.28515625" bestFit="1" customWidth="1"/>
    <col min="3" max="3" width="26" bestFit="1" customWidth="1"/>
    <col min="4" max="4" width="14.140625" bestFit="1" customWidth="1"/>
    <col min="5" max="5" width="14.140625" customWidth="1"/>
    <col min="6" max="6" width="11.5703125" bestFit="1" customWidth="1"/>
  </cols>
  <sheetData>
    <row r="6" spans="2:11" ht="90" x14ac:dyDescent="0.25">
      <c r="B6" s="60" t="s">
        <v>93</v>
      </c>
      <c r="C6" s="61" t="s">
        <v>92</v>
      </c>
      <c r="D6" s="61" t="s">
        <v>94</v>
      </c>
      <c r="E6" s="61" t="s">
        <v>95</v>
      </c>
      <c r="F6" s="23"/>
    </row>
    <row r="7" spans="2:11" x14ac:dyDescent="0.25">
      <c r="B7" s="59" t="s">
        <v>26</v>
      </c>
      <c r="C7" s="58">
        <v>2249.6486331999999</v>
      </c>
      <c r="D7" s="58">
        <v>0</v>
      </c>
      <c r="E7" s="58">
        <v>2135.2183752999999</v>
      </c>
      <c r="F7" s="70"/>
    </row>
    <row r="8" spans="2:11" x14ac:dyDescent="0.25">
      <c r="B8" s="59" t="s">
        <v>128</v>
      </c>
      <c r="C8" s="58">
        <v>53197.266014589994</v>
      </c>
      <c r="D8" s="58">
        <v>0</v>
      </c>
      <c r="E8" s="58">
        <v>9593.1375234999996</v>
      </c>
      <c r="F8" s="71"/>
    </row>
    <row r="9" spans="2:11" x14ac:dyDescent="0.25">
      <c r="B9" s="59" t="s">
        <v>6</v>
      </c>
      <c r="C9" s="58">
        <v>55446.914647789992</v>
      </c>
      <c r="D9" s="58">
        <v>0</v>
      </c>
      <c r="E9" s="58">
        <v>11728.3558988</v>
      </c>
    </row>
    <row r="10" spans="2:11" x14ac:dyDescent="0.25">
      <c r="B10" s="59"/>
      <c r="C10" s="58"/>
      <c r="D10" s="58"/>
      <c r="E10" s="58"/>
    </row>
    <row r="11" spans="2:11" ht="18.75" x14ac:dyDescent="0.3">
      <c r="B11" s="124" t="s">
        <v>102</v>
      </c>
      <c r="C11" s="124"/>
      <c r="D11" s="124"/>
      <c r="E11" s="124"/>
      <c r="F11" s="124"/>
      <c r="G11" s="124"/>
    </row>
    <row r="12" spans="2:11" x14ac:dyDescent="0.25">
      <c r="H12" s="5"/>
      <c r="J12" s="5"/>
    </row>
    <row r="14" spans="2:11" x14ac:dyDescent="0.25">
      <c r="E14" s="18"/>
      <c r="F14" s="18"/>
      <c r="K14" s="72"/>
    </row>
    <row r="15" spans="2:11" x14ac:dyDescent="0.25">
      <c r="E15" s="18"/>
      <c r="F15" s="18"/>
      <c r="K15" s="70"/>
    </row>
    <row r="16" spans="2:11" x14ac:dyDescent="0.25">
      <c r="B16" s="68"/>
      <c r="C16" s="68"/>
      <c r="D16" s="68"/>
      <c r="E16" s="69"/>
      <c r="F16" s="69"/>
    </row>
    <row r="17" spans="1:14" x14ac:dyDescent="0.25">
      <c r="B17" s="68"/>
      <c r="C17" s="68"/>
      <c r="D17" s="68"/>
      <c r="E17" s="69"/>
      <c r="F17" s="69"/>
    </row>
    <row r="18" spans="1:14" x14ac:dyDescent="0.25">
      <c r="A18" s="18"/>
      <c r="B18" s="68"/>
      <c r="C18" s="68"/>
      <c r="D18" s="68"/>
      <c r="E18" s="69"/>
      <c r="F18" s="69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8"/>
      <c r="B19" s="68"/>
      <c r="C19" s="68"/>
      <c r="D19" s="68"/>
      <c r="E19" s="69"/>
      <c r="F19" s="69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18"/>
      <c r="B20" s="68"/>
      <c r="C20" s="68"/>
      <c r="D20" s="68"/>
      <c r="E20" s="69"/>
      <c r="F20" s="69"/>
      <c r="G20" s="18"/>
      <c r="H20" s="18"/>
      <c r="I20" s="91"/>
      <c r="J20" s="18"/>
      <c r="K20" s="18"/>
      <c r="L20" s="18"/>
      <c r="M20" s="18"/>
      <c r="N20" s="18"/>
    </row>
    <row r="21" spans="1:14" x14ac:dyDescent="0.25">
      <c r="A21" s="18"/>
      <c r="B21" s="68"/>
      <c r="C21" s="68"/>
      <c r="D21" s="68"/>
      <c r="E21" s="69"/>
      <c r="F21" s="69"/>
      <c r="G21" s="18"/>
      <c r="H21" s="18"/>
      <c r="I21" s="92"/>
      <c r="J21" s="18"/>
      <c r="K21" s="18"/>
      <c r="L21" s="18"/>
      <c r="M21" s="18"/>
      <c r="N21" s="18"/>
    </row>
    <row r="22" spans="1:14" x14ac:dyDescent="0.25">
      <c r="A22" s="18"/>
      <c r="B22" s="68"/>
      <c r="C22" s="68"/>
      <c r="D22" s="68"/>
      <c r="E22" s="69"/>
      <c r="F22" s="69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8"/>
      <c r="B23" s="68"/>
      <c r="C23" s="68"/>
      <c r="D23" s="68"/>
      <c r="E23" s="69"/>
      <c r="F23" s="69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68"/>
      <c r="C24" s="68"/>
      <c r="D24" s="68"/>
      <c r="E24" s="69"/>
      <c r="F24" s="69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68"/>
      <c r="C25" s="68"/>
      <c r="D25" s="68"/>
      <c r="E25" s="69"/>
      <c r="F25" s="69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69"/>
      <c r="C26" s="69"/>
      <c r="D26" s="69"/>
      <c r="E26" s="69"/>
      <c r="F26" s="69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8.75" x14ac:dyDescent="0.3">
      <c r="A28" s="18"/>
      <c r="B28" s="123" t="s">
        <v>101</v>
      </c>
      <c r="C28" s="123"/>
      <c r="D28" s="123"/>
      <c r="E28" s="123"/>
      <c r="F28" s="123"/>
      <c r="G28" s="18"/>
      <c r="H28" s="18"/>
      <c r="I28" s="18"/>
      <c r="J28" s="18"/>
      <c r="K28" s="18"/>
      <c r="L28" s="18"/>
      <c r="M28" s="18"/>
      <c r="N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45" hidden="1" outlineLevel="2" x14ac:dyDescent="0.25">
      <c r="A31" s="18"/>
      <c r="B31" s="61" t="s">
        <v>92</v>
      </c>
      <c r="C31" s="61" t="s">
        <v>94</v>
      </c>
      <c r="D31" s="61" t="s">
        <v>95</v>
      </c>
      <c r="F31" s="18"/>
      <c r="G31" s="18"/>
      <c r="H31" s="18"/>
      <c r="I31" s="18"/>
      <c r="J31" s="18"/>
      <c r="K31" s="18"/>
      <c r="L31" s="18"/>
      <c r="M31" s="18"/>
      <c r="N31" s="18"/>
    </row>
    <row r="32" spans="1:14" hidden="1" outlineLevel="2" x14ac:dyDescent="0.25">
      <c r="A32" s="18"/>
      <c r="B32" s="58">
        <v>55446.914647789992</v>
      </c>
      <c r="C32" s="58">
        <v>0</v>
      </c>
      <c r="D32" s="58">
        <v>11728.3558988</v>
      </c>
      <c r="F32" s="18"/>
      <c r="G32" s="18"/>
      <c r="H32" s="18"/>
      <c r="I32" s="18"/>
      <c r="J32" s="18"/>
      <c r="K32" s="18"/>
      <c r="L32" s="18"/>
      <c r="M32" s="18"/>
      <c r="N32" s="18"/>
    </row>
    <row r="33" spans="1:14" collapsed="1" x14ac:dyDescent="0.25">
      <c r="A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F35" s="18"/>
      <c r="G35" s="18"/>
      <c r="H35" s="18"/>
      <c r="I35" s="18"/>
      <c r="J35" s="92"/>
      <c r="K35" s="18"/>
      <c r="L35" s="18"/>
      <c r="M35" s="18"/>
      <c r="N35" s="18"/>
    </row>
    <row r="36" spans="1:14" x14ac:dyDescent="0.25">
      <c r="A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25">
      <c r="A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5">
      <c r="A42" s="18"/>
      <c r="B42" s="35"/>
      <c r="C42" s="35"/>
      <c r="D42" s="35"/>
      <c r="E42" s="35"/>
      <c r="F42" s="35"/>
      <c r="G42" s="18"/>
      <c r="H42" s="18"/>
      <c r="I42" s="18"/>
      <c r="J42" s="18"/>
      <c r="K42" s="18"/>
      <c r="L42" s="18"/>
      <c r="M42" s="18"/>
      <c r="N42" s="18"/>
    </row>
    <row r="43" spans="1:14" x14ac:dyDescent="0.25">
      <c r="A43" s="18"/>
      <c r="B43" s="35"/>
      <c r="C43" s="35"/>
      <c r="D43" s="35"/>
      <c r="E43" s="35"/>
      <c r="F43" s="35"/>
      <c r="G43" s="18"/>
      <c r="H43" s="18"/>
      <c r="I43" s="18"/>
      <c r="J43" s="18"/>
      <c r="K43" s="18"/>
      <c r="L43" s="18"/>
      <c r="M43" s="18"/>
      <c r="N43" s="18"/>
    </row>
    <row r="44" spans="1:14" hidden="1" outlineLevel="1" x14ac:dyDescent="0.25">
      <c r="A44" s="18"/>
      <c r="B44" s="115" t="s">
        <v>93</v>
      </c>
      <c r="C44" s="115" t="s">
        <v>92</v>
      </c>
      <c r="D44" s="115" t="s">
        <v>94</v>
      </c>
      <c r="E44" s="115" t="s">
        <v>95</v>
      </c>
      <c r="F44" s="115"/>
      <c r="G44" s="18"/>
      <c r="H44" s="18"/>
      <c r="I44" s="18"/>
      <c r="J44" s="18"/>
      <c r="K44" s="18"/>
      <c r="L44" s="18"/>
      <c r="M44" s="18"/>
      <c r="N44" s="18"/>
    </row>
    <row r="45" spans="1:14" hidden="1" outlineLevel="1" x14ac:dyDescent="0.25">
      <c r="A45" s="18"/>
      <c r="B45" s="104" t="s">
        <v>26</v>
      </c>
      <c r="C45" s="118">
        <f>GETPIVOTDATA("RESERVAS CONSTITUIDAS
",$B$6,"DENOMINACIÓN DEL CÓDIGO PRESUPUESTAL
","A-FUNCIONAMIENTO")</f>
        <v>2249.6486331999999</v>
      </c>
      <c r="D45" s="118">
        <f>GETPIVOTDATA("CANCELACIONES RESERVAS PRESUPUESTALES
 ",$B$6,"DENOMINACIÓN DEL CÓDIGO PRESUPUESTAL
","A-FUNCIONAMIENTO")</f>
        <v>0</v>
      </c>
      <c r="E45" s="107">
        <f>GETPIVOTDATA("PAGOS
ACUMULADOS
",$B$6,"DENOMINACIÓN DEL CÓDIGO PRESUPUESTAL
","A-FUNCIONAMIENTO")/GETPIVOTDATA("RESERVAS CONSTITUIDAS
",$B$6,"DENOMINACIÓN DEL CÓDIGO PRESUPUESTAL
","A-FUNCIONAMIENTO")</f>
        <v>0.94913416423735941</v>
      </c>
      <c r="F45" s="108"/>
      <c r="G45" s="18"/>
      <c r="H45" s="18"/>
      <c r="I45" s="18"/>
      <c r="J45" s="18"/>
      <c r="K45" s="18"/>
      <c r="L45" s="18"/>
      <c r="M45" s="18"/>
      <c r="N45" s="18"/>
    </row>
    <row r="46" spans="1:14" hidden="1" outlineLevel="1" x14ac:dyDescent="0.25">
      <c r="A46" s="35"/>
      <c r="B46" s="104" t="s">
        <v>128</v>
      </c>
      <c r="C46" s="118">
        <f>GETPIVOTDATA("RESERVAS CONSTITUIDAS
",$B$6,"DENOMINACIÓN DEL CÓDIGO PRESUPUESTAL
","C-INVERSIÓN")</f>
        <v>53197.266014589994</v>
      </c>
      <c r="D46" s="118">
        <f>GETPIVOTDATA("CANCELACIONES RESERVAS PRESUPUESTALES
 ",$B$6,"DENOMINACIÓN DEL CÓDIGO PRESUPUESTAL
","C-INVERSIÓN")</f>
        <v>0</v>
      </c>
      <c r="E46" s="106">
        <f>+GETPIVOTDATA("PAGOS
ACUMULADOS
",$B$6,"DENOMINACIÓN DEL CÓDIGO PRESUPUESTAL
","C-INVERSIÓN")/GETPIVOTDATA("RESERVAS CONSTITUIDAS
",$B$6,"DENOMINACIÓN DEL CÓDIGO PRESUPUESTAL
","C-INVERSIÓN")</f>
        <v>0.18033140125789482</v>
      </c>
      <c r="F46" s="108"/>
      <c r="G46" s="35"/>
      <c r="H46" s="35"/>
      <c r="I46" s="35"/>
      <c r="J46" s="18"/>
      <c r="K46" s="18"/>
      <c r="L46" s="18"/>
      <c r="M46" s="18"/>
      <c r="N46" s="18"/>
    </row>
    <row r="47" spans="1:14" hidden="1" outlineLevel="1" x14ac:dyDescent="0.25">
      <c r="A47" s="35"/>
      <c r="B47" s="104" t="s">
        <v>6</v>
      </c>
      <c r="C47" s="119">
        <f>+C45+C46</f>
        <v>55446.914647789992</v>
      </c>
      <c r="D47" s="118">
        <f>+D45+D46</f>
        <v>0</v>
      </c>
      <c r="E47" s="106">
        <f>+GETPIVOTDATA("PAGOS
ACUMULADOS
",$B$6)/GETPIVOTDATA("RESERVAS CONSTITUIDAS
",$B$6)</f>
        <v>0.21152404914323705</v>
      </c>
      <c r="F47" s="106"/>
      <c r="G47" s="35"/>
      <c r="H47" s="35"/>
      <c r="I47" s="35"/>
      <c r="J47" s="20"/>
      <c r="K47" s="20"/>
      <c r="L47" s="18"/>
      <c r="M47" s="18"/>
      <c r="N47" s="18"/>
    </row>
    <row r="48" spans="1:14" s="11" customFormat="1" collapsed="1" x14ac:dyDescent="0.25">
      <c r="A48" s="36"/>
      <c r="B48" s="40"/>
      <c r="C48" s="41"/>
      <c r="D48" s="42"/>
      <c r="E48" s="43"/>
      <c r="F48" s="43"/>
      <c r="G48" s="36"/>
      <c r="H48" s="36"/>
      <c r="I48" s="36"/>
      <c r="L48" s="27"/>
      <c r="M48" s="27"/>
      <c r="N48" s="27"/>
    </row>
    <row r="49" spans="1:14" s="11" customFormat="1" x14ac:dyDescent="0.25">
      <c r="A49" s="36"/>
      <c r="B49" s="36"/>
      <c r="C49" s="36"/>
      <c r="D49" s="36"/>
      <c r="E49" s="36"/>
      <c r="F49" s="36"/>
      <c r="G49" s="36"/>
      <c r="H49" s="36"/>
      <c r="I49" s="36"/>
      <c r="L49" s="27"/>
      <c r="M49" s="27"/>
      <c r="N49" s="27"/>
    </row>
    <row r="50" spans="1:14" s="11" customFormat="1" x14ac:dyDescent="0.25">
      <c r="A50" s="36"/>
      <c r="B50" s="35"/>
      <c r="C50" s="35"/>
      <c r="D50" s="35"/>
      <c r="E50" s="35"/>
      <c r="F50" s="35"/>
      <c r="G50" s="36"/>
      <c r="H50" s="36"/>
      <c r="I50" s="36"/>
      <c r="K50" s="99"/>
      <c r="L50" s="100"/>
      <c r="M50" s="27"/>
      <c r="N50" s="27"/>
    </row>
    <row r="51" spans="1:14" s="11" customFormat="1" x14ac:dyDescent="0.25">
      <c r="A51" s="36"/>
      <c r="B51" s="35"/>
      <c r="C51" s="35"/>
      <c r="D51" s="35"/>
      <c r="E51" s="35"/>
      <c r="F51" s="35"/>
      <c r="G51" s="36"/>
      <c r="H51" s="36"/>
      <c r="I51" s="36"/>
      <c r="J51" s="11">
        <f>+GETPIVOTDATA("PAGOS
ACUMULADOS
",$B$6)/GETPIVOTDATA("RESERVAS CONSTITUIDAS
",$B$6)</f>
        <v>0.21152404914323705</v>
      </c>
      <c r="K51" s="99"/>
      <c r="L51" s="100"/>
      <c r="M51" s="27"/>
      <c r="N51" s="27"/>
    </row>
    <row r="52" spans="1:14" s="11" customFormat="1" x14ac:dyDescent="0.25">
      <c r="A52" s="36"/>
      <c r="B52" s="35"/>
      <c r="C52" s="35"/>
      <c r="D52" s="35"/>
      <c r="E52" s="35"/>
      <c r="F52" s="35"/>
      <c r="G52" s="36"/>
      <c r="H52" s="36"/>
      <c r="I52" s="36"/>
      <c r="J52" s="98"/>
      <c r="K52" s="99"/>
      <c r="L52" s="100"/>
      <c r="M52" s="27"/>
      <c r="N52" s="27"/>
    </row>
    <row r="53" spans="1:14" s="11" customFormat="1" x14ac:dyDescent="0.25">
      <c r="A53" s="36"/>
      <c r="B53" s="35"/>
      <c r="C53" s="35"/>
      <c r="D53" s="35"/>
      <c r="E53" s="35"/>
      <c r="F53" s="35"/>
      <c r="G53" s="36"/>
      <c r="H53" s="36"/>
      <c r="I53" s="36"/>
      <c r="K53" s="99"/>
      <c r="L53" s="99"/>
      <c r="M53" s="28"/>
      <c r="N53" s="28"/>
    </row>
    <row r="54" spans="1:14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20"/>
      <c r="K54" s="101"/>
      <c r="L54" s="102"/>
      <c r="M54" s="29"/>
      <c r="N54" s="29"/>
    </row>
    <row r="55" spans="1:14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20"/>
      <c r="K55" s="101"/>
      <c r="L55" s="102"/>
      <c r="M55" s="29"/>
      <c r="N55" s="29"/>
    </row>
    <row r="56" spans="1:14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20"/>
      <c r="K56" s="101"/>
      <c r="L56" s="102"/>
      <c r="M56" s="29"/>
      <c r="N56" s="29"/>
    </row>
    <row r="57" spans="1:14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20"/>
      <c r="K57" s="101"/>
      <c r="L57" s="102"/>
      <c r="M57" s="29"/>
      <c r="N57" s="29"/>
    </row>
    <row r="58" spans="1:14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20"/>
      <c r="K58" s="101"/>
      <c r="L58" s="102"/>
      <c r="M58" s="29"/>
      <c r="N58" s="29"/>
    </row>
    <row r="59" spans="1:14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20"/>
      <c r="K59" s="101"/>
      <c r="L59" s="102"/>
      <c r="M59" s="29"/>
      <c r="N59" s="29"/>
    </row>
    <row r="60" spans="1:14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20"/>
      <c r="K60" s="20"/>
      <c r="L60" s="29"/>
      <c r="M60" s="29"/>
      <c r="N60" s="29"/>
    </row>
    <row r="61" spans="1:14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20"/>
      <c r="K61" s="20"/>
      <c r="L61" s="29"/>
      <c r="M61" s="29"/>
      <c r="N61" s="29"/>
    </row>
    <row r="62" spans="1:14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20"/>
      <c r="K62" s="20"/>
      <c r="L62" s="29"/>
      <c r="M62" s="29"/>
      <c r="N62" s="29"/>
    </row>
    <row r="63" spans="1:14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20"/>
      <c r="K63" s="20"/>
      <c r="L63" s="29"/>
      <c r="M63" s="29"/>
      <c r="N63" s="29"/>
    </row>
    <row r="64" spans="1:14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25"/>
      <c r="K64" s="29"/>
      <c r="L64" s="29"/>
      <c r="M64" s="29"/>
      <c r="N64" s="29"/>
    </row>
    <row r="65" spans="1:14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25"/>
      <c r="K65" s="29"/>
      <c r="L65" s="29"/>
      <c r="M65" s="29"/>
      <c r="N65" s="29"/>
    </row>
    <row r="66" spans="1:14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25"/>
      <c r="K66" s="29"/>
      <c r="L66" s="29"/>
      <c r="M66" s="29"/>
      <c r="N66" s="29"/>
    </row>
    <row r="67" spans="1:14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26"/>
    </row>
    <row r="68" spans="1:14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20"/>
    </row>
    <row r="69" spans="1:14" x14ac:dyDescent="0.25">
      <c r="A69" s="35"/>
      <c r="B69" s="35"/>
      <c r="C69" s="35"/>
      <c r="D69" s="35"/>
      <c r="E69" s="35"/>
      <c r="F69" s="35"/>
      <c r="G69" s="35"/>
      <c r="H69" s="35"/>
      <c r="I69" s="35"/>
    </row>
    <row r="70" spans="1:14" x14ac:dyDescent="0.25">
      <c r="A70" s="35"/>
      <c r="B70" s="35"/>
      <c r="C70" s="35"/>
      <c r="D70" s="35"/>
      <c r="E70" s="35"/>
      <c r="F70" s="35"/>
      <c r="G70" s="35"/>
      <c r="H70" s="35"/>
      <c r="I70" s="35"/>
    </row>
    <row r="71" spans="1:14" x14ac:dyDescent="0.25">
      <c r="A71" s="35"/>
      <c r="B71" s="14"/>
      <c r="C71" s="14"/>
      <c r="D71" s="14"/>
      <c r="E71" s="14"/>
      <c r="F71" s="14"/>
      <c r="G71" s="35"/>
      <c r="H71" s="35"/>
      <c r="I71" s="35"/>
    </row>
    <row r="72" spans="1:14" x14ac:dyDescent="0.25">
      <c r="A72" s="35"/>
      <c r="G72" s="35"/>
      <c r="H72" s="35"/>
      <c r="I72" s="35"/>
    </row>
    <row r="73" spans="1:14" x14ac:dyDescent="0.25">
      <c r="A73" s="35"/>
      <c r="G73" s="35"/>
      <c r="H73" s="35"/>
      <c r="I73" s="35"/>
    </row>
    <row r="74" spans="1:14" x14ac:dyDescent="0.25">
      <c r="A74" s="35"/>
      <c r="G74" s="35"/>
      <c r="H74" s="35"/>
      <c r="I74" s="35"/>
    </row>
    <row r="75" spans="1:14" x14ac:dyDescent="0.25">
      <c r="A75" s="14"/>
      <c r="G75" s="14"/>
      <c r="H75" s="14"/>
      <c r="I75" s="14"/>
    </row>
  </sheetData>
  <mergeCells count="2">
    <mergeCell ref="B28:F28"/>
    <mergeCell ref="B11:G11"/>
  </mergeCells>
  <pageMargins left="0.7" right="0.7" top="0.75" bottom="0.75" header="0.3" footer="0.3"/>
  <pageSetup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70BA-B5FE-4C3A-A4D1-688A1B94DB53}">
  <sheetPr codeName="Hoja12"/>
  <dimension ref="B1:G17"/>
  <sheetViews>
    <sheetView workbookViewId="0">
      <selection activeCell="E8" sqref="E8"/>
    </sheetView>
  </sheetViews>
  <sheetFormatPr baseColWidth="10" defaultRowHeight="15" x14ac:dyDescent="0.25"/>
  <cols>
    <col min="2" max="2" width="24.28515625" customWidth="1"/>
    <col min="3" max="3" width="26.7109375" bestFit="1" customWidth="1"/>
    <col min="4" max="4" width="35" customWidth="1"/>
    <col min="5" max="5" width="23" bestFit="1" customWidth="1"/>
    <col min="6" max="6" width="18" bestFit="1" customWidth="1"/>
    <col min="7" max="7" width="17.85546875" bestFit="1" customWidth="1"/>
    <col min="8" max="8" width="18" bestFit="1" customWidth="1"/>
    <col min="9" max="10" width="17.85546875" bestFit="1" customWidth="1"/>
  </cols>
  <sheetData>
    <row r="1" spans="2:7" ht="15.75" thickBot="1" x14ac:dyDescent="0.3"/>
    <row r="2" spans="2:7" ht="63.75" thickBot="1" x14ac:dyDescent="0.3">
      <c r="B2" s="45" t="s">
        <v>87</v>
      </c>
      <c r="C2" s="46" t="s">
        <v>140</v>
      </c>
      <c r="D2" s="47" t="s">
        <v>141</v>
      </c>
      <c r="E2" s="48" t="s">
        <v>90</v>
      </c>
    </row>
    <row r="3" spans="2:7" ht="16.5" thickBot="1" x14ac:dyDescent="0.3">
      <c r="B3" s="53" t="s">
        <v>26</v>
      </c>
      <c r="C3" s="54">
        <f>7893784910.4/1000000</f>
        <v>7893.7849103999997</v>
      </c>
      <c r="D3" s="55">
        <v>0</v>
      </c>
      <c r="E3" s="56">
        <f>6842420201.4/1000000</f>
        <v>6842.4202013999993</v>
      </c>
      <c r="F3" s="71"/>
      <c r="G3" s="58"/>
    </row>
    <row r="4" spans="2:7" ht="19.5" thickBot="1" x14ac:dyDescent="0.3">
      <c r="B4" s="49" t="s">
        <v>128</v>
      </c>
      <c r="C4" s="50">
        <f>182428674/1000000</f>
        <v>182.428674</v>
      </c>
      <c r="D4" s="51">
        <f>0/1000000</f>
        <v>0</v>
      </c>
      <c r="E4" s="52">
        <f>182428674/1000000</f>
        <v>182.428674</v>
      </c>
      <c r="F4" s="70"/>
      <c r="G4" s="71"/>
    </row>
    <row r="6" spans="2:7" x14ac:dyDescent="0.25">
      <c r="C6" s="57"/>
      <c r="D6" s="57"/>
      <c r="E6" s="57"/>
    </row>
    <row r="7" spans="2:7" ht="15.75" thickBot="1" x14ac:dyDescent="0.3">
      <c r="E7" s="44"/>
    </row>
    <row r="8" spans="2:7" ht="63.75" thickBot="1" x14ac:dyDescent="0.3">
      <c r="B8" s="45" t="s">
        <v>87</v>
      </c>
      <c r="C8" s="56" t="s">
        <v>142</v>
      </c>
      <c r="E8" s="44"/>
    </row>
    <row r="9" spans="2:7" ht="19.5" thickBot="1" x14ac:dyDescent="0.3">
      <c r="B9" s="53" t="s">
        <v>26</v>
      </c>
      <c r="C9" s="52">
        <f>7893784910.4/1000000</f>
        <v>7893.7849103999997</v>
      </c>
    </row>
    <row r="10" spans="2:7" ht="19.5" thickBot="1" x14ac:dyDescent="0.3">
      <c r="B10" s="49" t="s">
        <v>91</v>
      </c>
      <c r="C10" s="48">
        <f>182428674/1000000</f>
        <v>182.428674</v>
      </c>
      <c r="D10" s="67"/>
    </row>
    <row r="12" spans="2:7" x14ac:dyDescent="0.25">
      <c r="C12" s="67"/>
      <c r="D12" s="67"/>
      <c r="E12" s="67"/>
      <c r="F12" s="71"/>
      <c r="G12" s="72"/>
    </row>
    <row r="13" spans="2:7" x14ac:dyDescent="0.25">
      <c r="C13" s="44"/>
    </row>
    <row r="14" spans="2:7" x14ac:dyDescent="0.25">
      <c r="C14" s="44"/>
    </row>
    <row r="16" spans="2:7" x14ac:dyDescent="0.25">
      <c r="C16" s="44"/>
    </row>
    <row r="17" spans="3:3" x14ac:dyDescent="0.25">
      <c r="C17" s="4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DE189-FBDC-4B85-88CE-0AE8C9919750}">
  <sheetPr codeName="Hoja13">
    <tabColor theme="5" tint="-0.249977111117893"/>
    <pageSetUpPr fitToPage="1"/>
  </sheetPr>
  <dimension ref="B7:F12"/>
  <sheetViews>
    <sheetView showGridLines="0" showRowColHeaders="0" zoomScale="85" zoomScaleNormal="85" workbookViewId="0">
      <selection activeCell="E9" sqref="E9"/>
    </sheetView>
  </sheetViews>
  <sheetFormatPr baseColWidth="10" defaultRowHeight="15" x14ac:dyDescent="0.25"/>
  <cols>
    <col min="2" max="2" width="19.85546875" bestFit="1" customWidth="1"/>
    <col min="3" max="3" width="25" bestFit="1" customWidth="1"/>
    <col min="4" max="4" width="11" bestFit="1" customWidth="1"/>
    <col min="5" max="5" width="12.5703125" bestFit="1" customWidth="1"/>
  </cols>
  <sheetData>
    <row r="7" spans="2:6" x14ac:dyDescent="0.25">
      <c r="B7" s="2"/>
      <c r="C7" s="23"/>
    </row>
    <row r="8" spans="2:6" x14ac:dyDescent="0.25">
      <c r="B8" s="4" t="s">
        <v>5</v>
      </c>
      <c r="C8" t="s">
        <v>147</v>
      </c>
    </row>
    <row r="9" spans="2:6" x14ac:dyDescent="0.25">
      <c r="B9" s="2" t="s">
        <v>26</v>
      </c>
      <c r="C9" s="58">
        <v>7893.7849103999997</v>
      </c>
    </row>
    <row r="10" spans="2:6" x14ac:dyDescent="0.25">
      <c r="B10" s="2" t="s">
        <v>91</v>
      </c>
      <c r="C10" s="58">
        <v>182.428674</v>
      </c>
    </row>
    <row r="11" spans="2:6" x14ac:dyDescent="0.25">
      <c r="B11" s="2" t="s">
        <v>6</v>
      </c>
      <c r="C11" s="58">
        <v>8076.2135843999995</v>
      </c>
      <c r="D11" s="66" t="s">
        <v>103</v>
      </c>
    </row>
    <row r="12" spans="2:6" x14ac:dyDescent="0.25">
      <c r="F12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7C28-0C4C-49C0-B53A-3107A69136B4}">
  <sheetPr codeName="Hoja15">
    <tabColor theme="5" tint="-0.249977111117893"/>
  </sheetPr>
  <dimension ref="A3:N76"/>
  <sheetViews>
    <sheetView showGridLines="0" zoomScaleNormal="100" workbookViewId="0">
      <selection activeCell="O6" sqref="O6"/>
    </sheetView>
  </sheetViews>
  <sheetFormatPr baseColWidth="10" defaultRowHeight="15" outlineLevelRow="2" x14ac:dyDescent="0.25"/>
  <cols>
    <col min="2" max="2" width="20" bestFit="1" customWidth="1"/>
    <col min="3" max="3" width="18.28515625" bestFit="1" customWidth="1"/>
    <col min="4" max="4" width="19.85546875" bestFit="1" customWidth="1"/>
    <col min="5" max="5" width="13.42578125" bestFit="1" customWidth="1"/>
    <col min="6" max="6" width="11.5703125" bestFit="1" customWidth="1"/>
    <col min="10" max="10" width="30.28515625" hidden="1" customWidth="1"/>
    <col min="11" max="11" width="32.42578125" hidden="1" customWidth="1"/>
    <col min="12" max="12" width="40.140625" hidden="1" customWidth="1"/>
  </cols>
  <sheetData>
    <row r="3" spans="2:12" x14ac:dyDescent="0.25">
      <c r="J3" t="s">
        <v>148</v>
      </c>
      <c r="K3" t="s">
        <v>149</v>
      </c>
      <c r="L3" t="s">
        <v>150</v>
      </c>
    </row>
    <row r="4" spans="2:12" x14ac:dyDescent="0.25">
      <c r="J4" s="58">
        <v>8076.2135843999995</v>
      </c>
      <c r="K4" s="58">
        <v>0</v>
      </c>
      <c r="L4" s="58">
        <v>7024.8488753999991</v>
      </c>
    </row>
    <row r="6" spans="2:12" x14ac:dyDescent="0.25">
      <c r="B6" s="4" t="s">
        <v>5</v>
      </c>
      <c r="C6" t="s">
        <v>151</v>
      </c>
      <c r="D6" t="s">
        <v>152</v>
      </c>
      <c r="E6" t="s">
        <v>153</v>
      </c>
    </row>
    <row r="7" spans="2:12" x14ac:dyDescent="0.25">
      <c r="B7" s="2" t="s">
        <v>26</v>
      </c>
      <c r="C7" s="58">
        <v>7893.7849103999997</v>
      </c>
      <c r="D7" s="58">
        <v>0</v>
      </c>
      <c r="E7" s="58">
        <v>6842.4202013999993</v>
      </c>
    </row>
    <row r="8" spans="2:12" x14ac:dyDescent="0.25">
      <c r="B8" s="2" t="s">
        <v>128</v>
      </c>
      <c r="C8" s="58">
        <v>182.428674</v>
      </c>
      <c r="D8" s="58">
        <v>0</v>
      </c>
      <c r="E8" s="58">
        <v>182.428674</v>
      </c>
    </row>
    <row r="9" spans="2:12" x14ac:dyDescent="0.25">
      <c r="B9" s="2" t="s">
        <v>6</v>
      </c>
      <c r="C9" s="58">
        <v>8076.2135843999995</v>
      </c>
      <c r="D9" s="58">
        <v>0</v>
      </c>
      <c r="E9" s="58">
        <v>7024.8488753999991</v>
      </c>
    </row>
    <row r="11" spans="2:12" x14ac:dyDescent="0.25">
      <c r="B11" s="59"/>
      <c r="C11" s="58"/>
      <c r="D11" s="58"/>
      <c r="E11" s="58"/>
    </row>
    <row r="12" spans="2:12" ht="18.75" x14ac:dyDescent="0.3">
      <c r="B12" s="124" t="s">
        <v>155</v>
      </c>
      <c r="C12" s="124"/>
      <c r="D12" s="124"/>
      <c r="E12" s="124"/>
      <c r="F12" s="124"/>
      <c r="G12" s="124"/>
    </row>
    <row r="13" spans="2:12" x14ac:dyDescent="0.25">
      <c r="H13" s="5"/>
    </row>
    <row r="15" spans="2:12" x14ac:dyDescent="0.25">
      <c r="E15" s="18"/>
      <c r="F15" s="18"/>
    </row>
    <row r="16" spans="2:12" x14ac:dyDescent="0.25">
      <c r="E16" s="18"/>
      <c r="F16" s="18"/>
    </row>
    <row r="17" spans="1:14" x14ac:dyDescent="0.25">
      <c r="B17" s="68"/>
      <c r="C17" s="68"/>
      <c r="D17" s="68"/>
      <c r="E17" s="69"/>
      <c r="F17" s="69"/>
    </row>
    <row r="18" spans="1:14" x14ac:dyDescent="0.25">
      <c r="B18" s="68"/>
      <c r="C18" s="68"/>
      <c r="D18" s="68"/>
      <c r="E18" s="69"/>
      <c r="F18" s="69"/>
    </row>
    <row r="19" spans="1:14" x14ac:dyDescent="0.25">
      <c r="A19" s="18"/>
      <c r="B19" s="68"/>
      <c r="C19" s="68"/>
      <c r="D19" s="68"/>
      <c r="E19" s="69"/>
      <c r="F19" s="69"/>
      <c r="G19" s="18"/>
      <c r="H19" s="18"/>
      <c r="I19" s="18"/>
      <c r="M19" s="18"/>
      <c r="N19" s="18"/>
    </row>
    <row r="20" spans="1:14" x14ac:dyDescent="0.25">
      <c r="A20" s="18"/>
      <c r="B20" s="68"/>
      <c r="C20" s="68"/>
      <c r="D20" s="68"/>
      <c r="E20" s="69"/>
      <c r="F20" s="69"/>
      <c r="G20" s="18"/>
      <c r="H20" s="18"/>
      <c r="I20" s="90"/>
      <c r="M20" s="92"/>
      <c r="N20" s="18"/>
    </row>
    <row r="21" spans="1:14" x14ac:dyDescent="0.25">
      <c r="A21" s="18"/>
      <c r="B21" s="68"/>
      <c r="C21" s="68"/>
      <c r="D21" s="68"/>
      <c r="E21" s="69"/>
      <c r="F21" s="69"/>
      <c r="G21" s="18"/>
      <c r="H21" s="18"/>
      <c r="I21" s="92"/>
      <c r="J21" s="18"/>
      <c r="K21" s="18"/>
      <c r="L21" s="18"/>
      <c r="M21" s="18"/>
      <c r="N21" s="18"/>
    </row>
    <row r="22" spans="1:14" x14ac:dyDescent="0.25">
      <c r="A22" s="18"/>
      <c r="B22" s="68"/>
      <c r="C22" s="68"/>
      <c r="D22" s="68"/>
      <c r="E22" s="69"/>
      <c r="F22" s="69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8"/>
      <c r="B23" s="68"/>
      <c r="C23" s="68"/>
      <c r="D23" s="68"/>
      <c r="E23" s="69"/>
      <c r="F23" s="69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68"/>
      <c r="C24" s="68"/>
      <c r="D24" s="68"/>
      <c r="E24" s="69"/>
      <c r="F24" s="69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68"/>
      <c r="C25" s="68"/>
      <c r="D25" s="68"/>
      <c r="E25" s="69"/>
      <c r="F25" s="69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68"/>
      <c r="C26" s="68"/>
      <c r="D26" s="68"/>
      <c r="E26" s="69"/>
      <c r="F26" s="69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69"/>
      <c r="C27" s="69"/>
      <c r="D27" s="69"/>
      <c r="E27" s="69"/>
      <c r="F27" s="69"/>
      <c r="G27" s="18"/>
      <c r="H27" s="18"/>
      <c r="I27" s="18"/>
      <c r="J27" s="18"/>
      <c r="K27" s="18"/>
      <c r="L27" s="18"/>
      <c r="M27" s="18"/>
      <c r="N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8.75" x14ac:dyDescent="0.3">
      <c r="A29" s="18"/>
      <c r="B29" s="123" t="s">
        <v>154</v>
      </c>
      <c r="C29" s="123"/>
      <c r="D29" s="123"/>
      <c r="E29" s="123"/>
      <c r="F29" s="123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outlineLevel="2" x14ac:dyDescent="0.25">
      <c r="A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outlineLevel="2" x14ac:dyDescent="0.25">
      <c r="A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5">
      <c r="A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25">
      <c r="A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25">
      <c r="A41" s="18"/>
      <c r="F41" s="18"/>
      <c r="G41" s="18"/>
      <c r="H41" s="18"/>
      <c r="I41" s="18"/>
      <c r="J41" s="18"/>
      <c r="K41" s="18"/>
      <c r="L41" s="18"/>
      <c r="M41" s="92"/>
      <c r="N41" s="18"/>
    </row>
    <row r="42" spans="1:14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x14ac:dyDescent="0.25">
      <c r="A43" s="18"/>
      <c r="B43" s="35"/>
      <c r="C43" s="35"/>
      <c r="D43" s="35"/>
      <c r="E43" s="35"/>
      <c r="F43" s="35"/>
      <c r="G43" s="18"/>
      <c r="H43" s="18"/>
      <c r="I43" s="18"/>
      <c r="J43" s="18"/>
      <c r="K43" s="18"/>
      <c r="L43" s="18"/>
      <c r="M43" s="18"/>
      <c r="N43" s="18"/>
    </row>
    <row r="44" spans="1:14" x14ac:dyDescent="0.25">
      <c r="A44" s="18"/>
      <c r="B44" s="35"/>
      <c r="C44" s="35"/>
      <c r="D44" s="35"/>
      <c r="E44" s="35"/>
      <c r="F44" s="35"/>
      <c r="G44" s="18"/>
      <c r="H44" s="92"/>
      <c r="I44" s="18"/>
      <c r="J44" s="18"/>
      <c r="K44" s="18"/>
      <c r="L44" s="18"/>
      <c r="M44" s="18"/>
      <c r="N44" s="18"/>
    </row>
    <row r="45" spans="1:14" hidden="1" outlineLevel="1" x14ac:dyDescent="0.25">
      <c r="A45" s="18"/>
      <c r="B45" s="115" t="s">
        <v>93</v>
      </c>
      <c r="C45" s="115" t="s">
        <v>92</v>
      </c>
      <c r="D45" s="115" t="s">
        <v>94</v>
      </c>
      <c r="E45" s="115" t="s">
        <v>95</v>
      </c>
      <c r="F45" s="37"/>
      <c r="G45" s="18"/>
      <c r="H45" s="18"/>
      <c r="I45" s="18"/>
      <c r="J45" s="18"/>
      <c r="K45" s="18"/>
      <c r="L45" s="18"/>
      <c r="M45" s="18"/>
      <c r="N45" s="18"/>
    </row>
    <row r="46" spans="1:14" hidden="1" outlineLevel="1" x14ac:dyDescent="0.25">
      <c r="A46" s="18"/>
      <c r="B46" s="104" t="s">
        <v>26</v>
      </c>
      <c r="C46" s="118">
        <f>GETPIVOTDATA("CXP CONSTITUIDAS",$B$6,"DENOMINACIÓN DEL CÓDIGO PRESUPUESTAL
","A-FUNCIONAMIENTO")</f>
        <v>7893.7849103999997</v>
      </c>
      <c r="D46" s="119">
        <f>GETPIVOTDATA("CANCELACIONES CXP",$B$6,"DENOMINACIÓN DEL CÓDIGO PRESUPUESTAL
","A-FUNCIONAMIENTO")</f>
        <v>0</v>
      </c>
      <c r="E46" s="107">
        <f>GETPIVOTDATA("TOTAL PAGOS",$B$6,"DENOMINACIÓN DEL CÓDIGO PRESUPUESTAL
","A-FUNCIONAMIENTO")/GETPIVOTDATA("CXP CONSTITUIDAS",$B$6,"DENOMINACIÓN DEL CÓDIGO PRESUPUESTAL
","A-FUNCIONAMIENTO")</f>
        <v>0.86681107720393602</v>
      </c>
      <c r="F46" s="38"/>
      <c r="G46" s="18"/>
      <c r="H46" s="18"/>
      <c r="I46" s="18"/>
      <c r="J46" s="18"/>
      <c r="K46" s="18"/>
      <c r="L46" s="18"/>
      <c r="M46" s="18"/>
      <c r="N46" s="18"/>
    </row>
    <row r="47" spans="1:14" hidden="1" outlineLevel="1" x14ac:dyDescent="0.25">
      <c r="A47" s="35"/>
      <c r="B47" s="104" t="s">
        <v>128</v>
      </c>
      <c r="C47" s="118">
        <f>GETPIVOTDATA("CXP CONSTITUIDAS",$B$6,"DENOMINACIÓN DEL CÓDIGO PRESUPUESTAL
","C-INVERSIÓN")</f>
        <v>182.428674</v>
      </c>
      <c r="D47" s="119">
        <f>GETPIVOTDATA("CANCELACIONES CXP",$B$6,"DENOMINACIÓN DEL CÓDIGO PRESUPUESTAL
","C-INVERSIÓN")</f>
        <v>0</v>
      </c>
      <c r="E47" s="106">
        <f>+GETPIVOTDATA("TOTAL PAGOS",$B$6,"DENOMINACIÓN DEL CÓDIGO PRESUPUESTAL
","C-INVERSIÓN")/GETPIVOTDATA("CXP CONSTITUIDAS",$B$6,"DENOMINACIÓN DEL CÓDIGO PRESUPUESTAL
","C-INVERSIÓN")</f>
        <v>1</v>
      </c>
      <c r="F47" s="38"/>
      <c r="G47" s="35"/>
      <c r="H47" s="35"/>
      <c r="I47" s="35"/>
      <c r="J47" s="18"/>
      <c r="K47" s="18"/>
      <c r="L47" s="18"/>
      <c r="M47" s="18"/>
      <c r="N47" s="18"/>
    </row>
    <row r="48" spans="1:14" hidden="1" outlineLevel="1" x14ac:dyDescent="0.25">
      <c r="A48" s="35"/>
      <c r="B48" s="104" t="s">
        <v>6</v>
      </c>
      <c r="C48" s="119">
        <f>+C46+C47</f>
        <v>8076.2135843999995</v>
      </c>
      <c r="D48" s="119">
        <f>GETPIVOTDATA("CANCELACIONES CXP",$B$6)</f>
        <v>0</v>
      </c>
      <c r="E48" s="106">
        <f>+GETPIVOTDATA("TOTAL PAGOS",$B$6)/GETPIVOTDATA("CXP CONSTITUIDAS",$B$6)</f>
        <v>0.86981960073086539</v>
      </c>
      <c r="F48" s="39"/>
      <c r="G48" s="35"/>
      <c r="H48" s="35"/>
      <c r="I48" s="35"/>
      <c r="J48" s="20"/>
      <c r="K48" s="20"/>
      <c r="L48" s="18"/>
      <c r="M48" s="18"/>
      <c r="N48" s="18"/>
    </row>
    <row r="49" spans="1:14" s="11" customFormat="1" collapsed="1" x14ac:dyDescent="0.25">
      <c r="A49" s="36"/>
      <c r="B49" s="40"/>
      <c r="C49" s="41"/>
      <c r="D49" s="42"/>
      <c r="E49" s="43"/>
      <c r="F49" s="43"/>
      <c r="G49" s="36"/>
      <c r="H49" s="36"/>
      <c r="I49" s="36"/>
      <c r="L49" s="27"/>
      <c r="M49" s="27"/>
      <c r="N49" s="27"/>
    </row>
    <row r="50" spans="1:14" s="11" customFormat="1" x14ac:dyDescent="0.25">
      <c r="A50" s="36"/>
      <c r="B50" s="36"/>
      <c r="C50" s="36"/>
      <c r="D50" s="36"/>
      <c r="E50" s="36"/>
      <c r="F50" s="36"/>
      <c r="G50" s="36"/>
      <c r="H50" s="36"/>
      <c r="I50" s="36"/>
      <c r="L50" s="27"/>
      <c r="M50" s="27"/>
      <c r="N50" s="27"/>
    </row>
    <row r="51" spans="1:14" s="11" customFormat="1" x14ac:dyDescent="0.25">
      <c r="A51" s="36"/>
      <c r="B51" s="35"/>
      <c r="C51" s="35"/>
      <c r="D51" s="35"/>
      <c r="E51" s="35"/>
      <c r="F51" s="35"/>
      <c r="G51" s="36"/>
      <c r="H51" s="36"/>
      <c r="I51" s="36"/>
      <c r="L51" s="27"/>
      <c r="M51" s="27"/>
      <c r="N51" s="27"/>
    </row>
    <row r="52" spans="1:14" s="11" customFormat="1" x14ac:dyDescent="0.25">
      <c r="A52" s="36"/>
      <c r="B52" s="35"/>
      <c r="C52" s="35"/>
      <c r="D52" s="35"/>
      <c r="E52" s="35"/>
      <c r="F52" s="35"/>
      <c r="G52" s="36"/>
      <c r="H52" s="36"/>
      <c r="I52" s="36"/>
      <c r="L52" s="27"/>
      <c r="M52" s="27"/>
      <c r="N52" s="27"/>
    </row>
    <row r="53" spans="1:14" s="11" customFormat="1" x14ac:dyDescent="0.25">
      <c r="A53" s="36"/>
      <c r="B53" s="35"/>
      <c r="C53" s="35"/>
      <c r="D53" s="35"/>
      <c r="E53" s="35"/>
      <c r="F53" s="35"/>
      <c r="G53" s="36"/>
      <c r="H53" s="36"/>
      <c r="I53" s="36"/>
      <c r="L53" s="27"/>
      <c r="M53" s="27"/>
      <c r="N53" s="27"/>
    </row>
    <row r="54" spans="1:14" s="11" customFormat="1" x14ac:dyDescent="0.25">
      <c r="A54" s="36"/>
      <c r="B54" s="35"/>
      <c r="C54" s="35"/>
      <c r="D54" s="35"/>
      <c r="E54" s="35"/>
      <c r="F54" s="35"/>
      <c r="G54" s="36"/>
      <c r="H54" s="36"/>
      <c r="I54" s="36"/>
      <c r="L54" s="28"/>
      <c r="M54" s="28"/>
      <c r="N54" s="28"/>
    </row>
    <row r="55" spans="1:14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20"/>
      <c r="K55" s="20"/>
      <c r="L55" s="29"/>
      <c r="M55" s="29"/>
      <c r="N55" s="29"/>
    </row>
    <row r="56" spans="1:14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20"/>
      <c r="K56" s="20"/>
      <c r="L56" s="29"/>
      <c r="M56" s="29"/>
      <c r="N56" s="29"/>
    </row>
    <row r="57" spans="1:14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20"/>
      <c r="K57" s="20"/>
      <c r="L57" s="29"/>
      <c r="M57" s="29"/>
      <c r="N57" s="29"/>
    </row>
    <row r="58" spans="1:14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20"/>
      <c r="K58" s="20"/>
      <c r="L58" s="29"/>
      <c r="M58" s="29"/>
      <c r="N58" s="29"/>
    </row>
    <row r="59" spans="1:14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20"/>
      <c r="K59" s="20"/>
      <c r="L59" s="29"/>
      <c r="M59" s="29"/>
      <c r="N59" s="29"/>
    </row>
    <row r="60" spans="1:14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20"/>
      <c r="K60" s="20"/>
      <c r="L60" s="29"/>
      <c r="M60" s="29"/>
      <c r="N60" s="29"/>
    </row>
    <row r="61" spans="1:14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20"/>
      <c r="K61" s="20"/>
      <c r="L61" s="29"/>
      <c r="M61" s="29"/>
      <c r="N61" s="29"/>
    </row>
    <row r="62" spans="1:14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20"/>
      <c r="K62" s="20"/>
      <c r="L62" s="29"/>
      <c r="M62" s="29"/>
      <c r="N62" s="29"/>
    </row>
    <row r="63" spans="1:14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20"/>
      <c r="K63" s="20"/>
      <c r="L63" s="29"/>
      <c r="M63" s="29"/>
      <c r="N63" s="29"/>
    </row>
    <row r="64" spans="1:14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20"/>
      <c r="K64" s="20"/>
      <c r="L64" s="29"/>
      <c r="M64" s="29"/>
      <c r="N64" s="29"/>
    </row>
    <row r="65" spans="1:14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25"/>
      <c r="K65" s="29"/>
      <c r="L65" s="29"/>
      <c r="M65" s="29"/>
      <c r="N65" s="29"/>
    </row>
    <row r="66" spans="1:14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25"/>
      <c r="K66" s="29"/>
      <c r="L66" s="29"/>
      <c r="M66" s="29"/>
      <c r="N66" s="29"/>
    </row>
    <row r="67" spans="1:14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25"/>
      <c r="K67" s="29"/>
      <c r="L67" s="29"/>
      <c r="M67" s="29"/>
      <c r="N67" s="29"/>
    </row>
    <row r="68" spans="1:14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26"/>
    </row>
    <row r="69" spans="1:14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20"/>
    </row>
    <row r="70" spans="1:14" x14ac:dyDescent="0.25">
      <c r="A70" s="35"/>
      <c r="B70" s="35"/>
      <c r="C70" s="35"/>
      <c r="D70" s="35"/>
      <c r="E70" s="35"/>
      <c r="F70" s="35"/>
      <c r="G70" s="35"/>
      <c r="H70" s="35"/>
      <c r="I70" s="35"/>
    </row>
    <row r="71" spans="1:14" x14ac:dyDescent="0.25">
      <c r="A71" s="35"/>
      <c r="B71" s="35"/>
      <c r="C71" s="35"/>
      <c r="D71" s="35"/>
      <c r="E71" s="35"/>
      <c r="F71" s="35"/>
      <c r="G71" s="35"/>
      <c r="H71" s="35"/>
      <c r="I71" s="35"/>
    </row>
    <row r="72" spans="1:14" x14ac:dyDescent="0.25">
      <c r="A72" s="35"/>
      <c r="B72" s="14"/>
      <c r="C72" s="14"/>
      <c r="D72" s="14"/>
      <c r="E72" s="14"/>
      <c r="F72" s="14"/>
      <c r="G72" s="35"/>
      <c r="H72" s="35"/>
      <c r="I72" s="35"/>
    </row>
    <row r="73" spans="1:14" x14ac:dyDescent="0.25">
      <c r="A73" s="35"/>
      <c r="G73" s="35"/>
      <c r="H73" s="35"/>
      <c r="I73" s="35"/>
    </row>
    <row r="74" spans="1:14" x14ac:dyDescent="0.25">
      <c r="A74" s="35"/>
      <c r="G74" s="35"/>
      <c r="H74" s="35"/>
      <c r="I74" s="35"/>
    </row>
    <row r="75" spans="1:14" x14ac:dyDescent="0.25">
      <c r="A75" s="35"/>
      <c r="G75" s="35"/>
      <c r="H75" s="35"/>
      <c r="I75" s="35"/>
    </row>
    <row r="76" spans="1:14" x14ac:dyDescent="0.25">
      <c r="A76" s="14"/>
      <c r="G76" s="14"/>
      <c r="H76" s="14"/>
      <c r="I76" s="14"/>
    </row>
  </sheetData>
  <mergeCells count="2">
    <mergeCell ref="B12:G12"/>
    <mergeCell ref="B29:F29"/>
  </mergeCell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5" tint="-0.249977111117893"/>
    <pageSetUpPr fitToPage="1"/>
  </sheetPr>
  <dimension ref="B6:F39"/>
  <sheetViews>
    <sheetView showGridLines="0" showRowColHeaders="0" zoomScaleNormal="100" workbookViewId="0">
      <selection activeCell="C6" sqref="C6"/>
      <pivotSelection pane="bottomRight" showHeader="1" extendable="1" activeRow="5" activeCol="2" previousRow="5" previousCol="2" click="1" r:id="rId1">
        <pivotArea dataOnly="0" outline="0" axis="axisValues" fieldPosition="0"/>
      </pivotSelection>
    </sheetView>
  </sheetViews>
  <sheetFormatPr baseColWidth="10" defaultRowHeight="15" x14ac:dyDescent="0.25"/>
  <cols>
    <col min="2" max="2" width="31.140625" bestFit="1" customWidth="1"/>
    <col min="3" max="3" width="23.5703125" customWidth="1"/>
  </cols>
  <sheetData>
    <row r="6" spans="2:6" x14ac:dyDescent="0.25">
      <c r="B6" s="4" t="s">
        <v>5</v>
      </c>
      <c r="C6" t="s">
        <v>21</v>
      </c>
    </row>
    <row r="7" spans="2:6" x14ac:dyDescent="0.25">
      <c r="B7" s="2" t="s">
        <v>26</v>
      </c>
      <c r="C7" s="23">
        <v>99785.985369999995</v>
      </c>
    </row>
    <row r="8" spans="2:6" x14ac:dyDescent="0.25">
      <c r="B8" s="2" t="s">
        <v>27</v>
      </c>
      <c r="C8" s="23">
        <v>1167604.3350470001</v>
      </c>
    </row>
    <row r="9" spans="2:6" x14ac:dyDescent="0.25">
      <c r="B9" s="2" t="s">
        <v>28</v>
      </c>
      <c r="C9" s="23">
        <v>4505182.0250120005</v>
      </c>
    </row>
    <row r="10" spans="2:6" x14ac:dyDescent="0.25">
      <c r="B10" s="2" t="s">
        <v>6</v>
      </c>
      <c r="C10" s="23">
        <v>5772572.3454290004</v>
      </c>
    </row>
    <row r="12" spans="2:6" x14ac:dyDescent="0.25">
      <c r="F12" s="5"/>
    </row>
    <row r="38" ht="14.25" customHeight="1" x14ac:dyDescent="0.25"/>
    <row r="39" hidden="1" x14ac:dyDescent="0.25"/>
  </sheetData>
  <pageMargins left="0.70866141732283472" right="0.70866141732283472" top="0.74803149606299213" bottom="0.74803149606299213" header="0.31496062992125984" footer="0.31496062992125984"/>
  <pageSetup scale="74" orientation="landscape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G21"/>
  <sheetViews>
    <sheetView zoomScale="86" zoomScaleNormal="86" workbookViewId="0">
      <selection activeCell="C17" sqref="C17"/>
    </sheetView>
  </sheetViews>
  <sheetFormatPr baseColWidth="10" defaultRowHeight="15" x14ac:dyDescent="0.25"/>
  <cols>
    <col min="1" max="1" width="28.7109375" style="3" customWidth="1"/>
    <col min="2" max="2" width="46" customWidth="1"/>
    <col min="3" max="3" width="29" style="1" customWidth="1"/>
    <col min="4" max="5" width="26.7109375" style="1" bestFit="1" customWidth="1"/>
    <col min="6" max="6" width="27" style="1" customWidth="1"/>
    <col min="7" max="7" width="26.28515625" style="1" customWidth="1"/>
  </cols>
  <sheetData>
    <row r="1" spans="1:7" ht="30" x14ac:dyDescent="0.25">
      <c r="A1" s="30" t="s">
        <v>0</v>
      </c>
      <c r="B1" s="30" t="s">
        <v>1</v>
      </c>
      <c r="C1" s="31" t="s">
        <v>7</v>
      </c>
      <c r="D1" s="31" t="s">
        <v>8</v>
      </c>
      <c r="E1" s="31" t="s">
        <v>9</v>
      </c>
      <c r="F1" s="31" t="s">
        <v>10</v>
      </c>
      <c r="G1" s="31" t="s">
        <v>11</v>
      </c>
    </row>
    <row r="2" spans="1:7" x14ac:dyDescent="0.25">
      <c r="A2" s="32" t="s">
        <v>2</v>
      </c>
      <c r="B2" s="34" t="s">
        <v>26</v>
      </c>
      <c r="C2" s="33">
        <f>+C12/1000000</f>
        <v>99785.985369999995</v>
      </c>
      <c r="D2" s="33">
        <f t="shared" ref="D2:G2" si="0">+D12/1000000</f>
        <v>63518.306918000002</v>
      </c>
      <c r="E2" s="33">
        <f t="shared" si="0"/>
        <v>19116.617771880003</v>
      </c>
      <c r="F2" s="33">
        <f t="shared" si="0"/>
        <v>9503.2423856200003</v>
      </c>
      <c r="G2" s="33">
        <f t="shared" si="0"/>
        <v>8616.35397362</v>
      </c>
    </row>
    <row r="3" spans="1:7" x14ac:dyDescent="0.25">
      <c r="A3" s="32" t="s">
        <v>22</v>
      </c>
      <c r="B3" s="34" t="s">
        <v>29</v>
      </c>
      <c r="C3" s="33">
        <f t="shared" ref="C3:G8" si="1">+C13/1000000</f>
        <v>51464.345000000001</v>
      </c>
      <c r="D3" s="33">
        <f t="shared" si="1"/>
        <v>49182.286999999997</v>
      </c>
      <c r="E3" s="33">
        <f t="shared" si="1"/>
        <v>6953.7531133299999</v>
      </c>
      <c r="F3" s="33">
        <f t="shared" si="1"/>
        <v>6953.7531133299999</v>
      </c>
      <c r="G3" s="33">
        <f t="shared" si="1"/>
        <v>6068.9383403299998</v>
      </c>
    </row>
    <row r="4" spans="1:7" x14ac:dyDescent="0.25">
      <c r="A4" s="32" t="s">
        <v>23</v>
      </c>
      <c r="B4" s="34" t="s">
        <v>30</v>
      </c>
      <c r="C4" s="33">
        <f t="shared" si="1"/>
        <v>19419.071</v>
      </c>
      <c r="D4" s="33">
        <f t="shared" si="1"/>
        <v>14103.505918000001</v>
      </c>
      <c r="E4" s="33">
        <f t="shared" si="1"/>
        <v>12131.539118190001</v>
      </c>
      <c r="F4" s="33">
        <f t="shared" si="1"/>
        <v>2518.2949529299999</v>
      </c>
      <c r="G4" s="33">
        <f t="shared" si="1"/>
        <v>2516.2213139299997</v>
      </c>
    </row>
    <row r="5" spans="1:7" x14ac:dyDescent="0.25">
      <c r="A5" s="32" t="s">
        <v>24</v>
      </c>
      <c r="B5" s="34" t="s">
        <v>31</v>
      </c>
      <c r="C5" s="33">
        <f t="shared" si="1"/>
        <v>14851.09737</v>
      </c>
      <c r="D5" s="33">
        <f t="shared" si="1"/>
        <v>232.51400000000001</v>
      </c>
      <c r="E5" s="33">
        <f t="shared" si="1"/>
        <v>31.325540359999998</v>
      </c>
      <c r="F5" s="33">
        <f t="shared" si="1"/>
        <v>31.194319359999998</v>
      </c>
      <c r="G5" s="33">
        <f t="shared" si="1"/>
        <v>31.194319359999998</v>
      </c>
    </row>
    <row r="6" spans="1:7" ht="30" x14ac:dyDescent="0.25">
      <c r="A6" s="32" t="s">
        <v>25</v>
      </c>
      <c r="B6" s="34" t="s">
        <v>32</v>
      </c>
      <c r="C6" s="33">
        <f t="shared" si="1"/>
        <v>14051.472</v>
      </c>
      <c r="D6" s="33">
        <f t="shared" si="1"/>
        <v>0</v>
      </c>
      <c r="E6" s="33">
        <f t="shared" si="1"/>
        <v>0</v>
      </c>
      <c r="F6" s="33">
        <f t="shared" si="1"/>
        <v>0</v>
      </c>
      <c r="G6" s="33">
        <f t="shared" si="1"/>
        <v>0</v>
      </c>
    </row>
    <row r="7" spans="1:7" x14ac:dyDescent="0.25">
      <c r="A7" s="32" t="s">
        <v>3</v>
      </c>
      <c r="B7" s="34" t="s">
        <v>27</v>
      </c>
      <c r="C7" s="33">
        <f t="shared" si="1"/>
        <v>1167604.3350470001</v>
      </c>
      <c r="D7" s="33">
        <f t="shared" si="1"/>
        <v>0</v>
      </c>
      <c r="E7" s="33">
        <f t="shared" si="1"/>
        <v>0</v>
      </c>
      <c r="F7" s="33">
        <f t="shared" si="1"/>
        <v>0</v>
      </c>
      <c r="G7" s="33">
        <f t="shared" si="1"/>
        <v>0</v>
      </c>
    </row>
    <row r="8" spans="1:7" x14ac:dyDescent="0.25">
      <c r="A8" s="32" t="s">
        <v>4</v>
      </c>
      <c r="B8" s="34" t="s">
        <v>28</v>
      </c>
      <c r="C8" s="33">
        <f t="shared" si="1"/>
        <v>4505182.0250120005</v>
      </c>
      <c r="D8" s="33">
        <f t="shared" si="1"/>
        <v>4322970.6842790004</v>
      </c>
      <c r="E8" s="33">
        <f t="shared" si="1"/>
        <v>4297736.3522624597</v>
      </c>
      <c r="F8" s="33">
        <f t="shared" si="1"/>
        <v>318609.99961584993</v>
      </c>
      <c r="G8" s="33">
        <f t="shared" si="1"/>
        <v>318494.04679617996</v>
      </c>
    </row>
    <row r="9" spans="1:7" x14ac:dyDescent="0.25">
      <c r="B9" s="1"/>
      <c r="F9"/>
      <c r="G9"/>
    </row>
    <row r="10" spans="1:7" ht="15.75" thickBot="1" x14ac:dyDescent="0.3"/>
    <row r="11" spans="1:7" ht="39" thickBot="1" x14ac:dyDescent="0.3">
      <c r="B11" s="73" t="s">
        <v>115</v>
      </c>
      <c r="C11" s="76" t="s">
        <v>118</v>
      </c>
      <c r="D11" s="76" t="s">
        <v>119</v>
      </c>
      <c r="E11" s="76" t="s">
        <v>120</v>
      </c>
      <c r="F11" s="76" t="s">
        <v>121</v>
      </c>
      <c r="G11" s="77" t="s">
        <v>122</v>
      </c>
    </row>
    <row r="12" spans="1:7" ht="19.5" thickBot="1" x14ac:dyDescent="0.3">
      <c r="B12" s="74" t="s">
        <v>116</v>
      </c>
      <c r="C12" s="78">
        <v>99785985370</v>
      </c>
      <c r="D12" s="78">
        <v>63518306918</v>
      </c>
      <c r="E12" s="78">
        <v>19116617771.880001</v>
      </c>
      <c r="F12" s="78">
        <v>9503242385.6200008</v>
      </c>
      <c r="G12" s="78">
        <v>8616353973.6200008</v>
      </c>
    </row>
    <row r="13" spans="1:7" ht="15.75" x14ac:dyDescent="0.25">
      <c r="B13" s="75" t="s">
        <v>117</v>
      </c>
      <c r="C13" s="82">
        <v>51464345000</v>
      </c>
      <c r="D13" s="82">
        <v>49182287000</v>
      </c>
      <c r="E13" s="82">
        <v>6953753113.3299999</v>
      </c>
      <c r="F13" s="82">
        <v>6953753113.3299999</v>
      </c>
      <c r="G13" s="83">
        <v>6068938340.3299999</v>
      </c>
    </row>
    <row r="14" spans="1:7" ht="15.75" x14ac:dyDescent="0.25">
      <c r="B14" s="80" t="s">
        <v>123</v>
      </c>
      <c r="C14" s="84">
        <v>19419071000</v>
      </c>
      <c r="D14" s="84">
        <v>14103505918</v>
      </c>
      <c r="E14" s="84">
        <v>12131539118.190001</v>
      </c>
      <c r="F14" s="84">
        <v>2518294952.9299998</v>
      </c>
      <c r="G14" s="85">
        <v>2516221313.9299998</v>
      </c>
    </row>
    <row r="15" spans="1:7" ht="15.75" x14ac:dyDescent="0.25">
      <c r="B15" s="80" t="s">
        <v>124</v>
      </c>
      <c r="C15" s="84">
        <v>14851097370</v>
      </c>
      <c r="D15" s="84">
        <v>232514000</v>
      </c>
      <c r="E15" s="84">
        <v>31325540.359999999</v>
      </c>
      <c r="F15" s="84">
        <v>31194319.359999999</v>
      </c>
      <c r="G15" s="85">
        <v>31194319.359999999</v>
      </c>
    </row>
    <row r="16" spans="1:7" ht="32.25" thickBot="1" x14ac:dyDescent="0.3">
      <c r="B16" s="80" t="s">
        <v>125</v>
      </c>
      <c r="C16" s="84">
        <v>14051472000</v>
      </c>
      <c r="D16" s="84">
        <v>0</v>
      </c>
      <c r="E16" s="84">
        <v>0</v>
      </c>
      <c r="F16" s="84">
        <v>0</v>
      </c>
      <c r="G16" s="85">
        <v>0</v>
      </c>
    </row>
    <row r="17" spans="2:7" ht="19.5" thickBot="1" x14ac:dyDescent="0.3">
      <c r="B17" s="74" t="s">
        <v>126</v>
      </c>
      <c r="C17" s="78">
        <v>1167604335047</v>
      </c>
      <c r="D17" s="78">
        <v>0</v>
      </c>
      <c r="E17" s="78">
        <v>0</v>
      </c>
      <c r="F17" s="78">
        <v>0</v>
      </c>
      <c r="G17" s="79">
        <v>0</v>
      </c>
    </row>
    <row r="18" spans="2:7" ht="19.5" thickBot="1" x14ac:dyDescent="0.3">
      <c r="B18" s="74" t="s">
        <v>127</v>
      </c>
      <c r="C18" s="78">
        <v>4505182025012</v>
      </c>
      <c r="D18" s="78">
        <v>4322970684279</v>
      </c>
      <c r="E18" s="78">
        <v>4297736352262.46</v>
      </c>
      <c r="F18" s="78">
        <v>318609999615.84991</v>
      </c>
      <c r="G18" s="79">
        <v>318494046796.17993</v>
      </c>
    </row>
    <row r="20" spans="2:7" x14ac:dyDescent="0.25">
      <c r="C20" s="86">
        <f>+SUM(C13:C18)</f>
        <v>5772572345429</v>
      </c>
      <c r="D20" s="86">
        <f t="shared" ref="D20:G20" si="2">+SUM(D13:D18)</f>
        <v>4386488991197</v>
      </c>
      <c r="E20" s="86">
        <f t="shared" si="2"/>
        <v>4316852970034.3398</v>
      </c>
      <c r="F20" s="86">
        <f t="shared" si="2"/>
        <v>328113242001.46991</v>
      </c>
      <c r="G20" s="86">
        <f t="shared" si="2"/>
        <v>327110400769.79993</v>
      </c>
    </row>
    <row r="21" spans="2:7" x14ac:dyDescent="0.25">
      <c r="C21" s="86"/>
      <c r="D21" s="86"/>
      <c r="E21" s="86"/>
      <c r="F21" s="86"/>
      <c r="G21" s="8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B1:I38"/>
  <sheetViews>
    <sheetView workbookViewId="0">
      <selection activeCell="A6" sqref="A6"/>
    </sheetView>
  </sheetViews>
  <sheetFormatPr baseColWidth="10" defaultRowHeight="15" x14ac:dyDescent="0.25"/>
  <cols>
    <col min="1" max="1" width="6.85546875" customWidth="1"/>
    <col min="2" max="2" width="15.42578125" customWidth="1"/>
    <col min="3" max="3" width="99.7109375" customWidth="1"/>
    <col min="4" max="4" width="26.28515625" style="44" customWidth="1"/>
    <col min="5" max="5" width="33.28515625" style="44" bestFit="1" customWidth="1"/>
    <col min="6" max="6" width="30.7109375" style="44" bestFit="1" customWidth="1"/>
    <col min="7" max="7" width="28.28515625" style="44" customWidth="1"/>
    <col min="8" max="8" width="23" style="44" bestFit="1" customWidth="1"/>
    <col min="9" max="9" width="18.85546875" style="44" customWidth="1"/>
  </cols>
  <sheetData>
    <row r="1" spans="2:9" ht="45.75" thickBot="1" x14ac:dyDescent="0.3">
      <c r="B1" s="22" t="s">
        <v>33</v>
      </c>
      <c r="C1" s="22" t="s">
        <v>1</v>
      </c>
      <c r="D1" s="93" t="s">
        <v>7</v>
      </c>
      <c r="E1" s="93" t="s">
        <v>8</v>
      </c>
      <c r="F1" s="93" t="s">
        <v>9</v>
      </c>
      <c r="G1" s="93" t="s">
        <v>10</v>
      </c>
      <c r="H1" s="93" t="s">
        <v>14</v>
      </c>
      <c r="I1" s="94" t="s">
        <v>114</v>
      </c>
    </row>
    <row r="2" spans="2:9" ht="33" customHeight="1" thickTop="1" x14ac:dyDescent="0.25">
      <c r="B2" s="21" t="s">
        <v>34</v>
      </c>
      <c r="C2" s="95" t="s">
        <v>105</v>
      </c>
      <c r="D2" s="87">
        <v>199229942693</v>
      </c>
      <c r="E2" s="87">
        <v>199229942693</v>
      </c>
      <c r="F2" s="87">
        <v>199229942693</v>
      </c>
      <c r="G2" s="87">
        <v>667460180</v>
      </c>
      <c r="H2" s="87">
        <v>667460180</v>
      </c>
      <c r="I2" s="96">
        <v>0</v>
      </c>
    </row>
    <row r="3" spans="2:9" ht="33" customHeight="1" x14ac:dyDescent="0.25">
      <c r="B3" s="21" t="s">
        <v>35</v>
      </c>
      <c r="C3" s="95" t="s">
        <v>36</v>
      </c>
      <c r="D3" s="87">
        <v>3111246158</v>
      </c>
      <c r="E3" s="87">
        <v>3111246158</v>
      </c>
      <c r="F3" s="87">
        <v>3111246158</v>
      </c>
      <c r="G3" s="87">
        <v>0</v>
      </c>
      <c r="H3" s="87">
        <v>0</v>
      </c>
      <c r="I3" s="97">
        <v>0</v>
      </c>
    </row>
    <row r="4" spans="2:9" ht="33" customHeight="1" x14ac:dyDescent="0.25">
      <c r="B4" s="21" t="s">
        <v>64</v>
      </c>
      <c r="C4" s="95" t="s">
        <v>48</v>
      </c>
      <c r="D4" s="87">
        <v>267568660974</v>
      </c>
      <c r="E4" s="87">
        <v>267568660974</v>
      </c>
      <c r="F4" s="87">
        <v>267568660974</v>
      </c>
      <c r="G4" s="87">
        <v>515340818</v>
      </c>
      <c r="H4" s="87">
        <v>515340818</v>
      </c>
      <c r="I4" s="97">
        <v>0</v>
      </c>
    </row>
    <row r="5" spans="2:9" ht="33" customHeight="1" x14ac:dyDescent="0.25">
      <c r="B5" s="21" t="s">
        <v>65</v>
      </c>
      <c r="C5" s="95" t="s">
        <v>49</v>
      </c>
      <c r="D5" s="87">
        <v>175859178607</v>
      </c>
      <c r="E5" s="87">
        <v>175859178607</v>
      </c>
      <c r="F5" s="87">
        <v>175859178607</v>
      </c>
      <c r="G5" s="87">
        <v>589163443</v>
      </c>
      <c r="H5" s="87">
        <v>589163443</v>
      </c>
      <c r="I5" s="97">
        <v>0</v>
      </c>
    </row>
    <row r="6" spans="2:9" ht="33" customHeight="1" x14ac:dyDescent="0.25">
      <c r="B6" s="21" t="s">
        <v>66</v>
      </c>
      <c r="C6" s="95" t="s">
        <v>50</v>
      </c>
      <c r="D6" s="87">
        <v>253083219752</v>
      </c>
      <c r="E6" s="87">
        <v>253083219752</v>
      </c>
      <c r="F6" s="87">
        <v>253083219752</v>
      </c>
      <c r="G6" s="87">
        <v>8076357952</v>
      </c>
      <c r="H6" s="87">
        <v>8076357952</v>
      </c>
      <c r="I6" s="97">
        <v>0</v>
      </c>
    </row>
    <row r="7" spans="2:9" ht="33" customHeight="1" x14ac:dyDescent="0.25">
      <c r="B7" s="21" t="s">
        <v>67</v>
      </c>
      <c r="C7" s="95" t="s">
        <v>106</v>
      </c>
      <c r="D7" s="87">
        <v>243923443489</v>
      </c>
      <c r="E7" s="87">
        <v>243923443489</v>
      </c>
      <c r="F7" s="87">
        <v>243923443489</v>
      </c>
      <c r="G7" s="87">
        <v>21653320129</v>
      </c>
      <c r="H7" s="87">
        <v>21653320129</v>
      </c>
      <c r="I7" s="97">
        <v>0</v>
      </c>
    </row>
    <row r="8" spans="2:9" ht="33" customHeight="1" x14ac:dyDescent="0.25">
      <c r="B8" s="21" t="s">
        <v>68</v>
      </c>
      <c r="C8" s="95" t="s">
        <v>51</v>
      </c>
      <c r="D8" s="87">
        <v>173754342655</v>
      </c>
      <c r="E8" s="87">
        <v>173754342655</v>
      </c>
      <c r="F8" s="87">
        <v>173754342655</v>
      </c>
      <c r="G8" s="87">
        <v>26218470693</v>
      </c>
      <c r="H8" s="87">
        <v>26218470693</v>
      </c>
      <c r="I8" s="97">
        <v>0</v>
      </c>
    </row>
    <row r="9" spans="2:9" ht="33" customHeight="1" x14ac:dyDescent="0.25">
      <c r="B9" s="21" t="s">
        <v>69</v>
      </c>
      <c r="C9" s="95" t="s">
        <v>52</v>
      </c>
      <c r="D9" s="87">
        <v>188036887431</v>
      </c>
      <c r="E9" s="87">
        <v>188036887431</v>
      </c>
      <c r="F9" s="87">
        <v>188036887431</v>
      </c>
      <c r="G9" s="87">
        <v>31914916292</v>
      </c>
      <c r="H9" s="87">
        <v>31914916292</v>
      </c>
      <c r="I9" s="97">
        <v>0</v>
      </c>
    </row>
    <row r="10" spans="2:9" ht="33" customHeight="1" x14ac:dyDescent="0.25">
      <c r="B10" s="21" t="s">
        <v>70</v>
      </c>
      <c r="C10" s="95" t="s">
        <v>53</v>
      </c>
      <c r="D10" s="87">
        <v>230526549416</v>
      </c>
      <c r="E10" s="87">
        <v>230526549416</v>
      </c>
      <c r="F10" s="87">
        <v>230526549416</v>
      </c>
      <c r="G10" s="87">
        <v>27184528940</v>
      </c>
      <c r="H10" s="87">
        <v>27184528940</v>
      </c>
      <c r="I10" s="97">
        <v>0</v>
      </c>
    </row>
    <row r="11" spans="2:9" ht="33" customHeight="1" x14ac:dyDescent="0.25">
      <c r="B11" s="21" t="s">
        <v>71</v>
      </c>
      <c r="C11" s="95" t="s">
        <v>133</v>
      </c>
      <c r="D11" s="87">
        <v>12654096592</v>
      </c>
      <c r="E11" s="87">
        <v>11538502198.5</v>
      </c>
      <c r="F11" s="87">
        <v>10501033636.309999</v>
      </c>
      <c r="G11" s="87">
        <v>472868344.60000002</v>
      </c>
      <c r="H11" s="87">
        <v>456294600.60000002</v>
      </c>
      <c r="I11" s="97">
        <v>0</v>
      </c>
    </row>
    <row r="12" spans="2:9" ht="33" customHeight="1" x14ac:dyDescent="0.25">
      <c r="B12" s="21" t="s">
        <v>72</v>
      </c>
      <c r="C12" s="95" t="s">
        <v>54</v>
      </c>
      <c r="D12" s="87">
        <v>222571821813</v>
      </c>
      <c r="E12" s="87">
        <v>222571821813</v>
      </c>
      <c r="F12" s="87">
        <v>222571821813</v>
      </c>
      <c r="G12" s="87">
        <v>7839829655</v>
      </c>
      <c r="H12" s="87">
        <v>7839829655</v>
      </c>
      <c r="I12" s="97">
        <v>0</v>
      </c>
    </row>
    <row r="13" spans="2:9" ht="33" customHeight="1" x14ac:dyDescent="0.25">
      <c r="B13" s="21" t="s">
        <v>73</v>
      </c>
      <c r="C13" s="95" t="s">
        <v>107</v>
      </c>
      <c r="D13" s="87">
        <v>256174672458</v>
      </c>
      <c r="E13" s="87">
        <v>256174672458</v>
      </c>
      <c r="F13" s="87">
        <v>256174672458</v>
      </c>
      <c r="G13" s="87">
        <v>783848182</v>
      </c>
      <c r="H13" s="87">
        <v>783848182</v>
      </c>
      <c r="I13" s="97">
        <v>0</v>
      </c>
    </row>
    <row r="14" spans="2:9" ht="33" customHeight="1" x14ac:dyDescent="0.25">
      <c r="B14" s="21" t="s">
        <v>74</v>
      </c>
      <c r="C14" s="95" t="s">
        <v>108</v>
      </c>
      <c r="D14" s="87">
        <v>133566456234</v>
      </c>
      <c r="E14" s="87">
        <v>133566456234</v>
      </c>
      <c r="F14" s="87">
        <v>133566456234</v>
      </c>
      <c r="G14" s="87">
        <v>426302018</v>
      </c>
      <c r="H14" s="87">
        <v>426302018</v>
      </c>
      <c r="I14" s="97">
        <v>0</v>
      </c>
    </row>
    <row r="15" spans="2:9" ht="33" customHeight="1" x14ac:dyDescent="0.25">
      <c r="B15" s="21" t="s">
        <v>75</v>
      </c>
      <c r="C15" s="95" t="s">
        <v>109</v>
      </c>
      <c r="D15" s="87">
        <v>92126982346</v>
      </c>
      <c r="E15" s="87">
        <v>92126982346</v>
      </c>
      <c r="F15" s="87">
        <v>92126982346</v>
      </c>
      <c r="G15" s="87">
        <v>308643829</v>
      </c>
      <c r="H15" s="87">
        <v>308643829</v>
      </c>
      <c r="I15" s="97">
        <v>0</v>
      </c>
    </row>
    <row r="16" spans="2:9" ht="33" customHeight="1" x14ac:dyDescent="0.25">
      <c r="B16" s="21" t="s">
        <v>76</v>
      </c>
      <c r="C16" s="95" t="s">
        <v>55</v>
      </c>
      <c r="D16" s="87">
        <v>177242188803</v>
      </c>
      <c r="E16" s="87">
        <v>177242188803</v>
      </c>
      <c r="F16" s="87">
        <v>177242188803</v>
      </c>
      <c r="G16" s="87">
        <v>12868469971</v>
      </c>
      <c r="H16" s="87">
        <v>12868469971</v>
      </c>
      <c r="I16" s="97">
        <v>0</v>
      </c>
    </row>
    <row r="17" spans="2:9" ht="33" customHeight="1" x14ac:dyDescent="0.25">
      <c r="B17" s="21" t="s">
        <v>63</v>
      </c>
      <c r="C17" s="95" t="s">
        <v>110</v>
      </c>
      <c r="D17" s="87">
        <v>186661572672</v>
      </c>
      <c r="E17" s="87">
        <v>186661572672</v>
      </c>
      <c r="F17" s="87">
        <v>186661572672</v>
      </c>
      <c r="G17" s="87">
        <v>65829708441</v>
      </c>
      <c r="H17" s="87">
        <v>65829708441</v>
      </c>
      <c r="I17" s="97">
        <v>0</v>
      </c>
    </row>
    <row r="18" spans="2:9" ht="33" customHeight="1" x14ac:dyDescent="0.25">
      <c r="B18" s="21" t="s">
        <v>77</v>
      </c>
      <c r="C18" s="95" t="s">
        <v>56</v>
      </c>
      <c r="D18" s="87">
        <v>217966528302</v>
      </c>
      <c r="E18" s="87">
        <v>217966528302</v>
      </c>
      <c r="F18" s="87">
        <v>217966528302</v>
      </c>
      <c r="G18" s="87">
        <v>35582322411</v>
      </c>
      <c r="H18" s="87">
        <v>35582322411</v>
      </c>
      <c r="I18" s="97">
        <v>0</v>
      </c>
    </row>
    <row r="19" spans="2:9" ht="33" customHeight="1" x14ac:dyDescent="0.25">
      <c r="B19" s="21" t="s">
        <v>78</v>
      </c>
      <c r="C19" s="95" t="s">
        <v>57</v>
      </c>
      <c r="D19" s="87">
        <v>264689746048</v>
      </c>
      <c r="E19" s="87">
        <v>264689746048</v>
      </c>
      <c r="F19" s="87">
        <v>264689746048</v>
      </c>
      <c r="G19" s="87">
        <v>18890851579</v>
      </c>
      <c r="H19" s="87">
        <v>18890851579</v>
      </c>
      <c r="I19" s="97">
        <v>0</v>
      </c>
    </row>
    <row r="20" spans="2:9" ht="33" customHeight="1" x14ac:dyDescent="0.25">
      <c r="B20" s="21" t="s">
        <v>79</v>
      </c>
      <c r="C20" s="95" t="s">
        <v>58</v>
      </c>
      <c r="D20" s="87">
        <v>141607661383</v>
      </c>
      <c r="E20" s="87">
        <v>141607661383</v>
      </c>
      <c r="F20" s="87">
        <v>141607661383</v>
      </c>
      <c r="G20" s="87">
        <v>35860807678</v>
      </c>
      <c r="H20" s="87">
        <v>35860807678</v>
      </c>
      <c r="I20" s="97">
        <v>0</v>
      </c>
    </row>
    <row r="21" spans="2:9" ht="33" customHeight="1" x14ac:dyDescent="0.25">
      <c r="B21" s="21" t="s">
        <v>80</v>
      </c>
      <c r="C21" s="95" t="s">
        <v>59</v>
      </c>
      <c r="D21" s="87">
        <v>326484319237</v>
      </c>
      <c r="E21" s="87">
        <v>326484319237</v>
      </c>
      <c r="F21" s="87">
        <v>326484319237</v>
      </c>
      <c r="G21" s="87">
        <v>18896410145</v>
      </c>
      <c r="H21" s="87">
        <v>18896410145</v>
      </c>
      <c r="I21" s="97">
        <v>0</v>
      </c>
    </row>
    <row r="22" spans="2:9" ht="33" customHeight="1" x14ac:dyDescent="0.25">
      <c r="B22" s="21" t="s">
        <v>81</v>
      </c>
      <c r="C22" s="95" t="s">
        <v>60</v>
      </c>
      <c r="D22" s="87">
        <v>103270216578</v>
      </c>
      <c r="E22" s="87">
        <v>103270216578</v>
      </c>
      <c r="F22" s="87">
        <v>103270216578</v>
      </c>
      <c r="G22" s="87">
        <v>2037283578</v>
      </c>
      <c r="H22" s="87">
        <v>2037283578</v>
      </c>
      <c r="I22" s="97">
        <v>0</v>
      </c>
    </row>
    <row r="23" spans="2:9" ht="33" customHeight="1" x14ac:dyDescent="0.25">
      <c r="B23" s="21" t="s">
        <v>82</v>
      </c>
      <c r="C23" s="95" t="s">
        <v>111</v>
      </c>
      <c r="D23" s="87">
        <v>323578411182</v>
      </c>
      <c r="E23" s="87">
        <v>323578411182</v>
      </c>
      <c r="F23" s="87">
        <v>323578411182</v>
      </c>
      <c r="G23" s="87">
        <v>1121067275</v>
      </c>
      <c r="H23" s="87">
        <v>1121067275</v>
      </c>
      <c r="I23" s="97">
        <v>0</v>
      </c>
    </row>
    <row r="24" spans="2:9" ht="33" customHeight="1" x14ac:dyDescent="0.25">
      <c r="B24" s="21" t="s">
        <v>83</v>
      </c>
      <c r="C24" s="95" t="s">
        <v>61</v>
      </c>
      <c r="D24" s="87">
        <v>53127095469</v>
      </c>
      <c r="E24" s="87">
        <v>53127095469</v>
      </c>
      <c r="F24" s="87">
        <v>53127095469</v>
      </c>
      <c r="G24" s="87">
        <v>0</v>
      </c>
      <c r="H24" s="87">
        <v>0</v>
      </c>
      <c r="I24" s="97">
        <v>0</v>
      </c>
    </row>
    <row r="25" spans="2:9" ht="33" customHeight="1" x14ac:dyDescent="0.25">
      <c r="B25" s="21" t="s">
        <v>104</v>
      </c>
      <c r="C25" s="95" t="s">
        <v>134</v>
      </c>
      <c r="D25" s="87">
        <v>105000000000</v>
      </c>
      <c r="E25" s="87">
        <v>2259020000</v>
      </c>
      <c r="F25" s="87">
        <v>16549.91</v>
      </c>
      <c r="G25" s="87">
        <v>16549.91</v>
      </c>
      <c r="H25" s="87">
        <v>16549.91</v>
      </c>
      <c r="I25" s="97">
        <v>0</v>
      </c>
    </row>
    <row r="26" spans="2:9" ht="33" customHeight="1" x14ac:dyDescent="0.25">
      <c r="B26" s="21" t="s">
        <v>84</v>
      </c>
      <c r="C26" s="95" t="s">
        <v>112</v>
      </c>
      <c r="D26" s="87">
        <v>2257022926</v>
      </c>
      <c r="E26" s="87">
        <v>1977078034.5</v>
      </c>
      <c r="F26" s="87">
        <v>1875445400.79</v>
      </c>
      <c r="G26" s="87">
        <v>89295939.290000007</v>
      </c>
      <c r="H26" s="87">
        <v>88125556.290000007</v>
      </c>
      <c r="I26" s="97">
        <v>0</v>
      </c>
    </row>
    <row r="27" spans="2:9" ht="33" customHeight="1" x14ac:dyDescent="0.25">
      <c r="B27" s="21" t="s">
        <v>129</v>
      </c>
      <c r="C27" s="95" t="s">
        <v>130</v>
      </c>
      <c r="D27" s="87">
        <v>3785000000</v>
      </c>
      <c r="E27" s="87">
        <v>0</v>
      </c>
      <c r="F27" s="87">
        <v>0</v>
      </c>
      <c r="G27" s="87">
        <v>0</v>
      </c>
      <c r="H27" s="87">
        <v>0</v>
      </c>
      <c r="I27" s="97"/>
    </row>
    <row r="28" spans="2:9" s="10" customFormat="1" ht="33" customHeight="1" x14ac:dyDescent="0.25">
      <c r="B28" s="81" t="s">
        <v>37</v>
      </c>
      <c r="C28" s="95" t="s">
        <v>38</v>
      </c>
      <c r="D28" s="87">
        <v>76235881312</v>
      </c>
      <c r="E28" s="87">
        <v>49002053305</v>
      </c>
      <c r="F28" s="87">
        <v>29487449537</v>
      </c>
      <c r="G28" s="87">
        <v>0</v>
      </c>
      <c r="H28" s="87">
        <v>0</v>
      </c>
      <c r="I28" s="96">
        <v>0</v>
      </c>
    </row>
    <row r="29" spans="2:9" s="10" customFormat="1" ht="33" customHeight="1" x14ac:dyDescent="0.25">
      <c r="B29" s="81" t="s">
        <v>85</v>
      </c>
      <c r="C29" s="95" t="s">
        <v>113</v>
      </c>
      <c r="D29" s="87">
        <v>1124097372</v>
      </c>
      <c r="E29" s="87">
        <v>906736566</v>
      </c>
      <c r="F29" s="87">
        <v>818933657.09000003</v>
      </c>
      <c r="G29" s="87">
        <v>30087649.09</v>
      </c>
      <c r="H29" s="87">
        <v>30087649.09</v>
      </c>
      <c r="I29" s="96">
        <v>0</v>
      </c>
    </row>
    <row r="30" spans="2:9" ht="33" customHeight="1" x14ac:dyDescent="0.25">
      <c r="B30" s="21" t="s">
        <v>39</v>
      </c>
      <c r="C30" s="95" t="s">
        <v>135</v>
      </c>
      <c r="D30" s="87">
        <v>1000000000</v>
      </c>
      <c r="E30" s="87">
        <v>367252932</v>
      </c>
      <c r="F30" s="87">
        <v>367250432</v>
      </c>
      <c r="G30" s="87">
        <v>0</v>
      </c>
      <c r="H30" s="87">
        <v>0</v>
      </c>
      <c r="I30" s="97">
        <v>0</v>
      </c>
    </row>
    <row r="31" spans="2:9" ht="33" customHeight="1" x14ac:dyDescent="0.25">
      <c r="B31" s="21" t="s">
        <v>86</v>
      </c>
      <c r="C31" s="95" t="s">
        <v>62</v>
      </c>
      <c r="D31" s="87">
        <v>3056837754</v>
      </c>
      <c r="E31" s="87">
        <v>2834303381</v>
      </c>
      <c r="F31" s="87">
        <v>2681239655.2800002</v>
      </c>
      <c r="G31" s="87">
        <v>129354569.48</v>
      </c>
      <c r="H31" s="87">
        <v>129354569.48</v>
      </c>
      <c r="I31" s="97">
        <v>0</v>
      </c>
    </row>
    <row r="32" spans="2:9" ht="33" customHeight="1" x14ac:dyDescent="0.25">
      <c r="B32" s="21" t="s">
        <v>131</v>
      </c>
      <c r="C32" s="95" t="s">
        <v>132</v>
      </c>
      <c r="D32" s="87">
        <v>907945356</v>
      </c>
      <c r="E32" s="87">
        <v>146495298</v>
      </c>
      <c r="F32" s="87">
        <v>119393074</v>
      </c>
      <c r="G32" s="87">
        <v>3398631</v>
      </c>
      <c r="H32" s="87">
        <v>3398631</v>
      </c>
      <c r="I32" s="97"/>
    </row>
    <row r="33" spans="2:9" ht="33" customHeight="1" x14ac:dyDescent="0.25">
      <c r="B33" s="21" t="s">
        <v>40</v>
      </c>
      <c r="C33" s="95" t="s">
        <v>136</v>
      </c>
      <c r="D33" s="87">
        <v>200000000</v>
      </c>
      <c r="E33" s="87">
        <v>145267564</v>
      </c>
      <c r="F33" s="87">
        <v>79900728.379999995</v>
      </c>
      <c r="G33" s="87">
        <v>3271531.38</v>
      </c>
      <c r="H33" s="87">
        <v>3271531.38</v>
      </c>
      <c r="I33" s="97">
        <v>0</v>
      </c>
    </row>
    <row r="34" spans="2:9" ht="33" customHeight="1" x14ac:dyDescent="0.25">
      <c r="B34" s="21" t="s">
        <v>41</v>
      </c>
      <c r="C34" s="95" t="s">
        <v>137</v>
      </c>
      <c r="D34" s="87">
        <v>58800000000</v>
      </c>
      <c r="E34" s="87">
        <v>15027849708</v>
      </c>
      <c r="F34" s="87">
        <v>13595457292.889999</v>
      </c>
      <c r="G34" s="87">
        <v>413612800.07999998</v>
      </c>
      <c r="H34" s="87">
        <v>401888912.41000003</v>
      </c>
      <c r="I34" s="97">
        <v>0</v>
      </c>
    </row>
    <row r="35" spans="2:9" ht="24.75" customHeight="1" x14ac:dyDescent="0.25">
      <c r="B35" s="21" t="s">
        <v>42</v>
      </c>
      <c r="C35" s="95" t="s">
        <v>138</v>
      </c>
      <c r="D35" s="87">
        <v>5000000000</v>
      </c>
      <c r="E35" s="87">
        <v>3694212376</v>
      </c>
      <c r="F35" s="87">
        <v>3138361589.9699998</v>
      </c>
      <c r="G35" s="87">
        <v>178338995.18000001</v>
      </c>
      <c r="H35" s="87">
        <v>91854190.180000007</v>
      </c>
      <c r="I35" s="97">
        <v>0</v>
      </c>
    </row>
    <row r="36" spans="2:9" ht="33" customHeight="1" x14ac:dyDescent="0.25">
      <c r="B36" s="21" t="s">
        <v>44</v>
      </c>
      <c r="C36" s="95" t="s">
        <v>139</v>
      </c>
      <c r="D36" s="87">
        <v>1000000000</v>
      </c>
      <c r="E36" s="87">
        <v>910769216</v>
      </c>
      <c r="F36" s="87">
        <v>910727008.84000003</v>
      </c>
      <c r="G36" s="87">
        <v>24651396.84</v>
      </c>
      <c r="H36" s="87">
        <v>24651396.84</v>
      </c>
      <c r="I36" s="97">
        <v>0</v>
      </c>
    </row>
    <row r="37" spans="2:9" ht="5.25" customHeight="1" x14ac:dyDescent="0.25">
      <c r="C37" s="1"/>
    </row>
    <row r="38" spans="2:9" x14ac:dyDescent="0.25">
      <c r="D38" s="44">
        <f>SUM(D2:D36)</f>
        <v>4505182025012</v>
      </c>
      <c r="E38" s="44">
        <f>+SUM(E2:E36)</f>
        <v>4322970684279</v>
      </c>
      <c r="F38" s="44">
        <f>+SUM(F2:F36)</f>
        <v>4297736352262.46</v>
      </c>
      <c r="G38" s="44">
        <f>+SUM(G2:G36)</f>
        <v>318609999615.84998</v>
      </c>
      <c r="H38" s="44">
        <f>+SUM(H2:H36)</f>
        <v>318494046796.17993</v>
      </c>
      <c r="I38" s="44">
        <f>+SUM(I2:I36)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theme="5" tint="-0.249977111117893"/>
  </sheetPr>
  <dimension ref="A6:N68"/>
  <sheetViews>
    <sheetView showGridLines="0" showRowColHeaders="0" zoomScaleNormal="100" workbookViewId="0">
      <selection activeCell="I8" sqref="I8"/>
    </sheetView>
  </sheetViews>
  <sheetFormatPr baseColWidth="10" defaultRowHeight="15" outlineLevelRow="1" x14ac:dyDescent="0.25"/>
  <cols>
    <col min="2" max="2" width="31.140625" bestFit="1" customWidth="1"/>
    <col min="3" max="3" width="13.5703125" bestFit="1" customWidth="1"/>
    <col min="4" max="4" width="15" bestFit="1" customWidth="1"/>
    <col min="5" max="5" width="14.7109375" bestFit="1" customWidth="1"/>
    <col min="6" max="6" width="11.5703125" bestFit="1" customWidth="1"/>
  </cols>
  <sheetData>
    <row r="6" spans="1:14" x14ac:dyDescent="0.25">
      <c r="B6" s="4" t="s">
        <v>5</v>
      </c>
      <c r="C6" t="s">
        <v>20</v>
      </c>
      <c r="D6" t="s">
        <v>43</v>
      </c>
      <c r="E6" t="s">
        <v>18</v>
      </c>
      <c r="F6" t="s">
        <v>19</v>
      </c>
    </row>
    <row r="7" spans="1:14" x14ac:dyDescent="0.25">
      <c r="B7" s="2" t="s">
        <v>26</v>
      </c>
      <c r="C7" s="23">
        <v>99785.985369999995</v>
      </c>
      <c r="D7" s="23">
        <v>19116.617771880003</v>
      </c>
      <c r="E7" s="23">
        <v>9503.2423856200003</v>
      </c>
      <c r="F7" s="23">
        <v>8616.35397362</v>
      </c>
    </row>
    <row r="8" spans="1:14" x14ac:dyDescent="0.25">
      <c r="B8" s="2" t="s">
        <v>27</v>
      </c>
      <c r="C8" s="23">
        <v>1167604.3350470001</v>
      </c>
      <c r="D8" s="23">
        <v>0</v>
      </c>
      <c r="E8" s="23">
        <v>0</v>
      </c>
      <c r="F8" s="23">
        <v>0</v>
      </c>
    </row>
    <row r="9" spans="1:14" x14ac:dyDescent="0.25">
      <c r="B9" s="2" t="s">
        <v>28</v>
      </c>
      <c r="C9" s="23">
        <v>4505182.0250120005</v>
      </c>
      <c r="D9" s="23">
        <v>4297736.3522624597</v>
      </c>
      <c r="E9" s="23">
        <v>318609.99961584993</v>
      </c>
      <c r="F9" s="23">
        <v>318494.04679617996</v>
      </c>
    </row>
    <row r="10" spans="1:14" x14ac:dyDescent="0.25">
      <c r="B10" s="2" t="s">
        <v>6</v>
      </c>
      <c r="C10" s="23">
        <v>5772572.3454290004</v>
      </c>
      <c r="D10" s="23">
        <v>4316852.9700343395</v>
      </c>
      <c r="E10" s="23">
        <v>328113.24200146995</v>
      </c>
      <c r="F10" s="23">
        <v>327110.40076979995</v>
      </c>
      <c r="H10" s="5"/>
      <c r="J10" s="5"/>
    </row>
    <row r="16" spans="1:14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03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18"/>
      <c r="K39" s="18"/>
      <c r="L39" s="18"/>
      <c r="M39" s="18"/>
      <c r="N39" s="18"/>
    </row>
    <row r="40" spans="1:14" hidden="1" outlineLevel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20"/>
      <c r="K40" s="20"/>
      <c r="L40" s="18"/>
      <c r="M40" s="18"/>
      <c r="N40" s="18"/>
    </row>
    <row r="41" spans="1:14" s="11" customFormat="1" hidden="1" outlineLevel="1" x14ac:dyDescent="0.25">
      <c r="A41" s="36"/>
      <c r="B41" s="115" t="s">
        <v>5</v>
      </c>
      <c r="C41" s="115" t="s">
        <v>20</v>
      </c>
      <c r="D41" s="115" t="s">
        <v>43</v>
      </c>
      <c r="E41" s="115" t="s">
        <v>18</v>
      </c>
      <c r="F41" s="115" t="s">
        <v>19</v>
      </c>
      <c r="G41" s="36"/>
      <c r="H41" s="36"/>
      <c r="I41" s="36"/>
      <c r="L41" s="27"/>
      <c r="M41" s="27"/>
      <c r="N41" s="27"/>
    </row>
    <row r="42" spans="1:14" s="11" customFormat="1" hidden="1" outlineLevel="1" x14ac:dyDescent="0.25">
      <c r="A42" s="36"/>
      <c r="B42" s="104" t="s">
        <v>26</v>
      </c>
      <c r="C42" s="105">
        <f>+GETPIVOTDATA("APROPIACION",$B$6,"DESCRIPCION","A-FUNCIONAMIENTO")</f>
        <v>99785.985369999995</v>
      </c>
      <c r="D42" s="106">
        <f>+GETPIVOTDATA("COMPROMISOS",$B$6,"DESCRIPCION","A-FUNCIONAMIENTO")/C42</f>
        <v>0.19157617876896058</v>
      </c>
      <c r="E42" s="106">
        <f>+GETPIVOTDATA(" OBLIGACIONES",$B$6,"DESCRIPCION","A-FUNCIONAMIENTO")/C42</f>
        <v>9.5236243350031474E-2</v>
      </c>
      <c r="F42" s="106">
        <f>+GETPIVOTDATA(" PAGOS",$B$6,"DESCRIPCION","A-FUNCIONAMIENTO")/GETPIVOTDATA("APROPIACION",$B$6,"DESCRIPCION","A-FUNCIONAMIENTO")</f>
        <v>8.6348337811879242E-2</v>
      </c>
      <c r="G42" s="36"/>
      <c r="H42" s="36"/>
      <c r="I42" s="36"/>
      <c r="L42" s="27"/>
      <c r="M42" s="27"/>
      <c r="N42" s="27"/>
    </row>
    <row r="43" spans="1:14" s="11" customFormat="1" hidden="1" outlineLevel="1" x14ac:dyDescent="0.25">
      <c r="A43" s="36"/>
      <c r="B43" s="104" t="s">
        <v>27</v>
      </c>
      <c r="C43" s="105">
        <f>+GETPIVOTDATA("APROPIACION",$B$6,"DESCRIPCION","B-SERVICIO DE LA DEUDA PÚBLICA")</f>
        <v>1167604.3350470001</v>
      </c>
      <c r="D43" s="106">
        <f>+GETPIVOTDATA("COMPROMISOS",$B$6,"DESCRIPCION","B-SERVICIO DE LA DEUDA PÚBLICA")/C43</f>
        <v>0</v>
      </c>
      <c r="E43" s="106">
        <f>+GETPIVOTDATA(" OBLIGACIONES",$B$6,"DESCRIPCION","B-SERVICIO DE LA DEUDA PÚBLICA")/GETPIVOTDATA("APROPIACION",$B$6,"DESCRIPCION","B-SERVICIO DE LA DEUDA PÚBLICA")</f>
        <v>0</v>
      </c>
      <c r="F43" s="106">
        <f>+GETPIVOTDATA(" PAGOS",$B$6,"DESCRIPCION","B-SERVICIO DE LA DEUDA PÚBLICA")/GETPIVOTDATA("APROPIACION",$B$6,"DESCRIPCION","B-SERVICIO DE LA DEUDA PÚBLICA")</f>
        <v>0</v>
      </c>
      <c r="G43" s="36"/>
      <c r="H43" s="36"/>
      <c r="I43" s="36"/>
      <c r="L43" s="27"/>
      <c r="M43" s="27"/>
      <c r="N43" s="27"/>
    </row>
    <row r="44" spans="1:14" s="11" customFormat="1" hidden="1" outlineLevel="1" x14ac:dyDescent="0.25">
      <c r="A44" s="36"/>
      <c r="B44" s="104" t="s">
        <v>28</v>
      </c>
      <c r="C44" s="109">
        <f>+GETPIVOTDATA("APROPIACION",$B$6,"DESCRIPCION","C- INVERSION")</f>
        <v>4505182.0250120005</v>
      </c>
      <c r="D44" s="106">
        <f>+GETPIVOTDATA("COMPROMISOS",$B$6,"DESCRIPCION","C- INVERSION")/C44</f>
        <v>0.95395398640990803</v>
      </c>
      <c r="E44" s="106">
        <f>+GETPIVOTDATA(" OBLIGACIONES",$B$6,"DESCRIPCION","C- INVERSION")/GETPIVOTDATA("APROPIACION",$B$6,"DESCRIPCION","C- INVERSION")</f>
        <v>7.0720782833408657E-2</v>
      </c>
      <c r="F44" s="106">
        <f>+GETPIVOTDATA(" PAGOS",$B$6,"DESCRIPCION","C- INVERSION")/GETPIVOTDATA("APROPIACION",$B$6,"DESCRIPCION","C- INVERSION")</f>
        <v>7.0695045178631066E-2</v>
      </c>
      <c r="G44" s="36"/>
      <c r="H44" s="36"/>
      <c r="I44" s="36"/>
      <c r="L44" s="27"/>
      <c r="M44" s="27"/>
      <c r="N44" s="27"/>
    </row>
    <row r="45" spans="1:14" s="11" customFormat="1" hidden="1" outlineLevel="1" x14ac:dyDescent="0.25">
      <c r="A45" s="36"/>
      <c r="B45" s="116" t="s">
        <v>6</v>
      </c>
      <c r="C45" s="117">
        <f>+GETPIVOTDATA("APROPIACION",$B$6)</f>
        <v>5772572.3454290004</v>
      </c>
      <c r="D45" s="120">
        <f>+GETPIVOTDATA("COMPROMISOS",$B$6)/GETPIVOTDATA("APROPIACION",$B$6)</f>
        <v>0.74782137177590002</v>
      </c>
      <c r="E45" s="120">
        <f>+GETPIVOTDATA(" OBLIGACIONES",$B$6)/GETPIVOTDATA("APROPIACION",$B$6)</f>
        <v>5.6840039824063139E-2</v>
      </c>
      <c r="F45" s="120">
        <f>+GETPIVOTDATA(" PAGOS",$B$6)/GETPIVOTDATA("APROPIACION",$B$6)</f>
        <v>5.666631463334048E-2</v>
      </c>
      <c r="G45" s="36"/>
      <c r="H45" s="36"/>
      <c r="I45" s="36"/>
      <c r="L45" s="27"/>
      <c r="M45" s="27"/>
      <c r="N45" s="27"/>
    </row>
    <row r="46" spans="1:14" s="11" customFormat="1" hidden="1" outlineLevel="1" x14ac:dyDescent="0.25">
      <c r="A46" s="36"/>
      <c r="B46" s="36"/>
      <c r="C46" s="36"/>
      <c r="D46" s="36"/>
      <c r="E46" s="36"/>
      <c r="F46" s="36"/>
      <c r="G46" s="36"/>
      <c r="H46" s="36"/>
      <c r="I46" s="36"/>
      <c r="L46" s="28"/>
      <c r="M46" s="28"/>
      <c r="N46" s="28"/>
    </row>
    <row r="47" spans="1:14" hidden="1" outlineLevel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20"/>
      <c r="K47" s="20"/>
      <c r="L47" s="29"/>
      <c r="M47" s="29"/>
      <c r="N47" s="29"/>
    </row>
    <row r="48" spans="1:14" hidden="1" outlineLevel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20"/>
      <c r="K48" s="20"/>
      <c r="L48" s="29"/>
      <c r="M48" s="29"/>
      <c r="N48" s="29"/>
    </row>
    <row r="49" spans="1:14" hidden="1" outlineLevel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20"/>
      <c r="K49" s="20"/>
      <c r="L49" s="29"/>
      <c r="M49" s="29"/>
      <c r="N49" s="29"/>
    </row>
    <row r="50" spans="1:14" hidden="1" outlineLevel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20"/>
      <c r="K50" s="20"/>
      <c r="L50" s="29"/>
      <c r="M50" s="29"/>
      <c r="N50" s="29"/>
    </row>
    <row r="51" spans="1:14" hidden="1" outlineLevel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20"/>
      <c r="K51" s="20"/>
      <c r="L51" s="29"/>
      <c r="M51" s="29"/>
      <c r="N51" s="29"/>
    </row>
    <row r="52" spans="1:14" hidden="1" outlineLevel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20"/>
      <c r="K52" s="20"/>
      <c r="L52" s="29"/>
      <c r="M52" s="29"/>
      <c r="N52" s="29"/>
    </row>
    <row r="53" spans="1:14" hidden="1" outlineLevel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20"/>
      <c r="K53" s="20"/>
      <c r="L53" s="29"/>
      <c r="M53" s="29"/>
      <c r="N53" s="29"/>
    </row>
    <row r="54" spans="1:14" hidden="1" outlineLevel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20"/>
      <c r="K54" s="20"/>
      <c r="L54" s="29"/>
      <c r="M54" s="29"/>
      <c r="N54" s="29"/>
    </row>
    <row r="55" spans="1:14" hidden="1" outlineLevel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20"/>
      <c r="K55" s="20"/>
      <c r="L55" s="29"/>
      <c r="M55" s="29"/>
      <c r="N55" s="29"/>
    </row>
    <row r="56" spans="1:14" hidden="1" outlineLevel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20"/>
      <c r="K56" s="20"/>
      <c r="L56" s="29"/>
      <c r="M56" s="29"/>
      <c r="N56" s="29"/>
    </row>
    <row r="57" spans="1:14" collapsed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25"/>
      <c r="K57" s="29"/>
      <c r="L57" s="29"/>
      <c r="M57" s="29"/>
      <c r="N57" s="29"/>
    </row>
    <row r="58" spans="1:14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25"/>
      <c r="K58" s="29"/>
      <c r="L58" s="29"/>
      <c r="M58" s="29"/>
      <c r="N58" s="29"/>
    </row>
    <row r="59" spans="1:14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25"/>
      <c r="K59" s="29"/>
      <c r="L59" s="29"/>
      <c r="M59" s="29"/>
      <c r="N59" s="29"/>
    </row>
    <row r="60" spans="1:14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26"/>
    </row>
    <row r="61" spans="1:14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20"/>
    </row>
    <row r="62" spans="1:14" x14ac:dyDescent="0.25">
      <c r="A62" s="35"/>
      <c r="B62" s="35"/>
      <c r="C62" s="35"/>
      <c r="D62" s="35"/>
      <c r="E62" s="35"/>
      <c r="F62" s="35"/>
      <c r="G62" s="35"/>
      <c r="H62" s="35"/>
      <c r="I62" s="35"/>
    </row>
    <row r="63" spans="1:14" x14ac:dyDescent="0.25">
      <c r="A63" s="35"/>
      <c r="B63" s="35"/>
      <c r="C63" s="35"/>
      <c r="D63" s="35"/>
      <c r="E63" s="35"/>
      <c r="F63" s="35"/>
      <c r="G63" s="35"/>
      <c r="H63" s="35"/>
      <c r="I63" s="35"/>
    </row>
    <row r="64" spans="1:14" x14ac:dyDescent="0.25">
      <c r="A64" s="35"/>
      <c r="B64" s="35"/>
      <c r="C64" s="35"/>
      <c r="D64" s="35"/>
      <c r="E64" s="35"/>
      <c r="F64" s="35"/>
      <c r="G64" s="35"/>
      <c r="H64" s="35"/>
      <c r="I64" s="35"/>
    </row>
    <row r="65" spans="1:9" x14ac:dyDescent="0.25">
      <c r="A65" s="35"/>
      <c r="B65" s="35"/>
      <c r="C65" s="35"/>
      <c r="D65" s="35"/>
      <c r="E65" s="35"/>
      <c r="F65" s="35"/>
      <c r="G65" s="35"/>
      <c r="H65" s="35"/>
      <c r="I65" s="35"/>
    </row>
    <row r="66" spans="1:9" x14ac:dyDescent="0.25">
      <c r="A66" s="35"/>
      <c r="B66" s="35"/>
      <c r="C66" s="35"/>
      <c r="D66" s="35"/>
      <c r="E66" s="35"/>
      <c r="F66" s="35"/>
      <c r="G66" s="35"/>
      <c r="H66" s="35"/>
      <c r="I66" s="35"/>
    </row>
    <row r="67" spans="1:9" x14ac:dyDescent="0.25">
      <c r="A67" s="35"/>
      <c r="B67" s="35"/>
      <c r="C67" s="35"/>
      <c r="D67" s="35"/>
      <c r="E67" s="35"/>
      <c r="F67" s="35"/>
      <c r="G67" s="35"/>
      <c r="H67" s="35"/>
      <c r="I67" s="35"/>
    </row>
    <row r="68" spans="1:9" x14ac:dyDescent="0.25">
      <c r="A68" s="14"/>
      <c r="B68" s="14"/>
      <c r="C68" s="14"/>
      <c r="D68" s="14"/>
      <c r="E68" s="14"/>
      <c r="F68" s="14"/>
      <c r="G68" s="14"/>
      <c r="H68" s="14"/>
      <c r="I68" s="14"/>
    </row>
  </sheetData>
  <pageMargins left="0.7" right="0.7" top="0.75" bottom="0.75" header="0.3" footer="0.3"/>
  <pageSetup orientation="portrait" horizontalDpi="4294967293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5" tint="-0.249977111117893"/>
    <pageSetUpPr fitToPage="1"/>
  </sheetPr>
  <dimension ref="A6:K89"/>
  <sheetViews>
    <sheetView showGridLines="0" showRowColHeaders="0" zoomScaleNormal="100" workbookViewId="0">
      <selection activeCell="K4" sqref="K4"/>
    </sheetView>
  </sheetViews>
  <sheetFormatPr baseColWidth="10" defaultRowHeight="15" outlineLevelRow="1" x14ac:dyDescent="0.25"/>
  <cols>
    <col min="1" max="1" width="7.42578125" customWidth="1"/>
    <col min="2" max="2" width="47.7109375" bestFit="1" customWidth="1"/>
    <col min="3" max="3" width="14.28515625" bestFit="1" customWidth="1"/>
    <col min="4" max="4" width="15.85546875" bestFit="1" customWidth="1"/>
    <col min="5" max="5" width="15" bestFit="1" customWidth="1"/>
    <col min="6" max="6" width="14.5703125" bestFit="1" customWidth="1"/>
  </cols>
  <sheetData>
    <row r="6" spans="2:6" ht="30" x14ac:dyDescent="0.25">
      <c r="B6" s="4" t="s">
        <v>5</v>
      </c>
      <c r="C6" s="16" t="s">
        <v>21</v>
      </c>
      <c r="D6" s="16" t="s">
        <v>12</v>
      </c>
      <c r="E6" s="16" t="s">
        <v>13</v>
      </c>
      <c r="F6" s="16" t="s">
        <v>17</v>
      </c>
    </row>
    <row r="7" spans="2:6" x14ac:dyDescent="0.25">
      <c r="B7" s="2" t="s">
        <v>29</v>
      </c>
      <c r="C7" s="23">
        <v>51464.345000000001</v>
      </c>
      <c r="D7" s="23">
        <v>6953.7531133299999</v>
      </c>
      <c r="E7" s="23">
        <v>6953.7531133299999</v>
      </c>
      <c r="F7" s="23">
        <v>6068.9383403299998</v>
      </c>
    </row>
    <row r="8" spans="2:6" x14ac:dyDescent="0.25">
      <c r="B8" s="2" t="s">
        <v>30</v>
      </c>
      <c r="C8" s="23">
        <v>19419.071</v>
      </c>
      <c r="D8" s="23">
        <v>12131.539118190001</v>
      </c>
      <c r="E8" s="23">
        <v>2518.2949529299999</v>
      </c>
      <c r="F8" s="23">
        <v>2516.2213139299997</v>
      </c>
    </row>
    <row r="9" spans="2:6" x14ac:dyDescent="0.25">
      <c r="B9" s="2" t="s">
        <v>31</v>
      </c>
      <c r="C9" s="23">
        <v>14851.09737</v>
      </c>
      <c r="D9" s="23">
        <v>31.325540359999998</v>
      </c>
      <c r="E9" s="23">
        <v>31.194319359999998</v>
      </c>
      <c r="F9" s="23">
        <v>31.194319359999998</v>
      </c>
    </row>
    <row r="10" spans="2:6" ht="30" x14ac:dyDescent="0.25">
      <c r="B10" s="12" t="s">
        <v>32</v>
      </c>
      <c r="C10" s="23">
        <v>14051.472</v>
      </c>
      <c r="D10" s="23">
        <v>0</v>
      </c>
      <c r="E10" s="23">
        <v>0</v>
      </c>
      <c r="F10" s="23">
        <v>0</v>
      </c>
    </row>
    <row r="11" spans="2:6" x14ac:dyDescent="0.25">
      <c r="B11" s="2" t="s">
        <v>6</v>
      </c>
      <c r="C11" s="23">
        <v>99785.985369999995</v>
      </c>
      <c r="D11" s="23">
        <v>19116.617771880003</v>
      </c>
      <c r="E11" s="23">
        <v>9503.2423856200003</v>
      </c>
      <c r="F11" s="23">
        <v>8616.35397362</v>
      </c>
    </row>
    <row r="16" spans="2:6" x14ac:dyDescent="0.25">
      <c r="B16" s="15"/>
      <c r="C16" s="15"/>
      <c r="D16" s="15"/>
      <c r="E16" s="15"/>
      <c r="F16" s="15"/>
    </row>
    <row r="17" spans="2:6" x14ac:dyDescent="0.25">
      <c r="B17" s="15"/>
      <c r="C17" s="15"/>
      <c r="D17" s="15"/>
      <c r="E17" s="15"/>
      <c r="F17" s="15"/>
    </row>
    <row r="18" spans="2:6" x14ac:dyDescent="0.25">
      <c r="B18" s="15"/>
      <c r="C18" s="15"/>
      <c r="D18" s="15"/>
      <c r="E18" s="15"/>
      <c r="F18" s="15"/>
    </row>
    <row r="19" spans="2:6" x14ac:dyDescent="0.25">
      <c r="B19" s="15"/>
      <c r="C19" s="15"/>
      <c r="D19" s="15"/>
      <c r="E19" s="15"/>
      <c r="F19" s="15"/>
    </row>
    <row r="20" spans="2:6" x14ac:dyDescent="0.25">
      <c r="B20" s="15"/>
      <c r="C20" s="15"/>
      <c r="D20" s="15"/>
      <c r="E20" s="15"/>
      <c r="F20" s="15"/>
    </row>
    <row r="21" spans="2:6" x14ac:dyDescent="0.25">
      <c r="B21" s="15"/>
      <c r="C21" s="15"/>
      <c r="D21" s="15"/>
      <c r="E21" s="15"/>
      <c r="F21" s="15"/>
    </row>
    <row r="22" spans="2:6" x14ac:dyDescent="0.25">
      <c r="B22" s="15"/>
      <c r="C22" s="15"/>
      <c r="D22" s="15"/>
      <c r="E22" s="15"/>
      <c r="F22" s="15"/>
    </row>
    <row r="23" spans="2:6" x14ac:dyDescent="0.25">
      <c r="B23" s="15"/>
      <c r="C23" s="15"/>
      <c r="D23" s="15"/>
      <c r="E23" s="15"/>
      <c r="F23" s="15"/>
    </row>
    <row r="24" spans="2:6" x14ac:dyDescent="0.25">
      <c r="B24" s="15"/>
      <c r="C24" s="15"/>
      <c r="D24" s="15"/>
      <c r="E24" s="15"/>
      <c r="F24" s="15"/>
    </row>
    <row r="25" spans="2:6" x14ac:dyDescent="0.25">
      <c r="B25" s="15"/>
      <c r="C25" s="15"/>
      <c r="D25" s="15"/>
      <c r="E25" s="15"/>
      <c r="F25" s="15"/>
    </row>
    <row r="26" spans="2:6" x14ac:dyDescent="0.25">
      <c r="B26" s="15"/>
      <c r="C26" s="15"/>
      <c r="D26" s="15"/>
      <c r="E26" s="15"/>
      <c r="F26" s="15"/>
    </row>
    <row r="27" spans="2:6" x14ac:dyDescent="0.25">
      <c r="B27" s="15"/>
      <c r="C27" s="15"/>
      <c r="D27" s="15"/>
      <c r="E27" s="15"/>
      <c r="F27" s="15"/>
    </row>
    <row r="28" spans="2:6" x14ac:dyDescent="0.25">
      <c r="B28" s="15"/>
      <c r="C28" s="15"/>
      <c r="D28" s="15"/>
      <c r="E28" s="15"/>
      <c r="F28" s="15"/>
    </row>
    <row r="29" spans="2:6" x14ac:dyDescent="0.25">
      <c r="B29" s="15"/>
      <c r="C29" s="15"/>
      <c r="D29" s="15"/>
      <c r="E29" s="15"/>
      <c r="F29" s="15"/>
    </row>
    <row r="30" spans="2:6" x14ac:dyDescent="0.25">
      <c r="B30" s="15"/>
      <c r="C30" s="15"/>
      <c r="D30" s="15"/>
      <c r="E30" s="15"/>
      <c r="F30" s="15"/>
    </row>
    <row r="31" spans="2:6" x14ac:dyDescent="0.25">
      <c r="B31" s="15"/>
      <c r="C31" s="15"/>
      <c r="D31" s="15"/>
      <c r="E31" s="15"/>
      <c r="F31" s="15"/>
    </row>
    <row r="32" spans="2:6" x14ac:dyDescent="0.25">
      <c r="B32" s="15"/>
      <c r="C32" s="15"/>
      <c r="D32" s="15"/>
      <c r="E32" s="15"/>
      <c r="F32" s="15"/>
    </row>
    <row r="33" spans="1:11" x14ac:dyDescent="0.25">
      <c r="B33" s="15"/>
      <c r="C33" s="15"/>
      <c r="D33" s="15"/>
      <c r="E33" s="15"/>
      <c r="F33" s="15"/>
    </row>
    <row r="34" spans="1:11" x14ac:dyDescent="0.25">
      <c r="B34" s="15"/>
      <c r="C34" s="15"/>
      <c r="D34" s="15"/>
      <c r="E34" s="15"/>
      <c r="F34" s="15"/>
    </row>
    <row r="35" spans="1:11" x14ac:dyDescent="0.25">
      <c r="B35" s="15"/>
      <c r="C35" s="15"/>
      <c r="D35" s="15"/>
      <c r="E35" s="15"/>
      <c r="F35" s="15"/>
    </row>
    <row r="36" spans="1:11" x14ac:dyDescent="0.25">
      <c r="B36" s="15"/>
      <c r="C36" s="15"/>
      <c r="D36" s="15"/>
      <c r="E36" s="15"/>
      <c r="F36" s="15"/>
    </row>
    <row r="37" spans="1:11" x14ac:dyDescent="0.25">
      <c r="B37" s="15"/>
      <c r="C37" s="15"/>
      <c r="D37" s="15"/>
      <c r="E37" s="15"/>
      <c r="F37" s="15"/>
    </row>
    <row r="38" spans="1:11" x14ac:dyDescent="0.25">
      <c r="B38" s="15"/>
      <c r="C38" s="15"/>
      <c r="D38" s="15"/>
      <c r="E38" s="15"/>
      <c r="F38" s="15"/>
    </row>
    <row r="39" spans="1:11" x14ac:dyDescent="0.25">
      <c r="B39" s="15"/>
      <c r="C39" s="15"/>
      <c r="D39" s="15"/>
      <c r="E39" s="15"/>
      <c r="F39" s="15"/>
    </row>
    <row r="40" spans="1:11" x14ac:dyDescent="0.25">
      <c r="B40" s="15"/>
      <c r="C40" s="15"/>
      <c r="D40" s="15"/>
      <c r="E40" s="15"/>
      <c r="F40" s="15"/>
    </row>
    <row r="41" spans="1:11" x14ac:dyDescent="0.25">
      <c r="B41" s="15"/>
      <c r="C41" s="15"/>
      <c r="D41" s="15"/>
      <c r="E41" s="15"/>
      <c r="F41" s="15"/>
    </row>
    <row r="42" spans="1:11" x14ac:dyDescent="0.25">
      <c r="A42" s="14"/>
      <c r="B42" s="20"/>
      <c r="C42" s="20"/>
      <c r="D42" s="20"/>
      <c r="E42" s="20"/>
      <c r="F42" s="19"/>
      <c r="G42" s="19"/>
      <c r="H42" s="10"/>
    </row>
    <row r="43" spans="1:11" x14ac:dyDescent="0.25">
      <c r="A43" s="14"/>
      <c r="B43" s="20" t="s">
        <v>5</v>
      </c>
      <c r="C43" s="20" t="s">
        <v>21</v>
      </c>
      <c r="D43" s="20" t="s">
        <v>12</v>
      </c>
      <c r="E43" s="20" t="s">
        <v>13</v>
      </c>
      <c r="F43" s="20" t="s">
        <v>17</v>
      </c>
      <c r="G43" s="20"/>
      <c r="H43" s="10"/>
    </row>
    <row r="44" spans="1:11" hidden="1" outlineLevel="1" x14ac:dyDescent="0.25">
      <c r="A44" s="35"/>
      <c r="B44" s="110" t="s">
        <v>29</v>
      </c>
      <c r="C44" s="110">
        <f>+GETPIVOTDATA(" APROPIACION
 VIGENTE",$B$6,"DESCRIPCION","A-01 -GASTOS DE PERSONAL")</f>
        <v>51464.345000000001</v>
      </c>
      <c r="D44" s="111">
        <f>+GETPIVOTDATA(" COMPROMISOS
 ACUMULADOS",$B$6,"DESCRIPCION","A-01 -GASTOS DE PERSONAL")/GETPIVOTDATA(" APROPIACION
 VIGENTE",$B$6,"DESCRIPCION","A-01 -GASTOS DE PERSONAL")</f>
        <v>0.13511787847159037</v>
      </c>
      <c r="E44" s="111">
        <f>+GETPIVOTDATA(" OBLIGACIONES
 ACUMULADAS",$B$6,"DESCRIPCION","A-01 -GASTOS DE PERSONAL")/GETPIVOTDATA(" APROPIACION
 VIGENTE",$B$6,"DESCRIPCION","A-01 -GASTOS DE PERSONAL")</f>
        <v>0.13511787847159037</v>
      </c>
      <c r="F44" s="111">
        <f>+GETPIVOTDATA(" PAGOS
 ACUMULADOS",$B$6,"DESCRIPCION","A-01 -GASTOS DE PERSONAL")/GETPIVOTDATA(" APROPIACION
 VIGENTE",$B$6,"DESCRIPCION","A-01 -GASTOS DE PERSONAL")</f>
        <v>0.11792510601912838</v>
      </c>
      <c r="G44" s="15"/>
      <c r="H44" s="15"/>
      <c r="I44" s="15"/>
      <c r="J44" s="15"/>
      <c r="K44" s="15"/>
    </row>
    <row r="45" spans="1:11" hidden="1" outlineLevel="1" x14ac:dyDescent="0.25">
      <c r="A45" s="35"/>
      <c r="B45" s="110" t="s">
        <v>30</v>
      </c>
      <c r="C45" s="110">
        <f>+GETPIVOTDATA(" APROPIACION
 VIGENTE",$B$6,"DESCRIPCION","A-02 -ADQUISICIÓN DE BIENES  Y SERVICIOS")</f>
        <v>19419.071</v>
      </c>
      <c r="D45" s="111">
        <f>+GETPIVOTDATA(" COMPROMISOS
 ACUMULADOS",$B$6,"DESCRIPCION","A-02 -ADQUISICIÓN DE BIENES  Y SERVICIOS")/GETPIVOTDATA(" APROPIACION
 VIGENTE",$B$6,"DESCRIPCION","A-02 -ADQUISICIÓN DE BIENES  Y SERVICIOS")</f>
        <v>0.62472293953660307</v>
      </c>
      <c r="E45" s="111">
        <f>+GETPIVOTDATA(" OBLIGACIONES
 ACUMULADAS",$B$6,"DESCRIPCION","A-02 -ADQUISICIÓN DE BIENES  Y SERVICIOS")/GETPIVOTDATA(" APROPIACION
 VIGENTE",$B$6,"DESCRIPCION","A-02 -ADQUISICIÓN DE BIENES  Y SERVICIOS")</f>
        <v>0.12968153589479126</v>
      </c>
      <c r="F45" s="111">
        <f>+GETPIVOTDATA(" PAGOS
 ACUMULADOS",$B$6,"DESCRIPCION","A-02 -ADQUISICIÓN DE BIENES  Y SERVICIOS")/GETPIVOTDATA(" APROPIACION
 VIGENTE",$B$6,"DESCRIPCION","A-02 -ADQUISICIÓN DE BIENES  Y SERVICIOS")</f>
        <v>0.12957475225926099</v>
      </c>
      <c r="G45" s="15"/>
      <c r="H45" s="15"/>
      <c r="I45" s="15"/>
      <c r="J45" s="15"/>
      <c r="K45" s="15"/>
    </row>
    <row r="46" spans="1:11" hidden="1" outlineLevel="1" x14ac:dyDescent="0.25">
      <c r="A46" s="35"/>
      <c r="B46" s="110" t="s">
        <v>31</v>
      </c>
      <c r="C46" s="110">
        <f>+GETPIVOTDATA(" APROPIACION
 VIGENTE",$B$6,"DESCRIPCION","A-03-TRANSFERENCIAS CORRIENTES")</f>
        <v>14851.09737</v>
      </c>
      <c r="D46" s="111">
        <f>+GETPIVOTDATA(" COMPROMISOS
 ACUMULADOS",$B$6,"DESCRIPCION","A-03-TRANSFERENCIAS CORRIENTES")/GETPIVOTDATA(" APROPIACION
 VIGENTE",$B$6,"DESCRIPCION","A-03-TRANSFERENCIAS CORRIENTES")</f>
        <v>2.1093081258277413E-3</v>
      </c>
      <c r="E46" s="111">
        <f>+GETPIVOTDATA(" OBLIGACIONES
 ACUMULADAS",$B$6,"DESCRIPCION","A-03-TRANSFERENCIAS CORRIENTES")/GETPIVOTDATA(" APROPIACION
 VIGENTE",$B$6,"DESCRIPCION","A-03-TRANSFERENCIAS CORRIENTES")</f>
        <v>2.1004723477885323E-3</v>
      </c>
      <c r="F46" s="111">
        <f>+GETPIVOTDATA(" PAGOS
 ACUMULADOS",$B$6,"DESCRIPCION","A-03-TRANSFERENCIAS CORRIENTES")/GETPIVOTDATA(" APROPIACION
 VIGENTE",$B$6,"DESCRIPCION","A-03-TRANSFERENCIAS CORRIENTES")</f>
        <v>2.1004723477885323E-3</v>
      </c>
      <c r="G46" s="15"/>
      <c r="H46" s="15"/>
      <c r="I46" s="15"/>
      <c r="J46" s="15"/>
      <c r="K46" s="15"/>
    </row>
    <row r="47" spans="1:11" hidden="1" outlineLevel="1" x14ac:dyDescent="0.25">
      <c r="A47" s="35"/>
      <c r="B47" s="110" t="s">
        <v>32</v>
      </c>
      <c r="C47" s="110">
        <f>+GETPIVOTDATA(" APROPIACION
 VIGENTE",$B$6,"DESCRIPCION","A-08-GASTOS POR TRIBUTOS, MULTAS, SANCIONES E INTERESES DE MORA")</f>
        <v>14051.472</v>
      </c>
      <c r="D47" s="111">
        <f>+GETPIVOTDATA(" COMPROMISOS
 ACUMULADOS",$B$6,"DESCRIPCION","A-08-GASTOS POR TRIBUTOS, MULTAS, SANCIONES E INTERESES DE MORA")/GETPIVOTDATA(" APROPIACION
 VIGENTE",$B$6,"DESCRIPCION","A-08-GASTOS POR TRIBUTOS, MULTAS, SANCIONES E INTERESES DE MORA")</f>
        <v>0</v>
      </c>
      <c r="E47" s="111">
        <f>+GETPIVOTDATA(" OBLIGACIONES
 ACUMULADAS",$B$6,"DESCRIPCION","A-08-GASTOS POR TRIBUTOS, MULTAS, SANCIONES E INTERESES DE MORA")/GETPIVOTDATA(" APROPIACION
 VIGENTE",$B$6,"DESCRIPCION","A-08-GASTOS POR TRIBUTOS, MULTAS, SANCIONES E INTERESES DE MORA")</f>
        <v>0</v>
      </c>
      <c r="F47" s="111">
        <f>+GETPIVOTDATA(" PAGOS
 ACUMULADOS",$B$6,"DESCRIPCION","A-08-GASTOS POR TRIBUTOS, MULTAS, SANCIONES E INTERESES DE MORA")/GETPIVOTDATA(" APROPIACION
 VIGENTE",$B$6,"DESCRIPCION","A-08-GASTOS POR TRIBUTOS, MULTAS, SANCIONES E INTERESES DE MORA")</f>
        <v>0</v>
      </c>
      <c r="G47" s="15"/>
      <c r="H47" s="15"/>
      <c r="I47" s="15"/>
      <c r="J47" s="15"/>
      <c r="K47" s="15"/>
    </row>
    <row r="48" spans="1:11" hidden="1" outlineLevel="1" x14ac:dyDescent="0.25">
      <c r="A48" s="35"/>
      <c r="B48" s="114" t="s">
        <v>6</v>
      </c>
      <c r="C48" s="114">
        <f>+GETPIVOTDATA(" APROPIACION
 VIGENTE",$B$6)</f>
        <v>99785.985369999995</v>
      </c>
      <c r="D48" s="121">
        <f>+GETPIVOTDATA(" COMPROMISOS
 ACUMULADOS",$B$6)/GETPIVOTDATA(" APROPIACION
 VIGENTE",$B$6)</f>
        <v>0.19157617876896058</v>
      </c>
      <c r="E48" s="121">
        <f>+GETPIVOTDATA(" OBLIGACIONES
 ACUMULADAS",$B$6)/GETPIVOTDATA(" APROPIACION
 VIGENTE",$B$6)</f>
        <v>9.5236243350031474E-2</v>
      </c>
      <c r="F48" s="121">
        <f>+GETPIVOTDATA(" PAGOS
 ACUMULADOS",$B$6)/GETPIVOTDATA(" APROPIACION
 VIGENTE",$B$6)</f>
        <v>8.6348337811879242E-2</v>
      </c>
      <c r="G48" s="15"/>
      <c r="H48" s="15"/>
      <c r="I48" s="15"/>
      <c r="J48" s="15"/>
      <c r="K48" s="15"/>
    </row>
    <row r="49" spans="1:11" collapsed="1" x14ac:dyDescent="0.25">
      <c r="A49" s="35"/>
      <c r="B49" s="112"/>
      <c r="C49" s="112"/>
      <c r="D49" s="112"/>
      <c r="E49" s="112"/>
      <c r="F49" s="113"/>
      <c r="G49" s="25"/>
      <c r="H49" s="25"/>
      <c r="I49" s="25"/>
      <c r="J49" s="25"/>
      <c r="K49" s="14"/>
    </row>
    <row r="50" spans="1:11" x14ac:dyDescent="0.25">
      <c r="A50" s="35"/>
      <c r="B50" s="35"/>
      <c r="C50" s="35"/>
      <c r="D50" s="35"/>
      <c r="E50" s="35"/>
      <c r="F50" s="25"/>
      <c r="G50" s="25"/>
      <c r="H50" s="25"/>
      <c r="I50" s="25"/>
      <c r="J50" s="25"/>
      <c r="K50" s="14"/>
    </row>
    <row r="51" spans="1:11" x14ac:dyDescent="0.25">
      <c r="A51" s="14"/>
      <c r="B51" s="25"/>
      <c r="C51" s="25"/>
      <c r="D51" s="25"/>
      <c r="E51" s="25"/>
      <c r="F51" s="25"/>
      <c r="G51" s="25"/>
      <c r="H51" s="25"/>
      <c r="I51" s="25"/>
      <c r="J51" s="25"/>
      <c r="K51" s="14"/>
    </row>
    <row r="52" spans="1:11" x14ac:dyDescent="0.25">
      <c r="A52" s="14"/>
      <c r="B52" s="25"/>
      <c r="C52" s="25"/>
      <c r="D52" s="25"/>
      <c r="E52" s="25"/>
      <c r="F52" s="25"/>
      <c r="G52" s="25"/>
      <c r="H52" s="25"/>
      <c r="I52" s="25"/>
      <c r="J52" s="25"/>
      <c r="K52" s="14"/>
    </row>
    <row r="53" spans="1:11" x14ac:dyDescent="0.25">
      <c r="A53" s="10"/>
      <c r="B53" s="25"/>
      <c r="C53" s="25"/>
      <c r="D53" s="25"/>
      <c r="E53" s="25"/>
      <c r="F53" s="25"/>
      <c r="G53" s="25"/>
      <c r="H53" s="25"/>
      <c r="I53" s="25"/>
      <c r="J53" s="25"/>
      <c r="K53" s="14"/>
    </row>
    <row r="54" spans="1:11" x14ac:dyDescent="0.25">
      <c r="B54" s="25"/>
      <c r="C54" s="25"/>
      <c r="D54" s="25"/>
      <c r="E54" s="25"/>
      <c r="F54" s="25"/>
      <c r="G54" s="25"/>
      <c r="H54" s="25"/>
      <c r="I54" s="25"/>
      <c r="J54" s="25"/>
      <c r="K54" s="14"/>
    </row>
    <row r="55" spans="1:11" x14ac:dyDescent="0.25">
      <c r="B55" s="25"/>
      <c r="C55" s="25"/>
      <c r="D55" s="25"/>
      <c r="E55" s="25"/>
      <c r="F55" s="25"/>
      <c r="G55" s="25"/>
      <c r="H55" s="25"/>
      <c r="I55" s="25"/>
      <c r="J55" s="25"/>
      <c r="K55" s="14"/>
    </row>
    <row r="56" spans="1:11" x14ac:dyDescent="0.25">
      <c r="B56" s="25"/>
      <c r="C56" s="25"/>
      <c r="D56" s="25"/>
      <c r="E56" s="25"/>
      <c r="F56" s="25"/>
      <c r="G56" s="25"/>
      <c r="H56" s="25"/>
      <c r="I56" s="25"/>
      <c r="J56" s="25"/>
      <c r="K56" s="14"/>
    </row>
    <row r="57" spans="1:11" x14ac:dyDescent="0.25">
      <c r="B57" s="25"/>
      <c r="C57" s="25"/>
      <c r="D57" s="25"/>
      <c r="E57" s="25"/>
      <c r="F57" s="25"/>
      <c r="G57" s="25"/>
      <c r="H57" s="25"/>
      <c r="I57" s="25"/>
      <c r="J57" s="25"/>
      <c r="K57" s="14"/>
    </row>
    <row r="58" spans="1:11" x14ac:dyDescent="0.25">
      <c r="B58" s="25"/>
      <c r="C58" s="25"/>
      <c r="D58" s="25"/>
      <c r="E58" s="25"/>
      <c r="F58" s="25"/>
      <c r="G58" s="25"/>
      <c r="H58" s="25"/>
      <c r="I58" s="25"/>
      <c r="J58" s="25"/>
      <c r="K58" s="14"/>
    </row>
    <row r="59" spans="1:11" x14ac:dyDescent="0.25">
      <c r="B59" s="25"/>
      <c r="C59" s="25"/>
      <c r="D59" s="25"/>
      <c r="E59" s="25"/>
      <c r="F59" s="25"/>
      <c r="G59" s="25"/>
      <c r="H59" s="25"/>
      <c r="I59" s="25"/>
      <c r="J59" s="25"/>
      <c r="K59" s="14"/>
    </row>
    <row r="60" spans="1:11" x14ac:dyDescent="0.25">
      <c r="B60" s="25"/>
      <c r="C60" s="25"/>
      <c r="D60" s="25"/>
      <c r="E60" s="25"/>
      <c r="F60" s="25"/>
      <c r="G60" s="25"/>
      <c r="H60" s="25"/>
      <c r="I60" s="25"/>
      <c r="J60" s="25"/>
      <c r="K60" s="14"/>
    </row>
    <row r="61" spans="1:1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x14ac:dyDescent="0.25">
      <c r="B63" s="14"/>
      <c r="C63" s="14"/>
      <c r="D63" s="14"/>
      <c r="E63" s="14"/>
      <c r="F63" s="14"/>
      <c r="G63" s="14"/>
      <c r="H63" s="14"/>
      <c r="I63" s="14"/>
      <c r="J63" s="14"/>
    </row>
    <row r="64" spans="1:11" x14ac:dyDescent="0.25">
      <c r="B64" s="14"/>
      <c r="C64" s="14"/>
      <c r="D64" s="14"/>
      <c r="E64" s="14"/>
      <c r="F64" s="14"/>
      <c r="G64" s="14"/>
      <c r="H64" s="14"/>
      <c r="I64" s="14"/>
      <c r="J64" s="14"/>
    </row>
    <row r="65" spans="2:10" x14ac:dyDescent="0.25">
      <c r="B65" s="14"/>
      <c r="C65" s="14"/>
      <c r="D65" s="14"/>
      <c r="E65" s="14"/>
      <c r="F65" s="14"/>
      <c r="G65" s="14"/>
      <c r="H65" s="14"/>
      <c r="I65" s="14"/>
      <c r="J65" s="14"/>
    </row>
    <row r="66" spans="2:10" x14ac:dyDescent="0.25">
      <c r="B66" s="14"/>
      <c r="C66" s="14"/>
      <c r="D66" s="14"/>
      <c r="E66" s="14"/>
      <c r="F66" s="14"/>
      <c r="G66" s="14"/>
      <c r="H66" s="14"/>
      <c r="I66" s="14"/>
      <c r="J66" s="14"/>
    </row>
    <row r="67" spans="2:10" x14ac:dyDescent="0.25">
      <c r="B67" s="14"/>
      <c r="C67" s="14"/>
      <c r="D67" s="14"/>
      <c r="E67" s="14"/>
      <c r="F67" s="14"/>
      <c r="G67" s="14"/>
      <c r="H67" s="14"/>
      <c r="I67" s="14"/>
      <c r="J67" s="14"/>
    </row>
    <row r="68" spans="2:10" x14ac:dyDescent="0.25">
      <c r="B68" s="14"/>
      <c r="C68" s="14"/>
      <c r="D68" s="14"/>
      <c r="E68" s="14"/>
      <c r="F68" s="14"/>
      <c r="G68" s="14"/>
      <c r="H68" s="14"/>
      <c r="I68" s="14"/>
      <c r="J68" s="14"/>
    </row>
    <row r="69" spans="2:10" x14ac:dyDescent="0.25">
      <c r="B69" s="14"/>
      <c r="C69" s="14"/>
      <c r="D69" s="14"/>
      <c r="E69" s="14"/>
      <c r="F69" s="14"/>
      <c r="G69" s="14"/>
      <c r="H69" s="14"/>
      <c r="I69" s="14"/>
      <c r="J69" s="14"/>
    </row>
    <row r="70" spans="2:10" x14ac:dyDescent="0.25">
      <c r="B70" s="14"/>
      <c r="C70" s="14"/>
      <c r="D70" s="14"/>
      <c r="E70" s="14"/>
      <c r="F70" s="14"/>
      <c r="G70" s="14"/>
      <c r="H70" s="14"/>
      <c r="I70" s="14"/>
      <c r="J70" s="14"/>
    </row>
    <row r="71" spans="2:10" x14ac:dyDescent="0.25">
      <c r="B71" s="14"/>
      <c r="C71" s="14"/>
      <c r="D71" s="14"/>
      <c r="E71" s="14"/>
      <c r="F71" s="14"/>
      <c r="G71" s="14"/>
      <c r="H71" s="14"/>
      <c r="I71" s="14"/>
      <c r="J71" s="14"/>
    </row>
    <row r="72" spans="2:10" x14ac:dyDescent="0.25">
      <c r="B72" s="14"/>
      <c r="C72" s="14"/>
      <c r="D72" s="14"/>
      <c r="E72" s="14"/>
      <c r="F72" s="14"/>
      <c r="G72" s="14"/>
      <c r="H72" s="14"/>
      <c r="I72" s="14"/>
      <c r="J72" s="14"/>
    </row>
    <row r="73" spans="2:10" x14ac:dyDescent="0.25">
      <c r="B73" s="14"/>
      <c r="C73" s="14"/>
      <c r="D73" s="14"/>
      <c r="E73" s="14"/>
      <c r="F73" s="14"/>
      <c r="G73" s="14"/>
      <c r="H73" s="14"/>
      <c r="I73" s="14"/>
      <c r="J73" s="14"/>
    </row>
    <row r="74" spans="2:10" x14ac:dyDescent="0.25">
      <c r="B74" s="14"/>
      <c r="C74" s="14"/>
      <c r="D74" s="14"/>
      <c r="E74" s="14"/>
      <c r="F74" s="14"/>
      <c r="G74" s="14"/>
      <c r="H74" s="14"/>
      <c r="I74" s="14"/>
      <c r="J74" s="14"/>
    </row>
    <row r="75" spans="2:10" x14ac:dyDescent="0.25">
      <c r="B75" s="14"/>
      <c r="C75" s="14"/>
      <c r="D75" s="14"/>
      <c r="E75" s="14"/>
      <c r="F75" s="14"/>
      <c r="G75" s="14"/>
      <c r="H75" s="14"/>
      <c r="I75" s="14"/>
      <c r="J75" s="14"/>
    </row>
    <row r="76" spans="2:10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0" x14ac:dyDescent="0.25">
      <c r="B77" s="14"/>
      <c r="C77" s="14"/>
      <c r="D77" s="14"/>
      <c r="E77" s="14"/>
      <c r="F77" s="14"/>
      <c r="G77" s="14"/>
      <c r="H77" s="14"/>
      <c r="I77" s="14"/>
      <c r="J77" s="14"/>
    </row>
    <row r="78" spans="2:10" x14ac:dyDescent="0.25">
      <c r="B78" s="14"/>
      <c r="C78" s="14"/>
      <c r="D78" s="14"/>
      <c r="E78" s="14"/>
      <c r="F78" s="14"/>
      <c r="G78" s="14"/>
      <c r="H78" s="14"/>
      <c r="I78" s="14"/>
      <c r="J78" s="14"/>
    </row>
    <row r="79" spans="2:10" x14ac:dyDescent="0.25">
      <c r="B79" s="14"/>
      <c r="C79" s="14"/>
      <c r="D79" s="14"/>
      <c r="E79" s="14"/>
      <c r="F79" s="14"/>
      <c r="G79" s="14"/>
      <c r="H79" s="14"/>
      <c r="I79" s="14"/>
      <c r="J79" s="14"/>
    </row>
    <row r="80" spans="2:10" x14ac:dyDescent="0.25">
      <c r="B80" s="14"/>
      <c r="C80" s="14"/>
      <c r="D80" s="14"/>
      <c r="E80" s="14"/>
      <c r="F80" s="14"/>
      <c r="G80" s="14"/>
      <c r="H80" s="14"/>
      <c r="I80" s="14"/>
      <c r="J80" s="14"/>
    </row>
    <row r="81" spans="2:10" x14ac:dyDescent="0.25">
      <c r="B81" s="14"/>
      <c r="C81" s="14"/>
      <c r="D81" s="14"/>
      <c r="E81" s="14"/>
      <c r="F81" s="14"/>
      <c r="G81" s="14"/>
      <c r="H81" s="14"/>
      <c r="I81" s="14"/>
      <c r="J81" s="14"/>
    </row>
    <row r="82" spans="2:10" x14ac:dyDescent="0.25">
      <c r="B82" s="14"/>
      <c r="C82" s="14"/>
      <c r="D82" s="14"/>
      <c r="E82" s="14"/>
      <c r="F82" s="14"/>
      <c r="G82" s="14"/>
      <c r="H82" s="14"/>
      <c r="I82" s="14"/>
      <c r="J82" s="14"/>
    </row>
    <row r="83" spans="2:10" x14ac:dyDescent="0.25">
      <c r="B83" s="14"/>
      <c r="C83" s="14"/>
      <c r="D83" s="14"/>
      <c r="E83" s="14"/>
      <c r="F83" s="14"/>
      <c r="G83" s="14"/>
      <c r="H83" s="14"/>
      <c r="I83" s="14"/>
      <c r="J83" s="14"/>
    </row>
    <row r="84" spans="2:10" x14ac:dyDescent="0.25">
      <c r="B84" s="14"/>
      <c r="C84" s="14"/>
      <c r="D84" s="14"/>
      <c r="E84" s="14"/>
      <c r="F84" s="14"/>
      <c r="G84" s="14"/>
      <c r="H84" s="14"/>
      <c r="I84" s="14"/>
      <c r="J84" s="14"/>
    </row>
    <row r="85" spans="2:10" x14ac:dyDescent="0.25">
      <c r="B85" s="14"/>
      <c r="C85" s="14"/>
      <c r="D85" s="14"/>
      <c r="E85" s="14"/>
      <c r="F85" s="14"/>
      <c r="G85" s="14"/>
      <c r="H85" s="14"/>
      <c r="I85" s="14"/>
      <c r="J85" s="14"/>
    </row>
    <row r="86" spans="2:10" x14ac:dyDescent="0.25">
      <c r="B86" s="14"/>
      <c r="C86" s="14"/>
      <c r="D86" s="14"/>
      <c r="E86" s="14"/>
      <c r="F86" s="14"/>
      <c r="G86" s="14"/>
      <c r="H86" s="14"/>
      <c r="I86" s="14"/>
      <c r="J86" s="14"/>
    </row>
    <row r="87" spans="2:10" x14ac:dyDescent="0.25">
      <c r="B87" s="14"/>
      <c r="C87" s="14"/>
      <c r="D87" s="14"/>
      <c r="E87" s="14"/>
      <c r="F87" s="14"/>
      <c r="G87" s="14"/>
      <c r="H87" s="14"/>
      <c r="I87" s="14"/>
      <c r="J87" s="14"/>
    </row>
    <row r="88" spans="2:10" x14ac:dyDescent="0.25">
      <c r="B88" s="14"/>
      <c r="C88" s="14"/>
      <c r="D88" s="14"/>
      <c r="E88" s="14"/>
      <c r="F88" s="14"/>
      <c r="G88" s="14"/>
      <c r="H88" s="14"/>
      <c r="I88" s="14"/>
      <c r="J88" s="14"/>
    </row>
    <row r="89" spans="2:10" x14ac:dyDescent="0.25">
      <c r="B89" s="14"/>
      <c r="C89" s="14"/>
      <c r="D89" s="14"/>
      <c r="E89" s="14"/>
      <c r="F89" s="14"/>
      <c r="G89" s="14"/>
      <c r="H89" s="14"/>
      <c r="I89" s="14"/>
      <c r="J89" s="14"/>
    </row>
  </sheetData>
  <pageMargins left="0.70866141732283472" right="0.70866141732283472" top="0.74803149606299213" bottom="0.74803149606299213" header="0.31496062992125984" footer="0.31496062992125984"/>
  <pageSetup scale="59" orientation="landscape" horizontalDpi="4294967293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theme="5" tint="-0.249977111117893"/>
    <pageSetUpPr fitToPage="1"/>
  </sheetPr>
  <dimension ref="B6:F40"/>
  <sheetViews>
    <sheetView showGridLines="0" showRowColHeaders="0" workbookViewId="0">
      <selection activeCell="F3" sqref="F3"/>
    </sheetView>
  </sheetViews>
  <sheetFormatPr baseColWidth="10" defaultRowHeight="15" x14ac:dyDescent="0.25"/>
  <cols>
    <col min="1" max="1" width="13.140625" customWidth="1"/>
    <col min="2" max="2" width="31.28515625" bestFit="1" customWidth="1"/>
    <col min="3" max="3" width="31.5703125" bestFit="1" customWidth="1"/>
    <col min="4" max="4" width="30.5703125" bestFit="1" customWidth="1"/>
    <col min="5" max="6" width="22.5703125" bestFit="1" customWidth="1"/>
  </cols>
  <sheetData>
    <row r="6" spans="2:6" x14ac:dyDescent="0.25">
      <c r="B6" s="9" t="s">
        <v>1</v>
      </c>
      <c r="C6" s="8" t="s">
        <v>157</v>
      </c>
    </row>
    <row r="8" spans="2:6" x14ac:dyDescent="0.25">
      <c r="B8" t="s">
        <v>156</v>
      </c>
      <c r="C8" t="s">
        <v>15</v>
      </c>
      <c r="D8" t="s">
        <v>16</v>
      </c>
      <c r="E8" t="s">
        <v>17</v>
      </c>
    </row>
    <row r="9" spans="2:6" x14ac:dyDescent="0.25">
      <c r="B9" s="24">
        <v>4505182025012</v>
      </c>
      <c r="C9" s="24">
        <v>4297736352262.46</v>
      </c>
      <c r="D9" s="24">
        <v>318609999615.84998</v>
      </c>
      <c r="E9" s="24">
        <v>318494046796.17993</v>
      </c>
    </row>
    <row r="11" spans="2:6" x14ac:dyDescent="0.25">
      <c r="B11" s="17"/>
      <c r="F11" s="1"/>
    </row>
    <row r="15" spans="2:6" x14ac:dyDescent="0.25">
      <c r="E15" s="5"/>
    </row>
    <row r="36" spans="2:4" x14ac:dyDescent="0.25">
      <c r="B36" s="122" t="str">
        <f>+CONCATENATE("PROYECTO","  ",C6)</f>
        <v>PROYECTO  (Todas)</v>
      </c>
      <c r="C36" s="122"/>
      <c r="D36" s="122"/>
    </row>
    <row r="37" spans="2:4" ht="52.5" customHeight="1" x14ac:dyDescent="0.25">
      <c r="B37" s="122"/>
      <c r="C37" s="122"/>
      <c r="D37" s="122"/>
    </row>
    <row r="38" spans="2:4" x14ac:dyDescent="0.25">
      <c r="D38" s="6"/>
    </row>
    <row r="40" spans="2:4" x14ac:dyDescent="0.25">
      <c r="B40" s="7"/>
    </row>
  </sheetData>
  <sheetProtection autoFilter="0" pivotTables="0"/>
  <mergeCells count="1">
    <mergeCell ref="B36:D37"/>
  </mergeCells>
  <pageMargins left="0.70866141732283472" right="0.70866141732283472" top="0.74803149606299213" bottom="0.74803149606299213" header="0.31496062992125984" footer="0.31496062992125984"/>
  <pageSetup scale="77" orientation="landscape" horizontalDpi="4294967293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1:G17"/>
  <sheetViews>
    <sheetView workbookViewId="0">
      <selection activeCell="E8" sqref="E8"/>
    </sheetView>
  </sheetViews>
  <sheetFormatPr baseColWidth="10" defaultRowHeight="15" x14ac:dyDescent="0.25"/>
  <cols>
    <col min="2" max="2" width="24.28515625" customWidth="1"/>
    <col min="3" max="3" width="26.7109375" bestFit="1" customWidth="1"/>
    <col min="4" max="4" width="35" customWidth="1"/>
    <col min="5" max="5" width="23" bestFit="1" customWidth="1"/>
    <col min="6" max="6" width="18" bestFit="1" customWidth="1"/>
    <col min="7" max="7" width="17.85546875" bestFit="1" customWidth="1"/>
    <col min="8" max="8" width="18" bestFit="1" customWidth="1"/>
    <col min="9" max="10" width="17.85546875" bestFit="1" customWidth="1"/>
  </cols>
  <sheetData>
    <row r="1" spans="2:7" ht="15.75" thickBot="1" x14ac:dyDescent="0.3"/>
    <row r="2" spans="2:7" ht="63.75" thickBot="1" x14ac:dyDescent="0.3">
      <c r="B2" s="45" t="s">
        <v>87</v>
      </c>
      <c r="C2" s="46" t="s">
        <v>88</v>
      </c>
      <c r="D2" s="47" t="s">
        <v>89</v>
      </c>
      <c r="E2" s="48" t="s">
        <v>90</v>
      </c>
    </row>
    <row r="3" spans="2:7" ht="16.5" thickBot="1" x14ac:dyDescent="0.3">
      <c r="B3" s="53" t="s">
        <v>26</v>
      </c>
      <c r="C3" s="54">
        <f>2249648633.2/1000000</f>
        <v>2249.6486331999999</v>
      </c>
      <c r="D3" s="55">
        <v>0</v>
      </c>
      <c r="E3" s="56">
        <f>2135218375.3/1000000</f>
        <v>2135.2183752999999</v>
      </c>
      <c r="F3" s="71"/>
      <c r="G3" s="58"/>
    </row>
    <row r="4" spans="2:7" ht="19.5" thickBot="1" x14ac:dyDescent="0.3">
      <c r="B4" s="49" t="s">
        <v>128</v>
      </c>
      <c r="C4" s="50">
        <f>53197266014.59/1000000</f>
        <v>53197.266014589994</v>
      </c>
      <c r="D4" s="51">
        <f>0/1000000</f>
        <v>0</v>
      </c>
      <c r="E4" s="52">
        <f>9593137523.5/1000000</f>
        <v>9593.1375234999996</v>
      </c>
      <c r="F4" s="70"/>
      <c r="G4" s="71"/>
    </row>
    <row r="6" spans="2:7" x14ac:dyDescent="0.25">
      <c r="C6" s="57"/>
      <c r="D6" s="57"/>
      <c r="E6" s="57"/>
    </row>
    <row r="7" spans="2:7" ht="15.75" thickBot="1" x14ac:dyDescent="0.3">
      <c r="E7" s="44"/>
    </row>
    <row r="8" spans="2:7" ht="63.75" thickBot="1" x14ac:dyDescent="0.3">
      <c r="B8" s="45" t="s">
        <v>87</v>
      </c>
      <c r="C8" s="56" t="s">
        <v>99</v>
      </c>
      <c r="E8" s="44"/>
    </row>
    <row r="9" spans="2:7" ht="19.5" thickBot="1" x14ac:dyDescent="0.3">
      <c r="B9" s="53" t="s">
        <v>26</v>
      </c>
      <c r="C9" s="52">
        <f>2249648633.2/1000000</f>
        <v>2249.6486331999999</v>
      </c>
    </row>
    <row r="10" spans="2:7" ht="19.5" thickBot="1" x14ac:dyDescent="0.3">
      <c r="B10" s="49" t="s">
        <v>91</v>
      </c>
      <c r="C10" s="48">
        <f>53197266014.59/1000000</f>
        <v>53197.266014589994</v>
      </c>
      <c r="D10" s="67"/>
    </row>
    <row r="12" spans="2:7" x14ac:dyDescent="0.25">
      <c r="C12" s="67"/>
      <c r="D12" s="67"/>
      <c r="E12" s="67"/>
      <c r="F12" s="71"/>
      <c r="G12" s="72"/>
    </row>
    <row r="13" spans="2:7" x14ac:dyDescent="0.25">
      <c r="C13" s="44"/>
    </row>
    <row r="14" spans="2:7" x14ac:dyDescent="0.25">
      <c r="C14" s="44"/>
    </row>
    <row r="16" spans="2:7" x14ac:dyDescent="0.25">
      <c r="C16" s="44"/>
    </row>
    <row r="17" spans="3:3" x14ac:dyDescent="0.25">
      <c r="C17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theme="5" tint="-0.249977111117893"/>
    <pageSetUpPr fitToPage="1"/>
  </sheetPr>
  <dimension ref="B7:F12"/>
  <sheetViews>
    <sheetView showGridLines="0" showRowColHeaders="0" zoomScaleNormal="100" workbookViewId="0">
      <selection activeCell="K4" sqref="K4"/>
    </sheetView>
  </sheetViews>
  <sheetFormatPr baseColWidth="10" defaultRowHeight="15" x14ac:dyDescent="0.25"/>
  <cols>
    <col min="2" max="2" width="21.42578125" customWidth="1"/>
    <col min="3" max="3" width="18.7109375" customWidth="1"/>
  </cols>
  <sheetData>
    <row r="7" spans="2:6" x14ac:dyDescent="0.25">
      <c r="B7" s="2"/>
      <c r="C7" s="23"/>
    </row>
    <row r="8" spans="2:6" x14ac:dyDescent="0.25">
      <c r="B8" s="62" t="s">
        <v>5</v>
      </c>
      <c r="C8" s="58" t="s">
        <v>100</v>
      </c>
    </row>
    <row r="9" spans="2:6" x14ac:dyDescent="0.25">
      <c r="B9" s="59" t="s">
        <v>26</v>
      </c>
      <c r="C9" s="58">
        <v>2249.6486331999999</v>
      </c>
    </row>
    <row r="10" spans="2:6" x14ac:dyDescent="0.25">
      <c r="B10" s="59" t="s">
        <v>91</v>
      </c>
      <c r="C10" s="58">
        <v>53197.266014589994</v>
      </c>
    </row>
    <row r="11" spans="2:6" x14ac:dyDescent="0.25">
      <c r="B11" s="59" t="s">
        <v>6</v>
      </c>
      <c r="C11" s="58">
        <v>55446.914647789992</v>
      </c>
      <c r="D11" s="66" t="s">
        <v>103</v>
      </c>
    </row>
    <row r="12" spans="2:6" x14ac:dyDescent="0.25">
      <c r="F12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0" ma:contentTypeDescription="Crear nuevo documento." ma:contentTypeScope="" ma:versionID="6ad9a61999b7c12e7f6bc018e32744c0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aad4df78d1b7c821a7c252d964c7c1f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887A31-34A5-45FE-AECA-A16C6550B9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A3A7B3-6529-4A35-9B59-E945B2D657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AFD593-131C-4F54-B04A-0B35293B06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Gráficos</vt:lpstr>
      </vt:variant>
      <vt:variant>
        <vt:i4>1</vt:i4>
      </vt:variant>
    </vt:vector>
  </HeadingPairs>
  <TitlesOfParts>
    <vt:vector size="14" baseType="lpstr">
      <vt:lpstr>Menú</vt:lpstr>
      <vt:lpstr>Participación Apropiación </vt:lpstr>
      <vt:lpstr>Resumen Eje Egreso</vt:lpstr>
      <vt:lpstr>INVERSIÓN</vt:lpstr>
      <vt:lpstr>APR VS RP  Y OBLIGACIÓN Y PAGO</vt:lpstr>
      <vt:lpstr>APR,RP´S,OBL Y PAGO FUNCIONAMIE</vt:lpstr>
      <vt:lpstr>INVERSIÓN APR VS RP Y OBLI</vt:lpstr>
      <vt:lpstr>Reservas Presupuestales</vt:lpstr>
      <vt:lpstr>Participación por Concepto</vt:lpstr>
      <vt:lpstr>EJECUCIÓN  RESERVA</vt:lpstr>
      <vt:lpstr>CXP</vt:lpstr>
      <vt:lpstr>PART. CUENTA X PAGAR CONCEPTO </vt:lpstr>
      <vt:lpstr>EJECUCIÓN CUENTA POR PAGAR 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Aura Simona Orozco Mindiola</cp:lastModifiedBy>
  <cp:lastPrinted>2019-07-30T21:44:52Z</cp:lastPrinted>
  <dcterms:created xsi:type="dcterms:W3CDTF">2018-03-13T13:24:17Z</dcterms:created>
  <dcterms:modified xsi:type="dcterms:W3CDTF">2022-08-05T16:23:21Z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</Properties>
</file>