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pivotTables/pivotTable5.xml" ContentType="application/vnd.openxmlformats-officedocument.spreadsheetml.pivotTable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8.xml" ContentType="application/vnd.openxmlformats-officedocument.spreadsheetml.pivot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nionline-my.sharepoint.com/personal/asorozco_ani_gov_co/Documents/PRESUPUESTO/EJECUCIONES PRESUPUESTO/ejecuciones excell2022 publicar/graficas lili/"/>
    </mc:Choice>
  </mc:AlternateContent>
  <xr:revisionPtr revIDLastSave="0" documentId="13_ncr:1_{DC783D34-D64E-47FC-AAB9-46A9A235AFF4}" xr6:coauthVersionLast="47" xr6:coauthVersionMax="47" xr10:uidLastSave="{00000000-0000-0000-0000-000000000000}"/>
  <bookViews>
    <workbookView xWindow="-120" yWindow="-120" windowWidth="20730" windowHeight="11160" tabRatio="0" firstSheet="7" activeTab="1" xr2:uid="{00000000-000D-0000-FFFF-FFFF00000000}"/>
  </bookViews>
  <sheets>
    <sheet name="Gráfico1" sheetId="14" state="hidden" r:id="rId1"/>
    <sheet name="Menú" sheetId="8" r:id="rId2"/>
    <sheet name="Participación Apropiación " sheetId="2" r:id="rId3"/>
    <sheet name="Resumen Eje Egreso" sheetId="1" state="hidden" r:id="rId4"/>
    <sheet name="INVERSIÓN" sheetId="4" state="hidden" r:id="rId5"/>
    <sheet name="APR VS RP  Y OBLIGACIÓN Y PAGO" sheetId="3" r:id="rId6"/>
    <sheet name="APR,RP´S,OBL Y PAGO FUNCIONAMIE" sheetId="5" r:id="rId7"/>
    <sheet name="INVERSIÓN APR VS RP Y OBLI" sheetId="7" r:id="rId8"/>
    <sheet name="Reservas Presupuestales" sheetId="9" state="hidden" r:id="rId9"/>
    <sheet name="Participación por Concepto" sheetId="12" r:id="rId10"/>
    <sheet name="EJECUCIÓN  RESERVA" sheetId="10" r:id="rId11"/>
    <sheet name="CXP" sheetId="13" state="hidden" r:id="rId12"/>
    <sheet name="PART. CUENTA X PAGAR CONCEPTO " sheetId="17" r:id="rId13"/>
    <sheet name="EJECUCIÓN CUENTA POR PAGAR " sheetId="19" r:id="rId14"/>
  </sheets>
  <calcPr calcId="191029"/>
  <pivotCaches>
    <pivotCache cacheId="71" r:id="rId15"/>
    <pivotCache cacheId="72" r:id="rId16"/>
    <pivotCache cacheId="73" r:id="rId17"/>
    <pivotCache cacheId="74" r:id="rId18"/>
    <pivotCache cacheId="75" r:id="rId19"/>
    <pivotCache cacheId="76" r:id="rId2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3" l="1"/>
  <c r="C9" i="13"/>
  <c r="E4" i="13"/>
  <c r="D4" i="13"/>
  <c r="C4" i="13"/>
  <c r="E3" i="13"/>
  <c r="C3" i="13"/>
  <c r="C10" i="9"/>
  <c r="C9" i="9"/>
  <c r="E4" i="9"/>
  <c r="D4" i="9"/>
  <c r="C4" i="9"/>
  <c r="E3" i="9"/>
  <c r="C3" i="9"/>
  <c r="I38" i="4"/>
  <c r="H38" i="4"/>
  <c r="G38" i="4"/>
  <c r="F38" i="4"/>
  <c r="E38" i="4"/>
  <c r="D38" i="4"/>
  <c r="G20" i="1"/>
  <c r="F20" i="1"/>
  <c r="E20" i="1"/>
  <c r="D20" i="1"/>
  <c r="C20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G2" i="1"/>
  <c r="F2" i="1"/>
  <c r="E2" i="1"/>
  <c r="D2" i="1"/>
  <c r="C2" i="1"/>
  <c r="E46" i="19"/>
  <c r="E46" i="10"/>
  <c r="D45" i="10"/>
  <c r="E48" i="19"/>
  <c r="C46" i="10"/>
  <c r="E47" i="10"/>
  <c r="D47" i="19"/>
  <c r="E45" i="10"/>
  <c r="D46" i="19"/>
  <c r="D46" i="10"/>
  <c r="C47" i="19"/>
  <c r="C46" i="19"/>
  <c r="E47" i="19"/>
  <c r="C45" i="10"/>
  <c r="C47" i="10" l="1"/>
  <c r="C48" i="19"/>
  <c r="D47" i="10"/>
  <c r="D48" i="19"/>
  <c r="B36" i="7"/>
  <c r="E45" i="5"/>
  <c r="C47" i="5"/>
  <c r="D45" i="5"/>
  <c r="E44" i="3"/>
  <c r="C48" i="5"/>
  <c r="C43" i="3"/>
  <c r="C42" i="3"/>
  <c r="C45" i="3"/>
  <c r="E45" i="3"/>
  <c r="C45" i="5"/>
  <c r="C46" i="5"/>
  <c r="F42" i="3"/>
  <c r="D44" i="5"/>
  <c r="E47" i="5"/>
  <c r="F45" i="3"/>
  <c r="D45" i="3"/>
  <c r="E44" i="5"/>
  <c r="D48" i="5"/>
  <c r="F44" i="3"/>
  <c r="F47" i="5"/>
  <c r="D47" i="5"/>
  <c r="F46" i="5"/>
  <c r="C44" i="3"/>
  <c r="D46" i="5"/>
  <c r="F48" i="5"/>
  <c r="F43" i="3"/>
  <c r="E48" i="5"/>
  <c r="F44" i="5"/>
  <c r="E43" i="3"/>
  <c r="E46" i="5"/>
  <c r="F45" i="5"/>
  <c r="C44" i="5"/>
  <c r="D43" i="3"/>
  <c r="D44" i="3"/>
  <c r="D42" i="3"/>
  <c r="E42" i="3"/>
</calcChain>
</file>

<file path=xl/sharedStrings.xml><?xml version="1.0" encoding="utf-8"?>
<sst xmlns="http://schemas.openxmlformats.org/spreadsheetml/2006/main" count="244" uniqueCount="161">
  <si>
    <t>CODIFICACION
PRESUPUESTAL</t>
  </si>
  <si>
    <t>DESCRIPCION</t>
  </si>
  <si>
    <t>A</t>
  </si>
  <si>
    <t>B</t>
  </si>
  <si>
    <t>C</t>
  </si>
  <si>
    <t>Etiquetas de fila</t>
  </si>
  <si>
    <t>Total general</t>
  </si>
  <si>
    <t>APROPIACION
 VIGENTE</t>
  </si>
  <si>
    <t>CERTIFICADOS
 ACUMULADOS</t>
  </si>
  <si>
    <t>COMPROMISOS
 ACUMULADOS</t>
  </si>
  <si>
    <t>OBLIGACIONES
 ACUMULADAS</t>
  </si>
  <si>
    <t>PAGOS
A CUMULADOS</t>
  </si>
  <si>
    <t xml:space="preserve"> COMPROMISOS
 ACUMULADOS</t>
  </si>
  <si>
    <t xml:space="preserve"> OBLIGACIONES
 ACUMULADAS</t>
  </si>
  <si>
    <t>PAGOS
 ACUMULADOS</t>
  </si>
  <si>
    <t>2 COMPROMISOS
 ACUMULADOS</t>
  </si>
  <si>
    <t>3 OBLIGACIONES
 ACUMULADAS</t>
  </si>
  <si>
    <t xml:space="preserve"> PAGOS
 ACUMULADOS</t>
  </si>
  <si>
    <t xml:space="preserve"> OBLIGACIONES</t>
  </si>
  <si>
    <t xml:space="preserve"> PAGOS</t>
  </si>
  <si>
    <t>APROPIACION</t>
  </si>
  <si>
    <t xml:space="preserve"> APROPIACION
 VIGENTE</t>
  </si>
  <si>
    <t>A-01</t>
  </si>
  <si>
    <t>A-02</t>
  </si>
  <si>
    <t>A-03</t>
  </si>
  <si>
    <t>A-08</t>
  </si>
  <si>
    <t>A-FUNCIONAMIENTO</t>
  </si>
  <si>
    <t>B-SERVICIO DE LA DEUDA PÚBLICA</t>
  </si>
  <si>
    <t>C- INVERSION</t>
  </si>
  <si>
    <t>A-01 -GASTOS DE PERSONAL</t>
  </si>
  <si>
    <t>A-02 -ADQUISICIÓN DE BIENES  Y SERVICIOS</t>
  </si>
  <si>
    <t>A-03-TRANSFERENCIAS CORRIENTES</t>
  </si>
  <si>
    <t>A-08-GASTOS POR TRIBUTOS, MULTAS, SANCIONES E INTERESES DE MORA</t>
  </si>
  <si>
    <t xml:space="preserve">Codigo </t>
  </si>
  <si>
    <t>C-2401-0600-38</t>
  </si>
  <si>
    <t>C-2401-0600-54</t>
  </si>
  <si>
    <t>MEJORAMIENTO DE LA CONCESIÓN ARMENIA PEREIRA MANIZALES  RISARALDA, CALDAS, QUINDIO, VALLE DEL CAUCA</t>
  </si>
  <si>
    <t>C-2404-0600-2</t>
  </si>
  <si>
    <t>REHABILITACIÓN CONSTRUCCIÓN Y MANTENIMIENTO DE LA RED FÉRREA A NIVEL NACIONAL  NACIONAL</t>
  </si>
  <si>
    <t>C-2405-0600-2</t>
  </si>
  <si>
    <t>C-2499-0600-7</t>
  </si>
  <si>
    <t>C-2499-0600-8</t>
  </si>
  <si>
    <t>C-2499-0600-9</t>
  </si>
  <si>
    <t>COMPROMISOS</t>
  </si>
  <si>
    <t>C-2499-0600-10</t>
  </si>
  <si>
    <t>Porcentaje Participación de la Apropiación  por Concepto de Gasto</t>
  </si>
  <si>
    <t xml:space="preserve">Comparativo Ejecución  Presupuestal del  Presupuesto de Funcionamiento </t>
  </si>
  <si>
    <t xml:space="preserve">Detalle Ejecución Presupuestal por Proyecto de Inversión </t>
  </si>
  <si>
    <t>MEJORAMIENTO CONSTRUCCIÓN REHABILITACIÓN, MANTENIMIENTO Y OPERACIÓN, DEL CORREDOR VIAL PAMPLONA - CUCÚTA DEPARTAMENTO DE   NORTE DE SANTANDER</t>
  </si>
  <si>
    <t>MEJORAMIENTO , CONSTRUCCIÓN, REHABILITACIÓN, MANTENIMIENTO  Y OPERACIÓN DEL CORREDOR BUCARAMANGA, BARRANCABERMEJA, YONDÓ EN LOS DEPARTAMENTOS DE   ANTIOQUIA, SANTANDER</t>
  </si>
  <si>
    <t>CONSTRUCCIÓN OPERACIÓN Y MANTENIMIENTO DE LA CONCESIÓN AUTOPISTA CONEXIÓN PACIFICO 1 - AUTOPISTAS PARA LA PROSPERIDAD ANTIOQUIA</t>
  </si>
  <si>
    <t>MEJORAMIENTO REHABILITACIÓN, CONSTRUCCIÓN, MANTENIMIENTO Y OPERACIÓN DEL CORREDOR SANTANA - MOCOA - NEIVA, DEPARTAMENTOS DE  HUILA, PUTUMAYO, CAUCA</t>
  </si>
  <si>
    <t>MEJORAMIENTO REHABILITACIÓN, CONSTRUCCIÓN , MANTENIMIENTO  Y OPERACIÓN DEL CORREDOR POPAYAN - SANTANDER DE QUILICHAO EN EL DEPARTAMENTO DEL     CAUCA</t>
  </si>
  <si>
    <t>MEJORAMIENTO CONSTRUCCIÓN, MANTENIMIENTO Y OPERACIÓN DEL CORREDOR CONEXIÓN NORTE, AUTOPISTAS PARA LA PROSPERIDAD   ANTIOQUIA</t>
  </si>
  <si>
    <t>MEJORAMIENTO CONSTRUCCIÓN, REHABILITACIÓN Y MANTENIMIENTO DEL CORREDOR VILLAVICENCIO - YOPAL DEPARTAMENTOS DEL   META, CASANARE</t>
  </si>
  <si>
    <t>REHABILITACIÓN MEJORAMIENTO, CONSTRUCCIÓN, MANTENIMIENTO Y OPERACIÓN DEL CORREDOR CARTAGENA - BARRANQUILLA Y CIRCUNVALAR DE LA PROSPERIDAD, DEPARTAMENTOS DE   ATLÁNTICO, BOLÍVAR</t>
  </si>
  <si>
    <t>MEJORAMIENTO  CONSTRUCCIÓN, OPERACIÓN, Y MANTENIMIENTO DE LA AUTOPISTA CONEXIÓN PACIFICO 3  AUTOPISTAS PARA LA PROSPERIDAD   ANTIOQUIA</t>
  </si>
  <si>
    <t>MEJORAMIENTO REHABILITACIÓN, CONSTRUCCIÓN, MANTENIMIENTO, Y OPERACIÓN DEL CORREDOR RUMICHACA - PASTO EN EL DEPARTAMENTO DE    NARIÑO</t>
  </si>
  <si>
    <t>REHABILITACIÓN MEJORAMIENTO, OPERACIÓN Y MANTENIMIENTO DEL CORREDOR PERIMETRAL DE CUNDINAMARCA, CENTRO ORIENTE   CUNDINAMARCA</t>
  </si>
  <si>
    <t>MEJORAMIENTO CONSTRUCCIÓN, REHABILITACIÓN OPERACIÓN Y MANTENIMIENTO DE LA CONCESIÓN AUTOPISTA AL MAR 2   ANTIOQUIA</t>
  </si>
  <si>
    <t>MEJORAMIENTO REHABILITACIÓN Y MANTENIMIENTO DEL CORREDOR HONDA - PUERTO SALGAR - GIRARDOT, DEPARTAMENTOS DE    CUNDINAMARCA, CALDAS, TOLIMA</t>
  </si>
  <si>
    <t>MEJORAMIENTO DEL CORREDOR PUERTA DE HIERRO - PALMAR DE VARELA Y CARRETO - CRUZ DEL VISO EN LOS DEPARTAMENTOS DE    ATLÁNTICO, BOLÍVAR, SUCRE</t>
  </si>
  <si>
    <t>CONTROL Y SEGUIMIENTO A LA OPERACIÓN DE LOS PUERTOS CONCESIONADOS   NACIONAL</t>
  </si>
  <si>
    <t>C-2401-0600-72</t>
  </si>
  <si>
    <t>C-2401-0600-59</t>
  </si>
  <si>
    <t>C-2401-0600-60</t>
  </si>
  <si>
    <t>C-2401-0600-61</t>
  </si>
  <si>
    <t>C-2401-0600-62</t>
  </si>
  <si>
    <t>C-2401-0600-63</t>
  </si>
  <si>
    <t>C-2401-0600-64</t>
  </si>
  <si>
    <t>C-2401-0600-65</t>
  </si>
  <si>
    <t>C-2401-0600-66</t>
  </si>
  <si>
    <t>C-2401-0600-67</t>
  </si>
  <si>
    <t>C-2401-0600-68</t>
  </si>
  <si>
    <t>C-2401-0600-69</t>
  </si>
  <si>
    <t>C-2401-0600-70</t>
  </si>
  <si>
    <t>C-2401-0600-71</t>
  </si>
  <si>
    <t>C-2401-0600-73</t>
  </si>
  <si>
    <t>C-2401-0600-74</t>
  </si>
  <si>
    <t>C-2401-0600-75</t>
  </si>
  <si>
    <t>C-2401-0600-76</t>
  </si>
  <si>
    <t>C-2401-0600-77</t>
  </si>
  <si>
    <t>C-2401-0600-78</t>
  </si>
  <si>
    <t>C-2401-0600-79</t>
  </si>
  <si>
    <t>C-2403-0600-4</t>
  </si>
  <si>
    <t>C-2404-0600-4</t>
  </si>
  <si>
    <t>C-2405-0600-4</t>
  </si>
  <si>
    <t xml:space="preserve">DENOMINACIÓN DEL CÓDIGO PRESUPUESTAL
</t>
  </si>
  <si>
    <t>RESERVAS CONSTITUIDAS
(1)</t>
  </si>
  <si>
    <t>CANCELACIONES RESERVAS PRESUPUESTALES
 (2)</t>
  </si>
  <si>
    <t>TOTAL PAGOS
ACUMULADOS
(5)</t>
  </si>
  <si>
    <t>B-INVERSIÓN</t>
  </si>
  <si>
    <t xml:space="preserve">RESERVAS CONSTITUIDAS
</t>
  </si>
  <si>
    <t>CONCEPTO</t>
  </si>
  <si>
    <t xml:space="preserve">CANCELACIONES RESERVAS PRESUPUESTALES
 </t>
  </si>
  <si>
    <t xml:space="preserve">PAGOS
ACUMULADOS
</t>
  </si>
  <si>
    <t>Ejecución Presupuesto de Gastos</t>
  </si>
  <si>
    <t>Ejecución Reserva Presupuestal Constituida</t>
  </si>
  <si>
    <t>Porcentaje Participación de la Reserva por Concepto de Gasto</t>
  </si>
  <si>
    <t>Reservas Vigente</t>
  </si>
  <si>
    <t>Reservas Vigentes</t>
  </si>
  <si>
    <t>Ejecución Acumulada Reservas Constituidas</t>
  </si>
  <si>
    <t>Ejecución Reservas Presupuestales por Concepto</t>
  </si>
  <si>
    <t>Cifras en millones de Pesos</t>
  </si>
  <si>
    <t>C-2401-0600-80</t>
  </si>
  <si>
    <t xml:space="preserve">MEJORAMIENTO APOYO ESTATAL PROYECTO DE CONCESIÓN RUTA DEL SOL SECTOR III,   CESAR, BOLÍVAR, MAGDALENA </t>
  </si>
  <si>
    <t>REHABILITACIÓN CONSTRUCCIÓN, MEJORAMIENTO, OPERACIÓN Y MANTENIMIENTO DE LA CONCESIÓN AUTOPISTA AL RIO MAGDALENA 2, DEPARTAMENTOS DE ANTIOQUIA, SANTANDER</t>
  </si>
  <si>
    <t>CONSTRUCCIÓN OPERACIÓN Y MANTENIMIENTO DE LA VÍA MULALO - LOBOGUERRERO, DEPARTAMENTO DEL VALLE DEL CAUCA</t>
  </si>
  <si>
    <t>MEJORAMIENTO REHABILITACIÓN, CONSTRUCCIÓN, MANTENIMIENTO Y OPERACIÓN DEL CORREDOR BUCARAMANGA PAMPLONA NORTE DE SANTANDER</t>
  </si>
  <si>
    <t>MEJORAMIENTO REHABILITACIÓN, MANTENIMIENTO Y OPERACIÓN DEL CORREDOR TRANSVERSAL DEL SISGA, DEPARTAMENTOS DE BOYACÁ, CUNDINAMARCA, CASANARE</t>
  </si>
  <si>
    <t>MEJORAMIENTO CONSTRUCCIÓN, OPERACIÓN Y MANTENIMIENTO DE LA CONCESIÓN AUTOPISTA CONEXIÓN PACIFICO 2 ANTIOQUIA</t>
  </si>
  <si>
    <t>MEJORAMIENTO CONSTRUCCIÓN, REHABILITACIÓN, OPERACIÓN Y MANTENIMIENTO DE LA CONCESIÓN AUTOPISTA AL MAR 1, DEPARTAMENTO DE ANTIOQUIA</t>
  </si>
  <si>
    <t>CONTROL Y SEGUIMIENTO A LA OPERACIÓN DE LOS AEROPUERTOS CONCESIONADOS  NACIONAL</t>
  </si>
  <si>
    <t>CONTROL Y SEGUIMIENTO A LA OPERACIÓN DE LAS VÍAS FÉRREAS  NACIONAL</t>
  </si>
  <si>
    <t>Apropiación Condicionada o Bloqueada</t>
  </si>
  <si>
    <t>Denominación del Rubro</t>
  </si>
  <si>
    <t>FUNCIONAMIENTO</t>
  </si>
  <si>
    <t>GASTOS DE PERSONAL</t>
  </si>
  <si>
    <t>Apropiación Vigente
(1)</t>
  </si>
  <si>
    <t>Certificados Acumulados
(2)</t>
  </si>
  <si>
    <t>Compromisos
Acumulados
(3)</t>
  </si>
  <si>
    <t>Obligaciones
Acumuladas
(4)</t>
  </si>
  <si>
    <t>Pagos
Acumulados
(5)</t>
  </si>
  <si>
    <t>ADQUISICIÓN DE BIENES  Y SERVICIOS</t>
  </si>
  <si>
    <t>TRANSFERENCIAS CORRIENTES</t>
  </si>
  <si>
    <t>GASTOS POR TRIBUTOS, MULTAS, SANCIONES E INTERESES DE MORA</t>
  </si>
  <si>
    <t>SERVICIO DE LA DEUDA PÚBLICA</t>
  </si>
  <si>
    <t>INVERSION</t>
  </si>
  <si>
    <t>C-INVERSIÓN</t>
  </si>
  <si>
    <t>C-2403-0600-5</t>
  </si>
  <si>
    <t>APOYO ESTATAL A LOS AEROPUERTOS A NIVEL NACIONAL  NACIONAL</t>
  </si>
  <si>
    <t>C-2406-0600-1</t>
  </si>
  <si>
    <t>CONTROL Y SEGUIMIENTO A LAS VIAS FLUVIALES  NACIONAL</t>
  </si>
  <si>
    <t>CONTROL Y SEGUIMIENTO A LA OPERACIÓN DE LAS VÍAS PRIMARIAS CONCESIONADAS  NACIONAL</t>
  </si>
  <si>
    <t>DESARROLLO DE OBRAS COMPLEMENTARIAS, GESTIÓN SOCIAL, AMBIENTAL Y PREDIAL DE LOS CONTRATOS DE CONCESIÓN VIAL.   NACIONAL</t>
  </si>
  <si>
    <t>APOYO ESTATAL A LOS PUERTOS A NIVEL NACIONAL   NACIONAL</t>
  </si>
  <si>
    <t>IMPLEMENTACIÓN DEL SISTEMA INTEGRADO DE GESTIÓN Y CONTROL DE LA AGENCIA NACIONAL DE INFRAESTRUCTURA  NACIONAL</t>
  </si>
  <si>
    <t>APOYO PARA LA GESTIÓN DE LA AGENCIA NACIONAL DE INFRAESTRUCTURA A TRAVÉS DE ASESORÍAS Y CONSULTORÍAS  NACIONAL</t>
  </si>
  <si>
    <t>SISTEMATIZACIÓN PARA EL SERVICIO DE INFORMACIÓN DE LA GESTIÓN ADMINISTRATIVA.  NACIONAL</t>
  </si>
  <si>
    <t>IMPLEMENTACION DEL SISTEMA DE GESTION DOCUMENTAL DE LA AGENCIA NACIONAL DE INFRAESTRUCTURA NACIONAL</t>
  </si>
  <si>
    <t>CXP CONSTITUIDAS
(1)</t>
  </si>
  <si>
    <t>CANCELACIONES CXP
 (2)</t>
  </si>
  <si>
    <t>CXP VIGENTE</t>
  </si>
  <si>
    <t>Ejecución Cuenta por Pagar Constituida</t>
  </si>
  <si>
    <t>Porcentaje Participación de la Cuenta por Pagar por Concepto de Gasto</t>
  </si>
  <si>
    <t>Ejecución de la Cuenta por Pagar Constituida</t>
  </si>
  <si>
    <t xml:space="preserve">  </t>
  </si>
  <si>
    <t>CUENTA X PAGAR VIGENTE</t>
  </si>
  <si>
    <t>Suma de CXP CONSTITUIDAS
(1)</t>
  </si>
  <si>
    <t>Suma de CANCELACIONES CXP
 (2)</t>
  </si>
  <si>
    <t>Suma de TOTAL PAGOS
ACUMULADOS
(5)</t>
  </si>
  <si>
    <t>CXP CONSTITUIDAS</t>
  </si>
  <si>
    <t>CANCELACIONES CXP</t>
  </si>
  <si>
    <t>TOTAL PAGOS</t>
  </si>
  <si>
    <t>Ejecución Acumulada Cuentas por Pagar</t>
  </si>
  <si>
    <t>Ejecución  Cuentas por Pagar por Concepto</t>
  </si>
  <si>
    <t>Suma de APROPIACION
 VIGENTE</t>
  </si>
  <si>
    <t>(Todas)</t>
  </si>
  <si>
    <t xml:space="preserve">CXP CONSTITUIDAS
</t>
  </si>
  <si>
    <t xml:space="preserve">CANCELACIONES CXP
 </t>
  </si>
  <si>
    <t>Ejecución  Presupuestal Acumulada al 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</si>
</sst>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\ ???/???"/>
    <numFmt numFmtId="166" formatCode="_-* #,##0.0_-;\-* #,##0.0_-;_-* &quot;-&quot;_-;_-@_-"/>
    <numFmt numFmtId="167" formatCode="0.0%"/>
    <numFmt numFmtId="168" formatCode="_-* #,##0.00_-;\-* #,##0.00_-;_-* &quot;-&quot;_-;_-@_-"/>
    <numFmt numFmtId="169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5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i/>
      <u/>
      <sz val="11"/>
      <color theme="4"/>
      <name val="Bookman Old Style"/>
      <family val="1"/>
    </font>
    <font>
      <i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i/>
      <sz val="28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3"/>
      <name val="Calibri"/>
      <family val="2"/>
      <scheme val="minor"/>
    </font>
    <font>
      <i/>
      <sz val="14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2"/>
        </stop>
        <stop position="1">
          <color theme="4" tint="0.80001220740379042"/>
        </stop>
      </gradientFill>
    </fill>
    <fill>
      <gradientFill degree="90">
        <stop position="0">
          <color theme="2" tint="-0.49803155613879818"/>
        </stop>
        <stop position="1">
          <color theme="4"/>
        </stop>
      </gradient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theme="4"/>
      </left>
      <right style="hair">
        <color theme="4"/>
      </right>
      <top/>
      <bottom style="hair">
        <color theme="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41" fontId="0" fillId="0" borderId="0" xfId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pivotButton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pivotButton="1" applyAlignment="1">
      <alignment horizontal="center"/>
    </xf>
    <xf numFmtId="0" fontId="0" fillId="2" borderId="0" xfId="0" applyFill="1"/>
    <xf numFmtId="0" fontId="6" fillId="2" borderId="0" xfId="0" applyFont="1" applyFill="1" applyBorder="1"/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Fill="1"/>
    <xf numFmtId="0" fontId="6" fillId="0" borderId="0" xfId="0" applyFont="1" applyFill="1"/>
    <xf numFmtId="0" fontId="0" fillId="0" borderId="0" xfId="0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1" fillId="0" borderId="0" xfId="0" applyFont="1" applyFill="1"/>
    <xf numFmtId="0" fontId="0" fillId="2" borderId="0" xfId="0" applyFont="1" applyFill="1"/>
    <xf numFmtId="0" fontId="6" fillId="2" borderId="0" xfId="0" applyFont="1" applyFill="1"/>
    <xf numFmtId="0" fontId="14" fillId="0" borderId="3" xfId="0" applyFont="1" applyBorder="1" applyAlignment="1">
      <alignment horizontal="justify" wrapText="1"/>
    </xf>
    <xf numFmtId="0" fontId="13" fillId="0" borderId="2" xfId="15" applyFont="1" applyAlignment="1">
      <alignment horizontal="justify" wrapText="1"/>
    </xf>
    <xf numFmtId="168" fontId="0" fillId="0" borderId="0" xfId="0" applyNumberFormat="1"/>
    <xf numFmtId="168" fontId="0" fillId="0" borderId="0" xfId="0" applyNumberFormat="1" applyAlignment="1">
      <alignment wrapText="1"/>
    </xf>
    <xf numFmtId="0" fontId="0" fillId="0" borderId="0" xfId="0" applyFont="1" applyFill="1"/>
    <xf numFmtId="0" fontId="16" fillId="2" borderId="0" xfId="0" applyFont="1" applyFill="1"/>
    <xf numFmtId="0" fontId="0" fillId="0" borderId="0" xfId="0" applyFont="1" applyFill="1" applyBorder="1"/>
    <xf numFmtId="0" fontId="0" fillId="2" borderId="0" xfId="0" applyFont="1" applyFill="1" applyBorder="1"/>
    <xf numFmtId="0" fontId="0" fillId="0" borderId="0" xfId="0" applyFont="1"/>
    <xf numFmtId="0" fontId="17" fillId="4" borderId="1" xfId="0" applyFont="1" applyFill="1" applyBorder="1" applyAlignment="1">
      <alignment horizontal="center" vertical="center"/>
    </xf>
    <xf numFmtId="41" fontId="17" fillId="4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168" fontId="0" fillId="3" borderId="1" xfId="1" applyNumberFormat="1" applyFont="1" applyFill="1" applyBorder="1"/>
    <xf numFmtId="0" fontId="0" fillId="3" borderId="1" xfId="0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 applyAlignment="1">
      <alignment horizontal="left"/>
    </xf>
    <xf numFmtId="41" fontId="18" fillId="0" borderId="0" xfId="0" applyNumberFormat="1" applyFont="1" applyFill="1" applyBorder="1"/>
    <xf numFmtId="9" fontId="18" fillId="0" borderId="0" xfId="13" applyFont="1" applyFill="1" applyBorder="1"/>
    <xf numFmtId="167" fontId="18" fillId="0" borderId="0" xfId="13" applyNumberFormat="1" applyFont="1" applyFill="1" applyBorder="1"/>
    <xf numFmtId="43" fontId="0" fillId="0" borderId="0" xfId="16" applyFont="1"/>
    <xf numFmtId="0" fontId="19" fillId="2" borderId="5" xfId="0" applyFont="1" applyFill="1" applyBorder="1" applyAlignment="1">
      <alignment horizontal="center" vertical="center" wrapText="1"/>
    </xf>
    <xf numFmtId="164" fontId="19" fillId="2" borderId="5" xfId="3" applyFont="1" applyFill="1" applyBorder="1" applyAlignment="1">
      <alignment horizontal="center" vertical="center" wrapText="1"/>
    </xf>
    <xf numFmtId="4" fontId="19" fillId="2" borderId="5" xfId="3" applyNumberFormat="1" applyFont="1" applyFill="1" applyBorder="1" applyAlignment="1">
      <alignment horizontal="center" vertical="center" wrapText="1"/>
    </xf>
    <xf numFmtId="164" fontId="19" fillId="2" borderId="6" xfId="3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 wrapText="1"/>
    </xf>
    <xf numFmtId="164" fontId="20" fillId="2" borderId="5" xfId="3" applyFont="1" applyFill="1" applyBorder="1" applyAlignment="1">
      <alignment horizontal="right" vertical="center"/>
    </xf>
    <xf numFmtId="4" fontId="20" fillId="2" borderId="5" xfId="3" applyNumberFormat="1" applyFont="1" applyFill="1" applyBorder="1" applyAlignment="1">
      <alignment horizontal="right" vertical="center"/>
    </xf>
    <xf numFmtId="4" fontId="20" fillId="2" borderId="6" xfId="3" applyNumberFormat="1" applyFont="1" applyFill="1" applyBorder="1" applyAlignment="1">
      <alignment horizontal="right" vertical="center"/>
    </xf>
    <xf numFmtId="0" fontId="19" fillId="2" borderId="7" xfId="0" applyFont="1" applyFill="1" applyBorder="1" applyAlignment="1">
      <alignment vertical="center" wrapText="1"/>
    </xf>
    <xf numFmtId="164" fontId="19" fillId="2" borderId="7" xfId="3" applyFont="1" applyFill="1" applyBorder="1" applyAlignment="1">
      <alignment horizontal="right" vertical="center"/>
    </xf>
    <xf numFmtId="4" fontId="19" fillId="2" borderId="7" xfId="3" applyNumberFormat="1" applyFont="1" applyFill="1" applyBorder="1" applyAlignment="1">
      <alignment horizontal="right" vertical="center"/>
    </xf>
    <xf numFmtId="4" fontId="19" fillId="2" borderId="8" xfId="3" applyNumberFormat="1" applyFont="1" applyFill="1" applyBorder="1" applyAlignment="1">
      <alignment horizontal="right" vertical="center"/>
    </xf>
    <xf numFmtId="164" fontId="0" fillId="0" borderId="0" xfId="0" applyNumberFormat="1"/>
    <xf numFmtId="43" fontId="0" fillId="0" borderId="0" xfId="0" applyNumberFormat="1"/>
    <xf numFmtId="43" fontId="0" fillId="0" borderId="0" xfId="0" applyNumberFormat="1" applyAlignment="1">
      <alignment horizontal="left"/>
    </xf>
    <xf numFmtId="43" fontId="0" fillId="0" borderId="0" xfId="0" pivotButton="1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0" fillId="0" borderId="0" xfId="0" pivotButton="1" applyNumberFormat="1"/>
    <xf numFmtId="0" fontId="9" fillId="5" borderId="0" xfId="14" applyFont="1" applyFill="1" applyBorder="1"/>
    <xf numFmtId="0" fontId="9" fillId="0" borderId="0" xfId="14" applyFont="1" applyFill="1" applyBorder="1"/>
    <xf numFmtId="0" fontId="8" fillId="6" borderId="0" xfId="0" applyFont="1" applyFill="1" applyAlignment="1">
      <alignment horizontal="center"/>
    </xf>
    <xf numFmtId="0" fontId="23" fillId="0" borderId="0" xfId="0" applyFont="1"/>
    <xf numFmtId="4" fontId="0" fillId="0" borderId="0" xfId="0" applyNumberFormat="1"/>
    <xf numFmtId="0" fontId="24" fillId="0" borderId="0" xfId="0" applyFont="1"/>
    <xf numFmtId="0" fontId="24" fillId="0" borderId="0" xfId="0" applyFont="1" applyFill="1"/>
    <xf numFmtId="9" fontId="0" fillId="0" borderId="0" xfId="13" applyFont="1"/>
    <xf numFmtId="167" fontId="0" fillId="0" borderId="0" xfId="13" applyNumberFormat="1" applyFont="1"/>
    <xf numFmtId="10" fontId="0" fillId="0" borderId="0" xfId="13" applyNumberFormat="1" applyFont="1"/>
    <xf numFmtId="9" fontId="0" fillId="0" borderId="0" xfId="13" applyNumberFormat="1" applyFont="1"/>
    <xf numFmtId="0" fontId="25" fillId="7" borderId="9" xfId="4" applyFont="1" applyFill="1" applyBorder="1" applyAlignment="1">
      <alignment horizontal="center" vertical="center" wrapText="1"/>
    </xf>
    <xf numFmtId="0" fontId="20" fillId="8" borderId="5" xfId="17" applyFont="1" applyFill="1" applyBorder="1" applyAlignment="1">
      <alignment vertical="center" wrapText="1"/>
    </xf>
    <xf numFmtId="0" fontId="19" fillId="2" borderId="10" xfId="17" applyFont="1" applyFill="1" applyBorder="1" applyAlignment="1">
      <alignment vertical="center" wrapText="1"/>
    </xf>
    <xf numFmtId="164" fontId="25" fillId="7" borderId="9" xfId="5" applyFont="1" applyFill="1" applyBorder="1" applyAlignment="1">
      <alignment horizontal="center" vertical="center" wrapText="1"/>
    </xf>
    <xf numFmtId="164" fontId="25" fillId="7" borderId="11" xfId="5" applyFont="1" applyFill="1" applyBorder="1" applyAlignment="1">
      <alignment horizontal="center" vertical="center" wrapText="1"/>
    </xf>
    <xf numFmtId="39" fontId="20" fillId="8" borderId="5" xfId="18" applyNumberFormat="1" applyFont="1" applyFill="1" applyBorder="1" applyAlignment="1">
      <alignment horizontal="right" vertical="center"/>
    </xf>
    <xf numFmtId="39" fontId="20" fillId="8" borderId="6" xfId="18" applyNumberFormat="1" applyFont="1" applyFill="1" applyBorder="1" applyAlignment="1">
      <alignment horizontal="right" vertical="center"/>
    </xf>
    <xf numFmtId="0" fontId="19" fillId="2" borderId="1" xfId="17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justify" wrapText="1"/>
    </xf>
    <xf numFmtId="4" fontId="26" fillId="2" borderId="10" xfId="17" applyNumberFormat="1" applyFont="1" applyFill="1" applyBorder="1" applyAlignment="1">
      <alignment vertical="center" wrapText="1"/>
    </xf>
    <xf numFmtId="4" fontId="26" fillId="2" borderId="12" xfId="17" applyNumberFormat="1" applyFont="1" applyFill="1" applyBorder="1" applyAlignment="1">
      <alignment vertical="center" wrapText="1"/>
    </xf>
    <xf numFmtId="4" fontId="27" fillId="2" borderId="1" xfId="17" applyNumberFormat="1" applyFont="1" applyFill="1" applyBorder="1" applyAlignment="1">
      <alignment horizontal="right" vertical="center" wrapText="1" readingOrder="1"/>
    </xf>
    <xf numFmtId="4" fontId="27" fillId="2" borderId="13" xfId="17" applyNumberFormat="1" applyFont="1" applyFill="1" applyBorder="1" applyAlignment="1">
      <alignment horizontal="right" vertical="center" wrapText="1" readingOrder="1"/>
    </xf>
    <xf numFmtId="168" fontId="0" fillId="0" borderId="0" xfId="1" applyNumberFormat="1" applyFont="1"/>
    <xf numFmtId="0" fontId="0" fillId="0" borderId="1" xfId="0" applyBorder="1"/>
    <xf numFmtId="4" fontId="0" fillId="0" borderId="1" xfId="0" applyNumberFormat="1" applyBorder="1"/>
    <xf numFmtId="0" fontId="28" fillId="0" borderId="0" xfId="0" applyFont="1"/>
    <xf numFmtId="0" fontId="8" fillId="0" borderId="0" xfId="0" applyFont="1"/>
    <xf numFmtId="9" fontId="11" fillId="0" borderId="0" xfId="13" applyFont="1" applyFill="1"/>
    <xf numFmtId="167" fontId="11" fillId="0" borderId="0" xfId="13" applyNumberFormat="1" applyFont="1" applyFill="1"/>
    <xf numFmtId="10" fontId="11" fillId="0" borderId="0" xfId="13" applyNumberFormat="1" applyFont="1" applyFill="1"/>
    <xf numFmtId="43" fontId="13" fillId="0" borderId="2" xfId="16" applyFont="1" applyBorder="1"/>
    <xf numFmtId="43" fontId="13" fillId="0" borderId="2" xfId="16" applyFont="1" applyBorder="1" applyAlignment="1">
      <alignment horizontal="center"/>
    </xf>
    <xf numFmtId="43" fontId="15" fillId="9" borderId="4" xfId="16" applyFont="1" applyFill="1" applyBorder="1"/>
    <xf numFmtId="43" fontId="15" fillId="0" borderId="4" xfId="16" applyFont="1" applyBorder="1"/>
    <xf numFmtId="43" fontId="15" fillId="2" borderId="4" xfId="16" applyFont="1" applyFill="1" applyBorder="1"/>
    <xf numFmtId="10" fontId="11" fillId="0" borderId="0" xfId="0" applyNumberFormat="1" applyFont="1" applyFill="1"/>
    <xf numFmtId="10" fontId="0" fillId="0" borderId="0" xfId="0" applyNumberFormat="1"/>
    <xf numFmtId="0" fontId="30" fillId="0" borderId="0" xfId="0" applyFont="1" applyFill="1" applyBorder="1"/>
    <xf numFmtId="0" fontId="31" fillId="0" borderId="0" xfId="0" applyFont="1" applyFill="1" applyBorder="1" applyAlignment="1">
      <alignment horizontal="left"/>
    </xf>
    <xf numFmtId="41" fontId="31" fillId="0" borderId="0" xfId="0" applyNumberFormat="1" applyFont="1" applyFill="1" applyBorder="1"/>
    <xf numFmtId="10" fontId="31" fillId="0" borderId="0" xfId="13" applyNumberFormat="1" applyFont="1" applyFill="1" applyBorder="1"/>
    <xf numFmtId="41" fontId="31" fillId="0" borderId="0" xfId="1" applyFont="1" applyFill="1" applyBorder="1"/>
    <xf numFmtId="0" fontId="30" fillId="0" borderId="0" xfId="0" applyFont="1" applyFill="1" applyBorder="1" applyAlignment="1">
      <alignment horizontal="left"/>
    </xf>
    <xf numFmtId="41" fontId="30" fillId="0" borderId="0" xfId="0" applyNumberFormat="1" applyFont="1" applyFill="1" applyBorder="1"/>
    <xf numFmtId="10" fontId="0" fillId="0" borderId="0" xfId="0" applyNumberFormat="1" applyFont="1" applyFill="1" applyBorder="1"/>
    <xf numFmtId="0" fontId="31" fillId="0" borderId="0" xfId="0" applyFont="1" applyFill="1"/>
    <xf numFmtId="10" fontId="31" fillId="0" borderId="0" xfId="13" applyNumberFormat="1" applyFont="1" applyFill="1"/>
    <xf numFmtId="0" fontId="30" fillId="0" borderId="0" xfId="0" applyFont="1" applyFill="1"/>
    <xf numFmtId="0" fontId="29" fillId="0" borderId="0" xfId="0" applyFont="1" applyFill="1"/>
    <xf numFmtId="0" fontId="32" fillId="0" borderId="0" xfId="0" applyFont="1" applyFill="1" applyBorder="1"/>
    <xf numFmtId="0" fontId="33" fillId="0" borderId="0" xfId="0" applyFont="1" applyFill="1" applyBorder="1" applyAlignment="1">
      <alignment horizontal="left"/>
    </xf>
    <xf numFmtId="168" fontId="33" fillId="0" borderId="0" xfId="0" applyNumberFormat="1" applyFont="1" applyFill="1" applyBorder="1"/>
    <xf numFmtId="9" fontId="33" fillId="0" borderId="0" xfId="13" applyFont="1" applyFill="1" applyBorder="1"/>
    <xf numFmtId="10" fontId="33" fillId="0" borderId="0" xfId="13" applyNumberFormat="1" applyFont="1" applyFill="1" applyBorder="1"/>
    <xf numFmtId="0" fontId="32" fillId="0" borderId="0" xfId="0" applyFont="1" applyFill="1" applyBorder="1" applyAlignment="1">
      <alignment horizontal="left"/>
    </xf>
    <xf numFmtId="168" fontId="32" fillId="0" borderId="0" xfId="1" applyNumberFormat="1" applyFont="1" applyFill="1" applyBorder="1"/>
    <xf numFmtId="10" fontId="32" fillId="0" borderId="0" xfId="13" applyNumberFormat="1" applyFont="1" applyFill="1" applyBorder="1"/>
    <xf numFmtId="41" fontId="32" fillId="0" borderId="0" xfId="0" applyNumberFormat="1" applyFont="1" applyFill="1" applyBorder="1"/>
    <xf numFmtId="9" fontId="32" fillId="0" borderId="0" xfId="13" applyFont="1" applyFill="1" applyBorder="1"/>
    <xf numFmtId="167" fontId="32" fillId="0" borderId="0" xfId="13" applyNumberFormat="1" applyFont="1" applyFill="1" applyBorder="1"/>
    <xf numFmtId="10" fontId="30" fillId="0" borderId="0" xfId="13" applyNumberFormat="1" applyFont="1" applyFill="1"/>
    <xf numFmtId="10" fontId="16" fillId="0" borderId="0" xfId="0" applyNumberFormat="1" applyFont="1" applyFill="1" applyBorder="1"/>
    <xf numFmtId="10" fontId="30" fillId="0" borderId="0" xfId="13" applyNumberFormat="1" applyFont="1" applyFill="1" applyBorder="1"/>
    <xf numFmtId="0" fontId="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43" fontId="21" fillId="0" borderId="0" xfId="0" applyNumberFormat="1" applyFont="1" applyAlignment="1">
      <alignment horizontal="center"/>
    </xf>
  </cellXfs>
  <cellStyles count="19">
    <cellStyle name="Hipervínculo" xfId="14" builtinId="8"/>
    <cellStyle name="Millares" xfId="16" builtinId="3"/>
    <cellStyle name="Millares [0]" xfId="1" builtinId="6"/>
    <cellStyle name="Millares 13" xfId="3" xr:uid="{00000000-0005-0000-0000-000003000000}"/>
    <cellStyle name="Millares 14" xfId="5" xr:uid="{00000000-0005-0000-0000-000004000000}"/>
    <cellStyle name="Millares 18" xfId="8" xr:uid="{00000000-0005-0000-0000-000005000000}"/>
    <cellStyle name="Millares 2" xfId="18" xr:uid="{7DE94401-080B-4C48-B3F5-F8DA1A1EBF28}"/>
    <cellStyle name="Normal" xfId="0" builtinId="0"/>
    <cellStyle name="Normal 13" xfId="2" xr:uid="{00000000-0005-0000-0000-000007000000}"/>
    <cellStyle name="Normal 14" xfId="4" xr:uid="{00000000-0005-0000-0000-000008000000}"/>
    <cellStyle name="Normal 14 5" xfId="6" xr:uid="{00000000-0005-0000-0000-000009000000}"/>
    <cellStyle name="Normal 14 6" xfId="9" xr:uid="{00000000-0005-0000-0000-00000A000000}"/>
    <cellStyle name="Normal 14 8" xfId="11" xr:uid="{00000000-0005-0000-0000-00000B000000}"/>
    <cellStyle name="Normal 18" xfId="7" xr:uid="{00000000-0005-0000-0000-00000C000000}"/>
    <cellStyle name="Normal 19" xfId="10" xr:uid="{00000000-0005-0000-0000-00000D000000}"/>
    <cellStyle name="Normal 2 2 2" xfId="17" xr:uid="{0F941B16-58A2-48EF-B8CF-03E560C8FE57}"/>
    <cellStyle name="Normal 21" xfId="12" xr:uid="{00000000-0005-0000-0000-00000E000000}"/>
    <cellStyle name="Porcentaje" xfId="13" builtinId="5"/>
    <cellStyle name="Título 2" xfId="15" builtinId="17"/>
  </cellStyles>
  <dxfs count="64">
    <dxf>
      <numFmt numFmtId="35" formatCode="_-* #,##0.00_-;\-* #,##0.00_-;_-* &quot;-&quot;??_-;_-@_-"/>
    </dxf>
    <dxf>
      <numFmt numFmtId="169" formatCode="0.00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168" formatCode="_-* #,##0.00_-;\-* #,##0.00_-;_-* &quot;-&quot;_-;_-@_-"/>
    </dxf>
    <dxf>
      <alignment horizontal="center"/>
    </dxf>
    <dxf>
      <alignment wrapText="1"/>
    </dxf>
    <dxf>
      <numFmt numFmtId="166" formatCode="_-* #,##0.0_-;\-* #,##0.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33" formatCode="_-* #,##0_-;\-* #,##0_-;_-* &quot;-&quot;_-;_-@_-"/>
    </dxf>
    <dxf>
      <numFmt numFmtId="168" formatCode="_-* #,##0.00_-;\-* #,##0.00_-;_-* &quot;-&quot;_-;_-@_-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8" formatCode="_-* #,##0.00_-;\-* #,##0.00_-;_-* &quot;-&quot;_-;_-@_-"/>
    </dxf>
    <dxf>
      <numFmt numFmtId="33" formatCode="_-* #,##0_-;\-* #,##0_-;_-* &quot;-&quot;_-;_-@_-"/>
    </dxf>
    <dxf>
      <numFmt numFmtId="0" formatCode="General"/>
    </dxf>
    <dxf>
      <numFmt numFmtId="13" formatCode="0%"/>
    </dxf>
    <dxf>
      <numFmt numFmtId="33" formatCode="_-* #,##0_-;\-* #,##0_-;_-* &quot;-&quot;_-;_-@_-"/>
    </dxf>
    <dxf>
      <numFmt numFmtId="13" formatCode="0%"/>
    </dxf>
    <dxf>
      <numFmt numFmtId="33" formatCode="_-* #,##0_-;\-* #,##0_-;_-* &quot;-&quot;_-;_-@_-"/>
    </dxf>
    <dxf>
      <numFmt numFmtId="165" formatCode="#\ ???/???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168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pivotCacheDefinition" Target="pivotCache/pivotCacheDefinition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21" Type="http://schemas.openxmlformats.org/officeDocument/2006/relationships/theme" Target="theme/theme1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pivotCacheDefinition" Target="pivotCache/pivotCacheDefinition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pivotCacheDefinition" Target="pivotCache/pivotCacheDefinition1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pivotCacheDefinition" Target="pivotCache/pivotCacheDefinition5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4487712"/>
        <c:axId val="1684580784"/>
      </c:barChart>
      <c:catAx>
        <c:axId val="1334487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580784"/>
        <c:crosses val="autoZero"/>
        <c:auto val="1"/>
        <c:lblAlgn val="ctr"/>
        <c:lblOffset val="100"/>
        <c:noMultiLvlLbl val="0"/>
      </c:catAx>
      <c:valAx>
        <c:axId val="168458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448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Junio_2022.xlsx]EJECUCIÓN CUENTA POR PAGAR !TablaDinámica12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'!$E$46</c:f>
              <c:strCache>
                <c:ptCount val="1"/>
                <c:pt idx="0">
                  <c:v>86,88%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{5550C2CE-592E-494C-BCFB-B77D686D887A}</c15:txfldGUID>
                  <c15:f>'EJECUCIÓN CUENTA POR PAGAR '!$E$46</c15:f>
                  <c15:dlblFieldTableCache>
                    <c:ptCount val="1"/>
                    <c:pt idx="0">
                      <c:v>86,88%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'!$E$47</c:f>
              <c:strCache>
                <c:ptCount val="1"/>
                <c:pt idx="0">
                  <c:v>100,00%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{A3BBD0DA-4D3E-4F02-90FF-107FD52292D3}</c15:txfldGUID>
                  <c15:f>'EJECUCIÓN CUENTA POR PAGAR '!$E$47</c15:f>
                  <c15:dlblFieldTableCache>
                    <c:ptCount val="1"/>
                    <c:pt idx="0">
                      <c:v>100,00%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'!$E$46</c:f>
              <c:strCache>
                <c:ptCount val="1"/>
                <c:pt idx="0">
                  <c:v>CXP CONSTITUIDAS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4-4F58-8A90-AAEE174AFA6B}"/>
            </c:ext>
          </c:extLst>
        </c:ser>
        <c:ser>
          <c:idx val="1"/>
          <c:order val="1"/>
          <c:tx>
            <c:strRef>
              <c:f>'EJECUCIÓN CUENTA POR PAGAR '!$E$46</c:f>
              <c:strCache>
                <c:ptCount val="1"/>
                <c:pt idx="0">
                  <c:v>CANCELACIONES CXP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4-4F58-8A90-AAEE174AFA6B}"/>
            </c:ext>
          </c:extLst>
        </c:ser>
        <c:ser>
          <c:idx val="2"/>
          <c:order val="2"/>
          <c:tx>
            <c:strRef>
              <c:f>'EJECUCIÓN CUENTA POR PAGAR '!$E$46</c:f>
              <c:strCache>
                <c:ptCount val="1"/>
                <c:pt idx="0">
                  <c:v>TOTAL PAGOS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163-46C7-910C-543B4AF569CC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63-46C7-910C-543B4AF569CC}"/>
              </c:ext>
            </c:extLst>
          </c:dPt>
          <c:dLbls>
            <c:dLbl>
              <c:idx val="0"/>
              <c:tx>
                <c:strRef>
                  <c:f>'EJECUCIÓN CUENTA POR PAGAR '!$E$46</c:f>
                  <c:strCache>
                    <c:ptCount val="1"/>
                    <c:pt idx="0">
                      <c:v>86,88%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{2F222375-445F-4395-A126-2CFA346BCBC8}</c15:txfldGUID>
                      <c15:f>'EJECUCIÓN CUENTA POR PAGAR '!$E$46</c15:f>
                      <c15:dlblFieldTableCache>
                        <c:ptCount val="1"/>
                        <c:pt idx="0">
                          <c:v>86,88%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63-46C7-910C-543B4AF569CC}"/>
                </c:ext>
              </c:extLst>
            </c:dLbl>
            <c:dLbl>
              <c:idx val="1"/>
              <c:tx>
                <c:strRef>
                  <c:f>'EJECUCIÓN CUENTA POR PAGAR '!$E$47</c:f>
                  <c:strCache>
                    <c:ptCount val="1"/>
                    <c:pt idx="0">
                      <c:v>100,00%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{50489447-DFE9-4025-899A-BEEE4249B49D}</c15:txfldGUID>
                      <c15:f>'EJECUCIÓN CUENTA POR PAGAR '!$E$47</c15:f>
                      <c15:dlblFieldTableCache>
                        <c:ptCount val="1"/>
                        <c:pt idx="0">
                          <c:v>100,00%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63-46C7-910C-543B4AF56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CUENTA POR PAGAR '!$E$46</c:f>
              <c:numCache>
                <c:formatCode>_(* #,##0.00_);_(* \(#,##0.00\);_(* "-"??_);_(@_)</c:formatCode>
                <c:ptCount val="2"/>
                <c:pt idx="0">
                  <c:v>6858.4404993999997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94-4F58-8A90-AAEE174AF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84723984"/>
        <c:axId val="1684711504"/>
      </c:barChart>
      <c:catAx>
        <c:axId val="168472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11504"/>
        <c:crosses val="autoZero"/>
        <c:auto val="1"/>
        <c:lblAlgn val="ctr"/>
        <c:lblOffset val="100"/>
        <c:noMultiLvlLbl val="0"/>
      </c:catAx>
      <c:valAx>
        <c:axId val="16847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472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Junio_2022.xlsx]EJECUCIÓN CUENTA POR PAGAR !TablaDinámica13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CUENTA POR PAGAR '!$E$48</c:f>
              <c:strCache>
                <c:ptCount val="1"/>
                <c:pt idx="0">
                  <c:v>87,18%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{53F11264-4C70-44C0-AE5B-CF8F012DA5E7}</c15:txfldGUID>
                  <c15:f>'EJECUCIÓN CUENTA POR PAGAR '!$E$48</c15:f>
                  <c15:dlblFieldTableCache>
                    <c:ptCount val="1"/>
                    <c:pt idx="0">
                      <c:v>87,18%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CUENTA POR PAGAR '!$E$48</c:f>
              <c:strCache>
                <c:ptCount val="1"/>
                <c:pt idx="0">
                  <c:v>Suma de CXP CONSTITUIDAS
(1)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8076.2135843999995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A0F-AD05-C0A64349AE12}"/>
            </c:ext>
          </c:extLst>
        </c:ser>
        <c:ser>
          <c:idx val="1"/>
          <c:order val="1"/>
          <c:tx>
            <c:strRef>
              <c:f>'EJECUCIÓN CUENTA POR PAGAR '!$E$48</c:f>
              <c:strCache>
                <c:ptCount val="1"/>
                <c:pt idx="0">
                  <c:v>Suma de CANCELACIONES CXP
 (2)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C-4A0F-AD05-C0A64349AE12}"/>
            </c:ext>
          </c:extLst>
        </c:ser>
        <c:ser>
          <c:idx val="2"/>
          <c:order val="2"/>
          <c:tx>
            <c:strRef>
              <c:f>'EJECUCIÓN CUENTA POR PAGAR '!$E$48</c:f>
              <c:strCache>
                <c:ptCount val="1"/>
                <c:pt idx="0">
                  <c:v>Suma de TOTAL PAGOS
ACUMULADOS
(5)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D7-46BB-9119-716F161D030B}"/>
              </c:ext>
            </c:extLst>
          </c:dPt>
          <c:dLbls>
            <c:dLbl>
              <c:idx val="0"/>
              <c:tx>
                <c:strRef>
                  <c:f>'EJECUCIÓN CUENTA POR PAGAR '!$E$48</c:f>
                  <c:strCache>
                    <c:ptCount val="1"/>
                    <c:pt idx="0">
                      <c:v>87,18%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{5801F097-5B2E-4492-B317-A6B383038333}</c15:txfldGUID>
                      <c15:f>'EJECUCIÓN CUENTA POR PAGAR '!$E$48</c15:f>
                      <c15:dlblFieldTableCache>
                        <c:ptCount val="1"/>
                        <c:pt idx="0">
                          <c:v>87,18%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8FD7-46BB-9119-716F161D03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CUENTA POR PAGAR '!$E$48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CUENTA POR PAGAR '!$E$48</c:f>
              <c:numCache>
                <c:formatCode>_(* #,##0.00_);_(* \(#,##0.00\);_(* "-"??_);_(@_)</c:formatCode>
                <c:ptCount val="1"/>
                <c:pt idx="0">
                  <c:v>7040.8691733999995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C-4A0F-AD05-C0A64349AE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40051648"/>
        <c:axId val="1340049568"/>
      </c:barChart>
      <c:catAx>
        <c:axId val="134005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49568"/>
        <c:crosses val="autoZero"/>
        <c:auto val="1"/>
        <c:lblAlgn val="ctr"/>
        <c:lblOffset val="100"/>
        <c:noMultiLvlLbl val="0"/>
      </c:catAx>
      <c:valAx>
        <c:axId val="134004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4005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Junio_2022.xlsx]Participación Apropiación !TablaDinámica1</c:name>
    <c:fmtId val="9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2">
                    <a:lumMod val="7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/>
                </a:solidFill>
                <a:latin typeface="+mj-lt"/>
              </a:rPr>
              <a:t>Porcentaje Participación</a:t>
            </a:r>
            <a:r>
              <a:rPr lang="en-US" sz="1800" b="1" baseline="0">
                <a:solidFill>
                  <a:schemeClr val="accent1"/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1"/>
                </a:solidFill>
                <a:latin typeface="+mj-lt"/>
              </a:rPr>
              <a:t>Apropiación por concepto de Gastos</a:t>
            </a:r>
          </a:p>
        </c:rich>
      </c:tx>
      <c:layout>
        <c:manualLayout>
          <c:xMode val="edge"/>
          <c:yMode val="edge"/>
          <c:x val="0.19364641769090793"/>
          <c:y val="6.2631797872588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2">
                  <a:lumMod val="7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j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accent2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/>
        </c:spPr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</c:pivotFmts>
    <c:plotArea>
      <c:layout>
        <c:manualLayout>
          <c:layoutTarget val="inner"/>
          <c:xMode val="edge"/>
          <c:yMode val="edge"/>
          <c:x val="0.3350984251968504"/>
          <c:y val="0.31384332166812484"/>
          <c:w val="0.34647003499562556"/>
          <c:h val="0.57745005832604257"/>
        </c:manualLayout>
      </c:layout>
      <c:pieChart>
        <c:varyColors val="1"/>
        <c:ser>
          <c:idx val="0"/>
          <c:order val="0"/>
          <c:tx>
            <c:strRef>
              <c:f>'Participación Apropiación '!$C$6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EE9A-4E3A-B9E5-B9C7CEB0B53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EE9A-4E3A-B9E5-B9C7CEB0B53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EE9A-4E3A-B9E5-B9C7CEB0B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Apropiación '!$B$7:$B$10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'Participación Apropiación '!$C$7:$C$10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45B-40D8-8CDD-191B3AE764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956611096929582"/>
          <c:y val="0.52356829040232611"/>
          <c:w val="0.23899804295036686"/>
          <c:h val="0.279316949589842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solidFill>
        <a:schemeClr val="accent1"/>
      </a:solidFill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Junio_2022.xlsx]APR VS RP  Y OBLIGACIÓN Y PAGO!TablaDinámica1</c:name>
    <c:fmtId val="29"/>
  </c:pivotSource>
  <c:chart>
    <c:autoTitleDeleted val="0"/>
    <c:pivotFmts>
      <c:pivotFmt>
        <c:idx val="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1.9766409650534222E-2"/>
              <c:y val="-4.3758052626810887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5848511572795283E-2"/>
              <c:y val="-8.9195752298289951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2090314459316966E-2"/>
              <c:y val="-2.0656560451962472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7162101229991149E-2"/>
              <c:y val="-2.599839107244671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9.4774110331488845E-3"/>
              <c:y val="-4.1119484478336916E-2"/>
            </c:manualLayout>
          </c:layout>
          <c:tx>
            <c:strRef>
              <c:f>'APR VS RP  Y OBLIGACIÓN Y PAGO'!$D$42</c:f>
              <c:strCache>
                <c:ptCount val="1"/>
                <c:pt idx="0">
                  <c:v>39,29%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{F28A6040-2AD0-4ECA-837F-6D7628A8105C}</c15:txfldGUID>
                  <c15:f>'APR VS RP  Y OBLIGACIÓN Y PAGO'!$D$42</c15:f>
                  <c15:dlblFieldTableCache>
                    <c:ptCount val="1"/>
                    <c:pt idx="0">
                      <c:v>39,29%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4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3.6991734855734676E-2"/>
              <c:y val="-7.8641320517316649E-2"/>
            </c:manualLayout>
          </c:layout>
          <c:tx>
            <c:strRef>
              <c:f>'APR VS RP  Y OBLIGACIÓN Y PAGO'!$D$43</c:f>
              <c:strCache>
                <c:ptCount val="1"/>
                <c:pt idx="0">
                  <c:v>58,31%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{053D90ED-2A44-413D-9151-E1FB89EA793A}</c15:txfldGUID>
                  <c15:f>'APR VS RP  Y OBLIGACIÓN Y PAGO'!$D$43</c15:f>
                  <c15:dlblFieldTableCache>
                    <c:ptCount val="1"/>
                    <c:pt idx="0">
                      <c:v>58,31%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5"/>
        <c:spPr>
          <a:solidFill>
            <a:schemeClr val="accent2"/>
          </a:solidFill>
          <a:ln>
            <a:solidFill>
              <a:schemeClr val="accent2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angle"/>
            <a:contourClr>
              <a:schemeClr val="accent2"/>
            </a:contourClr>
          </a:sp3d>
        </c:spPr>
        <c:dLbl>
          <c:idx val="0"/>
          <c:layout>
            <c:manualLayout>
              <c:x val="5.173499436174879E-2"/>
              <c:y val="-1.2869966076227953E-2"/>
            </c:manualLayout>
          </c:layout>
          <c:tx>
            <c:strRef>
              <c:f>'APR VS RP  Y OBLIGACIÓN Y PAGO'!$D$44</c:f>
              <c:strCache>
                <c:ptCount val="1"/>
                <c:pt idx="0">
                  <c:v>96,28%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{79C8FFC5-CB2C-4FE5-BA24-1C75B1548249}</c15:txfldGUID>
                  <c15:f>'APR VS RP  Y OBLIGACIÓN Y PAGO'!$D$44</c15:f>
                  <c15:dlblFieldTableCache>
                    <c:ptCount val="1"/>
                    <c:pt idx="0">
                      <c:v>96,28%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6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1.8603237689921795E-2"/>
              <c:y val="-2.0592024765557975E-2"/>
            </c:manualLayout>
          </c:layout>
          <c:tx>
            <c:strRef>
              <c:f>'APR VS RP  Y OBLIGACIÓN Y PAGO'!$E$42</c:f>
              <c:strCache>
                <c:ptCount val="1"/>
                <c:pt idx="0">
                  <c:v>32,19%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{CDD557A1-A70D-46C5-A07A-39B560CFF951}</c15:txfldGUID>
                  <c15:f>'APR VS RP  Y OBLIGACIÓN Y PAGO'!$E$42</c15:f>
                  <c15:dlblFieldTableCache>
                    <c:ptCount val="1"/>
                    <c:pt idx="0">
                      <c:v>32,19%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8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2.8949654156953393E-2"/>
              <c:y val="-2.0656560451962472E-2"/>
            </c:manualLayout>
          </c:layout>
          <c:tx>
            <c:strRef>
              <c:f>'APR VS RP  Y OBLIGACIÓN Y PAGO'!$E$43</c:f>
              <c:strCache>
                <c:ptCount val="1"/>
                <c:pt idx="0">
                  <c:v>58,31%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{688E954A-7F27-4D5E-8D4D-490E487BF852}</c15:txfldGUID>
                  <c15:f>'APR VS RP  Y OBLIGACIÓN Y PAGO'!$E$43</c15:f>
                  <c15:dlblFieldTableCache>
                    <c:ptCount val="1"/>
                    <c:pt idx="0">
                      <c:v>58,31%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9"/>
        <c:spPr>
          <a:solidFill>
            <a:schemeClr val="bg1">
              <a:lumMod val="85000"/>
            </a:schemeClr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3.4573502550783196E-2"/>
              <c:y val="-3.9191430798663093E-2"/>
            </c:manualLayout>
          </c:layout>
          <c:tx>
            <c:strRef>
              <c:f>'APR VS RP  Y OBLIGACIÓN Y PAGO'!$E$44</c:f>
              <c:strCache>
                <c:ptCount val="1"/>
                <c:pt idx="0">
                  <c:v>7,57%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{66848899-8E7C-4113-8773-DFAA1AD9932A}</c15:txfldGUID>
                  <c15:f>'APR VS RP  Y OBLIGACIÓN Y PAGO'!$E$44</c15:f>
                  <c15:dlblFieldTableCache>
                    <c:ptCount val="1"/>
                    <c:pt idx="0">
                      <c:v>7,57%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0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4.1576721279954376E-2"/>
              <c:y val="-2.0592024765557975E-2"/>
            </c:manualLayout>
          </c:layout>
          <c:tx>
            <c:strRef>
              <c:f>'APR VS RP  Y OBLIGACIÓN Y PAGO'!$F$42</c:f>
              <c:strCache>
                <c:ptCount val="1"/>
                <c:pt idx="0">
                  <c:v>31,06%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{735501FC-E999-44B3-A66E-0B1D97BD3AE5}</c15:txfldGUID>
                  <c15:f>'APR VS RP  Y OBLIGACIÓN Y PAGO'!$F$42</c15:f>
                  <c15:dlblFieldTableCache>
                    <c:ptCount val="1"/>
                    <c:pt idx="0">
                      <c:v>31,06%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2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6307887493506355E-2"/>
              <c:y val="-2.5998391072446714E-2"/>
            </c:manualLayout>
          </c:layout>
          <c:tx>
            <c:strRef>
              <c:f>'APR VS RP  Y OBLIGACIÓN Y PAGO'!$F$43</c:f>
              <c:strCache>
                <c:ptCount val="1"/>
                <c:pt idx="0">
                  <c:v>58,31%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{C180C6B3-2735-4865-B765-E17B8DA7D919}</c15:txfldGUID>
                  <c15:f>'APR VS RP  Y OBLIGACIÓN Y PAGO'!$F$43</c15:f>
                  <c15:dlblFieldTableCache>
                    <c:ptCount val="1"/>
                    <c:pt idx="0">
                      <c:v>58,31%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3"/>
        <c:spPr>
          <a:solidFill>
            <a:schemeClr val="accent4"/>
          </a:soli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5.9763932493655338E-2"/>
              <c:y val="-2.8830843207682963E-2"/>
            </c:manualLayout>
          </c:layout>
          <c:tx>
            <c:strRef>
              <c:f>'APR VS RP  Y OBLIGACIÓN Y PAGO'!$F$44</c:f>
              <c:strCache>
                <c:ptCount val="1"/>
                <c:pt idx="0">
                  <c:v>7,57%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{D577ABFA-3D1E-42ED-9D77-0691F651A95B}</c15:txfldGUID>
                  <c15:f>'APR VS RP  Y OBLIGACIÓN Y PAGO'!$F$44</c15:f>
                  <c15:dlblFieldTableCache>
                    <c:ptCount val="1"/>
                    <c:pt idx="0">
                      <c:v>7,57%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view3D>
      <c:rotX val="15"/>
      <c:rotY val="5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sideWall>
    <c:backWall>
      <c:thickness val="0"/>
      <c:spPr>
        <a:noFill/>
        <a:ln>
          <a:noFill/>
        </a:ln>
        <a:effectLst/>
        <a:scene3d>
          <a:camera prst="orthographicFront"/>
          <a:lightRig rig="threePt" dir="t"/>
        </a:scene3d>
        <a:sp3d/>
      </c:spPr>
    </c:backWall>
    <c:plotArea>
      <c:layout>
        <c:manualLayout>
          <c:layoutTarget val="inner"/>
          <c:xMode val="edge"/>
          <c:yMode val="edge"/>
          <c:x val="0.17867149842911267"/>
          <c:y val="9.5356883502443979E-2"/>
          <c:w val="0.76017676839004356"/>
          <c:h val="0.85191280215313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'APR VS RP  Y OBLIGACIÓN Y PAGO'!$D$42</c:f>
              <c:strCache>
                <c:ptCount val="1"/>
                <c:pt idx="0">
                  <c:v>APROPIACION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99785.985369999995</c:v>
                </c:pt>
                <c:pt idx="1">
                  <c:v>1167604.3350470001</c:v>
                </c:pt>
                <c:pt idx="2">
                  <c:v>4505182.0250120005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6CC-45AB-A8A4-1667F93406DB}"/>
            </c:ext>
          </c:extLst>
        </c:ser>
        <c:ser>
          <c:idx val="1"/>
          <c:order val="1"/>
          <c:tx>
            <c:strRef>
              <c:f>'APR VS RP  Y OBLIGACIÓN Y PAGO'!$D$42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angle"/>
              <a:contourClr>
                <a:schemeClr val="accent2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angle"/>
                <a:contourClr>
                  <a:schemeClr val="accent2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E6CC-45AB-A8A4-1667F93406DB}"/>
              </c:ext>
            </c:extLst>
          </c:dPt>
          <c:dLbls>
            <c:dLbl>
              <c:idx val="0"/>
              <c:layout>
                <c:manualLayout>
                  <c:x val="9.4774110331488845E-3"/>
                  <c:y val="-4.1119484478336916E-2"/>
                </c:manualLayout>
              </c:layout>
              <c:tx>
                <c:strRef>
                  <c:f>'APR VS RP  Y OBLIGACIÓN Y PAGO'!$D$42</c:f>
                  <c:strCache>
                    <c:ptCount val="1"/>
                    <c:pt idx="0">
                      <c:v>39,29%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{AFEA1835-D49F-43C4-B983-7F9D7EF0A74A}</c15:txfldGUID>
                      <c15:f>'APR VS RP  Y OBLIGACIÓN Y PAGO'!$D$42</c15:f>
                      <c15:dlblFieldTableCache>
                        <c:ptCount val="1"/>
                        <c:pt idx="0">
                          <c:v>39,29%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6CC-45AB-A8A4-1667F93406DB}"/>
                </c:ext>
              </c:extLst>
            </c:dLbl>
            <c:dLbl>
              <c:idx val="1"/>
              <c:layout>
                <c:manualLayout>
                  <c:x val="3.6991734855734676E-2"/>
                  <c:y val="-7.8641320517316649E-2"/>
                </c:manualLayout>
              </c:layout>
              <c:tx>
                <c:strRef>
                  <c:f>'APR VS RP  Y OBLIGACIÓN Y PAGO'!$D$43</c:f>
                  <c:strCache>
                    <c:ptCount val="1"/>
                    <c:pt idx="0">
                      <c:v>58,31%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{6AD38B5A-EFF2-4C1C-A56B-CAEE814FC842}</c15:txfldGUID>
                      <c15:f>'APR VS RP  Y OBLIGACIÓN Y PAGO'!$D$43</c15:f>
                      <c15:dlblFieldTableCache>
                        <c:ptCount val="1"/>
                        <c:pt idx="0">
                          <c:v>58,31%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6CC-45AB-A8A4-1667F93406DB}"/>
                </c:ext>
              </c:extLst>
            </c:dLbl>
            <c:dLbl>
              <c:idx val="2"/>
              <c:layout>
                <c:manualLayout>
                  <c:x val="5.173499436174879E-2"/>
                  <c:y val="-1.2869966076227953E-2"/>
                </c:manualLayout>
              </c:layout>
              <c:tx>
                <c:strRef>
                  <c:f>'APR VS RP  Y OBLIGACIÓN Y PAGO'!$D$44</c:f>
                  <c:strCache>
                    <c:ptCount val="1"/>
                    <c:pt idx="0">
                      <c:v>96,28%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{DEE5D05D-2214-46B3-8D52-564D341E270B}</c15:txfldGUID>
                      <c15:f>'APR VS RP  Y OBLIGACIÓN Y PAGO'!$D$44</c15:f>
                      <c15:dlblFieldTableCache>
                        <c:ptCount val="1"/>
                        <c:pt idx="0">
                          <c:v>96,28%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39204.88682064</c:v>
                </c:pt>
                <c:pt idx="1">
                  <c:v>680805.07137000002</c:v>
                </c:pt>
                <c:pt idx="2">
                  <c:v>4337557.9018160393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E6CC-45AB-A8A4-1667F93406DB}"/>
            </c:ext>
          </c:extLst>
        </c:ser>
        <c:ser>
          <c:idx val="2"/>
          <c:order val="2"/>
          <c:tx>
            <c:strRef>
              <c:f>'APR VS RP  Y OBLIGACIÓN Y PAGO'!$D$42</c:f>
              <c:strCache>
                <c:ptCount val="1"/>
                <c:pt idx="0">
                  <c:v> OBLIGACIONES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1E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0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2-E6CC-45AB-A8A4-1667F93406DB}"/>
              </c:ext>
            </c:extLst>
          </c:dPt>
          <c:dLbls>
            <c:dLbl>
              <c:idx val="0"/>
              <c:layout>
                <c:manualLayout>
                  <c:x val="1.8603237689921795E-2"/>
                  <c:y val="-2.0592024765557975E-2"/>
                </c:manualLayout>
              </c:layout>
              <c:tx>
                <c:strRef>
                  <c:f>'APR VS RP  Y OBLIGACIÓN Y PAGO'!$E$42</c:f>
                  <c:strCache>
                    <c:ptCount val="1"/>
                    <c:pt idx="0">
                      <c:v>32,19%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{CCFF72B6-6B84-4482-ABB8-01837EC9414E}</c15:txfldGUID>
                      <c15:f>'APR VS RP  Y OBLIGACIÓN Y PAGO'!$E$42</c15:f>
                      <c15:dlblFieldTableCache>
                        <c:ptCount val="1"/>
                        <c:pt idx="0">
                          <c:v>32,19%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6CC-45AB-A8A4-1667F93406DB}"/>
                </c:ext>
              </c:extLst>
            </c:dLbl>
            <c:dLbl>
              <c:idx val="1"/>
              <c:layout>
                <c:manualLayout>
                  <c:x val="2.8949654156953393E-2"/>
                  <c:y val="-2.0656560451962472E-2"/>
                </c:manualLayout>
              </c:layout>
              <c:tx>
                <c:strRef>
                  <c:f>'APR VS RP  Y OBLIGACIÓN Y PAGO'!$E$43</c:f>
                  <c:strCache>
                    <c:ptCount val="1"/>
                    <c:pt idx="0">
                      <c:v>58,31%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{AF70B3C6-BA00-4F06-810C-60059DA6CC45}</c15:txfldGUID>
                      <c15:f>'APR VS RP  Y OBLIGACIÓN Y PAGO'!$E$43</c15:f>
                      <c15:dlblFieldTableCache>
                        <c:ptCount val="1"/>
                        <c:pt idx="0">
                          <c:v>58,31%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6CC-45AB-A8A4-1667F93406DB}"/>
                </c:ext>
              </c:extLst>
            </c:dLbl>
            <c:dLbl>
              <c:idx val="2"/>
              <c:layout>
                <c:manualLayout>
                  <c:x val="3.4573502550783196E-2"/>
                  <c:y val="-3.9191430798663093E-2"/>
                </c:manualLayout>
              </c:layout>
              <c:tx>
                <c:strRef>
                  <c:f>'APR VS RP  Y OBLIGACIÓN Y PAGO'!$E$44</c:f>
                  <c:strCache>
                    <c:ptCount val="1"/>
                    <c:pt idx="0">
                      <c:v>7,57%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{F8537F12-69A7-4A80-A0E9-3E033A6400F5}</c15:txfldGUID>
                      <c15:f>'APR VS RP  Y OBLIGACIÓN Y PAGO'!$E$44</c15:f>
                      <c15:dlblFieldTableCache>
                        <c:ptCount val="1"/>
                        <c:pt idx="0">
                          <c:v>7,57%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32118.097123060001</c:v>
                </c:pt>
                <c:pt idx="1">
                  <c:v>680805.07137000002</c:v>
                </c:pt>
                <c:pt idx="2">
                  <c:v>341258.58662765997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6CC-45AB-A8A4-1667F93406DB}"/>
            </c:ext>
          </c:extLst>
        </c:ser>
        <c:ser>
          <c:idx val="3"/>
          <c:order val="3"/>
          <c:tx>
            <c:strRef>
              <c:f>'APR VS RP  Y OBLIGACIÓN Y PAGO'!$D$42</c:f>
              <c:strCache>
                <c:ptCount val="1"/>
                <c:pt idx="0">
                  <c:v> PAGOS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6-E6CC-45AB-A8A4-1667F93406D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8-E6CC-45AB-A8A4-1667F9340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2A-E6CC-45AB-A8A4-1667F93406DB}"/>
              </c:ext>
            </c:extLst>
          </c:dPt>
          <c:dLbls>
            <c:dLbl>
              <c:idx val="0"/>
              <c:layout>
                <c:manualLayout>
                  <c:x val="4.1576721279954376E-2"/>
                  <c:y val="-2.0592024765557975E-2"/>
                </c:manualLayout>
              </c:layout>
              <c:tx>
                <c:strRef>
                  <c:f>'APR VS RP  Y OBLIGACIÓN Y PAGO'!$F$42</c:f>
                  <c:strCache>
                    <c:ptCount val="1"/>
                    <c:pt idx="0">
                      <c:v>31,06%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{30A4AFF7-D9CC-4F34-AD62-D458706A92C5}</c15:txfldGUID>
                      <c15:f>'APR VS RP  Y OBLIGACIÓN Y PAGO'!$F$42</c15:f>
                      <c15:dlblFieldTableCache>
                        <c:ptCount val="1"/>
                        <c:pt idx="0">
                          <c:v>31,06%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E6CC-45AB-A8A4-1667F93406DB}"/>
                </c:ext>
              </c:extLst>
            </c:dLbl>
            <c:dLbl>
              <c:idx val="1"/>
              <c:layout>
                <c:manualLayout>
                  <c:x val="5.6307887493506355E-2"/>
                  <c:y val="-2.5998391072446714E-2"/>
                </c:manualLayout>
              </c:layout>
              <c:tx>
                <c:strRef>
                  <c:f>'APR VS RP  Y OBLIGACIÓN Y PAGO'!$F$43</c:f>
                  <c:strCache>
                    <c:ptCount val="1"/>
                    <c:pt idx="0">
                      <c:v>58,31%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{6BF4D64C-D46C-4259-BBD2-E73C110D063F}</c15:txfldGUID>
                      <c15:f>'APR VS RP  Y OBLIGACIÓN Y PAGO'!$F$43</c15:f>
                      <c15:dlblFieldTableCache>
                        <c:ptCount val="1"/>
                        <c:pt idx="0">
                          <c:v>58,31%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E6CC-45AB-A8A4-1667F93406DB}"/>
                </c:ext>
              </c:extLst>
            </c:dLbl>
            <c:dLbl>
              <c:idx val="2"/>
              <c:layout>
                <c:manualLayout>
                  <c:x val="5.9763932493655338E-2"/>
                  <c:y val="-2.8830843207682963E-2"/>
                </c:manualLayout>
              </c:layout>
              <c:tx>
                <c:strRef>
                  <c:f>'APR VS RP  Y OBLIGACIÓN Y PAGO'!$F$44</c:f>
                  <c:strCache>
                    <c:ptCount val="1"/>
                    <c:pt idx="0">
                      <c:v>7,57%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{19448DE7-C1DF-4383-85BB-6E88E8727D76}</c15:txfldGUID>
                      <c15:f>'APR VS RP  Y OBLIGACIÓN Y PAGO'!$F$44</c15:f>
                      <c15:dlblFieldTableCache>
                        <c:ptCount val="1"/>
                        <c:pt idx="0">
                          <c:v>7,57%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E6CC-45AB-A8A4-1667F9340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 VS RP  Y OBLIGACIÓN Y PAGO'!$D$42</c:f>
              <c:strCache>
                <c:ptCount val="3"/>
                <c:pt idx="0">
                  <c:v>A-FUNCIONAMIENTO</c:v>
                </c:pt>
                <c:pt idx="1">
                  <c:v>B-SERVICIO DE LA DEUDA PÚBLICA</c:v>
                </c:pt>
                <c:pt idx="2">
                  <c:v>C- INVERSION</c:v>
                </c:pt>
              </c:strCache>
            </c:strRef>
          </c:cat>
          <c:val>
            <c:numRef>
              <c:f>'APR VS RP  Y OBLIGACIÓN Y PAGO'!$D$42</c:f>
              <c:numCache>
                <c:formatCode>_-* #,##0.00_-;\-* #,##0.00_-;_-* "-"_-;_-@_-</c:formatCode>
                <c:ptCount val="3"/>
                <c:pt idx="0">
                  <c:v>30994.108885060003</c:v>
                </c:pt>
                <c:pt idx="1">
                  <c:v>680805.07137000002</c:v>
                </c:pt>
                <c:pt idx="2">
                  <c:v>340907.11477966997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E6CC-45AB-A8A4-1667F9340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7664"/>
        <c:axId val="-1289799840"/>
        <c:axId val="0"/>
      </c:bar3DChart>
      <c:catAx>
        <c:axId val="-12897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840"/>
        <c:crosses val="autoZero"/>
        <c:auto val="1"/>
        <c:lblAlgn val="ctr"/>
        <c:lblOffset val="100"/>
        <c:noMultiLvlLbl val="0"/>
      </c:catAx>
      <c:valAx>
        <c:axId val="-128979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tx2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Junio_2022.xlsx]APR,RP´S,OBL Y PAGO FUNCIONAMIE!TablaDinámica1</c:name>
    <c:fmtId val="4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799221989170927E-2"/>
              <c:y val="-3.5008454625033401E-2"/>
            </c:manualLayout>
          </c:layout>
          <c:tx>
            <c:strRef>
              <c:f>'APR,RP´S,OBL Y PAGO FUNCIONAMIE'!$F$45</c:f>
              <c:strCache>
                <c:ptCount val="1"/>
                <c:pt idx="0">
                  <c:v>41,06%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6.2338162091192105E-2"/>
                  <c:h val="3.5865008726477923E-2"/>
                </c:manualLayout>
              </c15:layout>
              <c15:dlblFieldTable>
                <c15:dlblFTEntry>
                  <c15:txfldGUID>{1059D7EC-4839-42EB-8BD8-C8CB70292A37}</c15:txfldGUID>
                  <c15:f>'APR,RP´S,OBL Y PAGO FUNCIONAMIE'!$F$45</c15:f>
                  <c15:dlblFieldTableCache>
                    <c:ptCount val="1"/>
                    <c:pt idx="0">
                      <c:v>41,06%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5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1.4794832337668779E-2"/>
              <c:y val="-1.1236006372231959E-2"/>
            </c:manualLayout>
          </c:layout>
          <c:tx>
            <c:strRef>
              <c:f>'APR,RP´S,OBL Y PAGO FUNCIONAMIE'!$E$45</c:f>
              <c:strCache>
                <c:ptCount val="1"/>
                <c:pt idx="0">
                  <c:v>41,07%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{F6C8FF5A-0B7E-4F7D-A88D-741F91F6B882}</c15:txfldGUID>
                  <c15:f>'APR,RP´S,OBL Y PAGO FUNCIONAMIE'!$E$45</c15:f>
                  <c15:dlblFieldTableCache>
                    <c:ptCount val="1"/>
                    <c:pt idx="0">
                      <c:v>41,07%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6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3.9785222331072616E-2"/>
              <c:y val="2.7083072807642327E-3"/>
            </c:manualLayout>
          </c:layout>
          <c:tx>
            <c:strRef>
              <c:f>'APR,RP´S,OBL Y PAGO FUNCIONAMIE'!$F$44</c:f>
              <c:strCache>
                <c:ptCount val="1"/>
                <c:pt idx="0">
                  <c:v>44,57%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{150AD1AE-33D1-46BA-A078-16C69A6E461E}</c15:txfldGUID>
                  <c15:f>'APR,RP´S,OBL Y PAGO FUNCIONAMIE'!$F$44</c15:f>
                  <c15:dlblFieldTableCache>
                    <c:ptCount val="1"/>
                    <c:pt idx="0">
                      <c:v>44,57%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3.0757911653794146E-2"/>
              <c:y val="-8.366607617302145E-3"/>
            </c:manualLayout>
          </c:layout>
          <c:tx>
            <c:strRef>
              <c:f>'APR,RP´S,OBL Y PAGO FUNCIONAMIE'!$D$45</c:f>
              <c:strCache>
                <c:ptCount val="1"/>
                <c:pt idx="0">
                  <c:v>77,56%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{5E56F8D7-5845-4210-819E-0918AA11EE12}</c15:txfldGUID>
                  <c15:f>'APR,RP´S,OBL Y PAGO FUNCIONAMIE'!$D$45</c15:f>
                  <c15:dlblFieldTableCache>
                    <c:ptCount val="1"/>
                    <c:pt idx="0">
                      <c:v>77,56%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8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6184722843036922E-2"/>
              <c:y val="-1.4614811633129081E-3"/>
            </c:manualLayout>
          </c:layout>
          <c:tx>
            <c:strRef>
              <c:f>'APR,RP´S,OBL Y PAGO FUNCIONAMIE'!$E$44</c:f>
              <c:strCache>
                <c:ptCount val="1"/>
                <c:pt idx="0">
                  <c:v>46,75%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7.3998075675607719E-2"/>
                  <c:h val="3.6454603285070386E-2"/>
                </c:manualLayout>
              </c15:layout>
              <c15:dlblFieldTable>
                <c15:dlblFTEntry>
                  <c15:txfldGUID>{180B3496-8B4D-416A-A229-54606D70F5C3}</c15:txfldGUID>
                  <c15:f>'APR,RP´S,OBL Y PAGO FUNCIONAMIE'!$E$44</c15:f>
                  <c15:dlblFieldTableCache>
                    <c:ptCount val="1"/>
                    <c:pt idx="0">
                      <c:v>46,75%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9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4570320738700486E-2"/>
              <c:y val="-2.4992415304230575E-2"/>
            </c:manualLayout>
          </c:layout>
          <c:tx>
            <c:strRef>
              <c:f>'APR,RP´S,OBL Y PAGO FUNCIONAMIE'!$D$44</c:f>
              <c:strCache>
                <c:ptCount val="1"/>
                <c:pt idx="0">
                  <c:v>46,75%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{8C10E8E4-D551-4CEE-9881-3EE83AAD152A}</c15:txfldGUID>
                  <c15:f>'APR,RP´S,OBL Y PAGO FUNCIONAMIE'!$D$44</c15:f>
                  <c15:dlblFieldTableCache>
                    <c:ptCount val="1"/>
                    <c:pt idx="0">
                      <c:v>46,75%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1327041907439347E-2"/>
              <c:y val="-2.7888627305992182E-2"/>
            </c:manualLayout>
          </c:layout>
          <c:tx>
            <c:strRef>
              <c:f>'APR,RP´S,OBL Y PAGO FUNCIONAMIE'!$D$46</c:f>
              <c:strCache>
                <c:ptCount val="1"/>
                <c:pt idx="0">
                  <c:v>0,57%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{7CAEA940-FBB4-4B26-AA2E-66EAED6E45E8}</c15:txfldGUID>
                  <c15:f>'APR,RP´S,OBL Y PAGO FUNCIONAMIE'!$D$46</c15:f>
                  <c15:dlblFieldTableCache>
                    <c:ptCount val="1"/>
                    <c:pt idx="0">
                      <c:v>0,57%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8160555230856752E-2"/>
              <c:y val="-1.6572152476851829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9.9463055827680915E-3"/>
              <c:y val="-2.491194684732207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1.2963418279874331E-2"/>
              <c:y val="-1.0127309522087815E-16"/>
            </c:manualLayout>
          </c:layout>
          <c:tx>
            <c:strRef>
              <c:f>'APR,RP´S,OBL Y PAGO FUNCIONAMIE'!$F$46</c:f>
              <c:strCache>
                <c:ptCount val="1"/>
                <c:pt idx="0">
                  <c:v>0,57%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{9462EF16-04C3-48FF-9245-7B94F8BCEADA}</c15:txfldGUID>
                  <c15:f>'APR,RP´S,OBL Y PAGO FUNCIONAMIE'!$F$46</c15:f>
                  <c15:dlblFieldTableCache>
                    <c:ptCount val="1"/>
                    <c:pt idx="0">
                      <c:v>0,57%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4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tx>
            <c:strRef>
              <c:f>'APR,RP´S,OBL Y PAGO FUNCIONAMIE'!$E$46</c:f>
              <c:strCache>
                <c:ptCount val="1"/>
                <c:pt idx="0">
                  <c:v>0,57%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{CCB884B8-A4D8-409D-9E3F-9E99F39E33AE}</c15:txfldGUID>
                  <c15:f>'APR,RP´S,OBL Y PAGO FUNCIONAMIE'!$E$46</c15:f>
                  <c15:dlblFieldTableCache>
                    <c:ptCount val="1"/>
                    <c:pt idx="0">
                      <c:v>0,57%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5"/>
        <c:spPr>
          <a:solidFill>
            <a:schemeClr val="accent2"/>
          </a:solidFill>
          <a:ln>
            <a:noFill/>
          </a:ln>
          <a:effectLst/>
          <a:sp3d/>
        </c:spPr>
        <c:dLbl>
          <c:idx val="0"/>
          <c:layout>
            <c:manualLayout>
              <c:x val="1.3193551750483369E-2"/>
              <c:y val="-1.9334177889660246E-2"/>
            </c:manualLayout>
          </c:layout>
          <c:tx>
            <c:strRef>
              <c:f>'APR,RP´S,OBL Y PAGO FUNCIONAMIE'!$D$47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{E84BB70F-72AE-4E4B-8663-A2C57A137D9F}</c15:txfldGUID>
                  <c15:f>'APR,RP´S,OBL Y PAGO FUNCIONAMIE'!$D$47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6"/>
        <c:spPr>
          <a:solidFill>
            <a:schemeClr val="accent3"/>
          </a:solidFill>
          <a:ln>
            <a:noFill/>
          </a:ln>
          <a:effectLst/>
          <a:sp3d/>
        </c:spPr>
        <c:dLbl>
          <c:idx val="0"/>
          <c:layout>
            <c:manualLayout>
              <c:x val="2.5226796838926178E-2"/>
              <c:y val="-5.5240508256172421E-3"/>
            </c:manualLayout>
          </c:layout>
          <c:tx>
            <c:strRef>
              <c:f>'APR,RP´S,OBL Y PAGO FUNCIONAMIE'!$E$47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{2885ECFF-61CD-45D8-B205-155DBBF85193}</c15:txfldGUID>
                  <c15:f>'APR,RP´S,OBL Y PAGO FUNCIONAMIE'!$E$47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7"/>
        <c:spPr>
          <a:solidFill>
            <a:schemeClr val="accent4"/>
          </a:solidFill>
          <a:ln>
            <a:noFill/>
          </a:ln>
          <a:effectLst/>
          <a:sp3d/>
        </c:spPr>
        <c:dLbl>
          <c:idx val="0"/>
          <c:layout>
            <c:manualLayout>
              <c:x val="4.3281583920398943E-2"/>
              <c:y val="8.2860762384258622E-3"/>
            </c:manualLayout>
          </c:layout>
          <c:tx>
            <c:strRef>
              <c:f>'APR,RP´S,OBL Y PAGO FUNCIONAMIE'!$F$47</c:f>
              <c:strCache>
                <c:ptCount val="1"/>
                <c:pt idx="0">
                  <c:v>0,00%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{72D8384C-7550-4057-8BB8-056BFF77272B}</c15:txfldGUID>
                  <c15:f>'APR,RP´S,OBL Y PAGO FUNCIONAMIE'!$F$47</c15:f>
                  <c15:dlblFieldTableCache>
                    <c:ptCount val="1"/>
                    <c:pt idx="0">
                      <c:v>0,00%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7354722185743902E-3"/>
              <c:y val="-1.1048101651234484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'APR,RP´S,OBL Y PAGO FUNCIONAMIE'!$F$45</c:f>
              <c:strCache>
                <c:ptCount val="1"/>
                <c:pt idx="0">
                  <c:v> APROPIACION
 VIGENTE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AC1C-43BA-AF73-2DAD61FE146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C1C-43BA-AF73-2DAD61FE146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490A-41BA-A430-F1FA2F9F4A04}"/>
              </c:ext>
            </c:extLst>
          </c:dPt>
          <c:dLbls>
            <c:dLbl>
              <c:idx val="1"/>
              <c:layout>
                <c:manualLayout>
                  <c:x val="1.8160555230856752E-2"/>
                  <c:y val="-1.6572152476851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C-43BA-AF73-2DAD61FE146F}"/>
                </c:ext>
              </c:extLst>
            </c:dLbl>
            <c:dLbl>
              <c:idx val="2"/>
              <c:layout>
                <c:manualLayout>
                  <c:x val="9.9463055827680915E-3"/>
                  <c:y val="-2.4911946847322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1C-43BA-AF73-2DAD61FE146F}"/>
                </c:ext>
              </c:extLst>
            </c:dLbl>
            <c:dLbl>
              <c:idx val="3"/>
              <c:layout>
                <c:manualLayout>
                  <c:x val="1.7354722185743902E-3"/>
                  <c:y val="-1.104810165123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0A-41BA-A430-F1FA2F9F4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51464.345000000001</c:v>
                </c:pt>
                <c:pt idx="1">
                  <c:v>19419.071</c:v>
                </c:pt>
                <c:pt idx="2">
                  <c:v>14851.09737</c:v>
                </c:pt>
                <c:pt idx="3">
                  <c:v>14051.472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EE6F-4898-A82B-B58C66A3D72A}"/>
            </c:ext>
          </c:extLst>
        </c:ser>
        <c:ser>
          <c:idx val="1"/>
          <c:order val="1"/>
          <c:tx>
            <c:strRef>
              <c:f>'APR,RP´S,OBL Y PAGO FUNCIONAMIE'!$F$45</c:f>
              <c:strCache>
                <c:ptCount val="1"/>
                <c:pt idx="0">
                  <c:v> COMPROMISOS
 ACUMULADOS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EE6F-4898-A82B-B58C66A3D72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E02A-417B-8088-C82007E187AB}"/>
              </c:ext>
            </c:extLst>
          </c:dPt>
          <c:dLbls>
            <c:dLbl>
              <c:idx val="0"/>
              <c:layout>
                <c:manualLayout>
                  <c:x val="1.4570320738700486E-2"/>
                  <c:y val="-2.4992415304230575E-2"/>
                </c:manualLayout>
              </c:layout>
              <c:tx>
                <c:strRef>
                  <c:f>'APR,RP´S,OBL Y PAGO FUNCIONAMIE'!$D$44</c:f>
                  <c:strCache>
                    <c:ptCount val="1"/>
                    <c:pt idx="0">
                      <c:v>46,75%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{77C310B4-6629-48E5-BF4B-120BEE84923F}</c15:txfldGUID>
                      <c15:f>'APR,RP´S,OBL Y PAGO FUNCIONAMIE'!$D$44</c15:f>
                      <c15:dlblFieldTableCache>
                        <c:ptCount val="1"/>
                        <c:pt idx="0">
                          <c:v>46,75%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E6F-4898-A82B-B58C66A3D72A}"/>
                </c:ext>
              </c:extLst>
            </c:dLbl>
            <c:dLbl>
              <c:idx val="1"/>
              <c:layout>
                <c:manualLayout>
                  <c:x val="3.0757911653794146E-2"/>
                  <c:y val="-8.366607617302145E-3"/>
                </c:manualLayout>
              </c:layout>
              <c:tx>
                <c:strRef>
                  <c:f>'APR,RP´S,OBL Y PAGO FUNCIONAMIE'!$D$45</c:f>
                  <c:strCache>
                    <c:ptCount val="1"/>
                    <c:pt idx="0">
                      <c:v>77,56%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{E03C26E6-F287-4EC9-AFA2-0A31FCBFD781}</c15:txfldGUID>
                      <c15:f>'APR,RP´S,OBL Y PAGO FUNCIONAMIE'!$D$45</c15:f>
                      <c15:dlblFieldTableCache>
                        <c:ptCount val="1"/>
                        <c:pt idx="0">
                          <c:v>77,56%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E6F-4898-A82B-B58C66A3D72A}"/>
                </c:ext>
              </c:extLst>
            </c:dLbl>
            <c:dLbl>
              <c:idx val="2"/>
              <c:layout>
                <c:manualLayout>
                  <c:x val="1.1327041907439347E-2"/>
                  <c:y val="-2.7888627305992182E-2"/>
                </c:manualLayout>
              </c:layout>
              <c:tx>
                <c:strRef>
                  <c:f>'APR,RP´S,OBL Y PAGO FUNCIONAMIE'!$D$46</c:f>
                  <c:strCache>
                    <c:ptCount val="1"/>
                    <c:pt idx="0">
                      <c:v>0,57%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{A50BB231-54FF-4888-A2A6-86FC74F2FBC0}</c15:txfldGUID>
                      <c15:f>'APR,RP´S,OBL Y PAGO FUNCIONAMIE'!$D$46</c15:f>
                      <c15:dlblFieldTableCache>
                        <c:ptCount val="1"/>
                        <c:pt idx="0">
                          <c:v>0,57%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E6F-4898-A82B-B58C66A3D72A}"/>
                </c:ext>
              </c:extLst>
            </c:dLbl>
            <c:dLbl>
              <c:idx val="3"/>
              <c:layout>
                <c:manualLayout>
                  <c:x val="1.3193551750483369E-2"/>
                  <c:y val="-1.9334177889660246E-2"/>
                </c:manualLayout>
              </c:layout>
              <c:tx>
                <c:strRef>
                  <c:f>'APR,RP´S,OBL Y PAGO FUNCIONAMIE'!$D$47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{A870DFDA-9D6A-4B36-A585-05C482CDABD3}</c15:txfldGUID>
                      <c15:f>'APR,RP´S,OBL Y PAGO FUNCIONAMIE'!$D$47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24057.77067229</c:v>
                </c:pt>
                <c:pt idx="1">
                  <c:v>15061.75765831</c:v>
                </c:pt>
                <c:pt idx="2">
                  <c:v>85.358490039999992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EE6F-4898-A82B-B58C66A3D72A}"/>
            </c:ext>
          </c:extLst>
        </c:ser>
        <c:ser>
          <c:idx val="2"/>
          <c:order val="2"/>
          <c:tx>
            <c:strRef>
              <c:f>'APR,RP´S,OBL Y PAGO FUNCIONAMIE'!$F$45</c:f>
              <c:strCache>
                <c:ptCount val="1"/>
                <c:pt idx="0">
                  <c:v> OBLIGACIONES
 ACUMULADAS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E02A-417B-8088-C82007E187AB}"/>
              </c:ext>
            </c:extLst>
          </c:dPt>
          <c:dLbls>
            <c:dLbl>
              <c:idx val="0"/>
              <c:layout>
                <c:manualLayout>
                  <c:x val="2.6184722843036922E-2"/>
                  <c:y val="-1.4614811633129081E-3"/>
                </c:manualLayout>
              </c:layout>
              <c:tx>
                <c:strRef>
                  <c:f>'APR,RP´S,OBL Y PAGO FUNCIONAMIE'!$E$44</c:f>
                  <c:strCache>
                    <c:ptCount val="1"/>
                    <c:pt idx="0">
                      <c:v>46,75%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998075675607719E-2"/>
                      <c:h val="3.6454603285070386E-2"/>
                    </c:manualLayout>
                  </c15:layout>
                  <c15:dlblFieldTable>
                    <c15:dlblFTEntry>
                      <c15:txfldGUID>{FBD0B2C0-240B-4BBC-A232-B62B8486224F}</c15:txfldGUID>
                      <c15:f>'APR,RP´S,OBL Y PAGO FUNCIONAMIE'!$E$44</c15:f>
                      <c15:dlblFieldTableCache>
                        <c:ptCount val="1"/>
                        <c:pt idx="0">
                          <c:v>46,75%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E6F-4898-A82B-B58C66A3D72A}"/>
                </c:ext>
              </c:extLst>
            </c:dLbl>
            <c:dLbl>
              <c:idx val="1"/>
              <c:layout>
                <c:manualLayout>
                  <c:x val="1.4794832337668779E-2"/>
                  <c:y val="-1.1236006372231959E-2"/>
                </c:manualLayout>
              </c:layout>
              <c:tx>
                <c:strRef>
                  <c:f>'APR,RP´S,OBL Y PAGO FUNCIONAMIE'!$E$45</c:f>
                  <c:strCache>
                    <c:ptCount val="1"/>
                    <c:pt idx="0">
                      <c:v>41,07%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{0B0ED57C-2A44-476C-A318-F25BF39FE895}</c15:txfldGUID>
                      <c15:f>'APR,RP´S,OBL Y PAGO FUNCIONAMIE'!$E$45</c15:f>
                      <c15:dlblFieldTableCache>
                        <c:ptCount val="1"/>
                        <c:pt idx="0">
                          <c:v>41,07%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E6F-4898-A82B-B58C66A3D72A}"/>
                </c:ext>
              </c:extLst>
            </c:dLbl>
            <c:dLbl>
              <c:idx val="2"/>
              <c:tx>
                <c:strRef>
                  <c:f>'APR,RP´S,OBL Y PAGO FUNCIONAMIE'!$E$46</c:f>
                  <c:strCache>
                    <c:ptCount val="1"/>
                    <c:pt idx="0">
                      <c:v>0,57%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{FBC8205D-E1F9-4C3C-9BD5-7EF8C7BECC18}</c15:txfldGUID>
                      <c15:f>'APR,RP´S,OBL Y PAGO FUNCIONAMIE'!$E$46</c15:f>
                      <c15:dlblFieldTableCache>
                        <c:ptCount val="1"/>
                        <c:pt idx="0">
                          <c:v>0,57%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02A-417B-8088-C82007E187AB}"/>
                </c:ext>
              </c:extLst>
            </c:dLbl>
            <c:dLbl>
              <c:idx val="3"/>
              <c:layout>
                <c:manualLayout>
                  <c:x val="2.5226796838926178E-2"/>
                  <c:y val="-5.5240508256172421E-3"/>
                </c:manualLayout>
              </c:layout>
              <c:tx>
                <c:strRef>
                  <c:f>'APR,RP´S,OBL Y PAGO FUNCIONAMIE'!$E$47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{A6253FC8-DB95-4868-B9D5-5CFB5F44AE30}</c15:txfldGUID>
                      <c15:f>'APR,RP´S,OBL Y PAGO FUNCIONAMIE'!$E$47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24057.77067229</c:v>
                </c:pt>
                <c:pt idx="1">
                  <c:v>7974.9679607300004</c:v>
                </c:pt>
                <c:pt idx="2">
                  <c:v>85.358490039999992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2-EE6F-4898-A82B-B58C66A3D72A}"/>
            </c:ext>
          </c:extLst>
        </c:ser>
        <c:ser>
          <c:idx val="3"/>
          <c:order val="3"/>
          <c:tx>
            <c:strRef>
              <c:f>'APR,RP´S,OBL Y PAGO FUNCIONAMIE'!$F$45</c:f>
              <c:strCache>
                <c:ptCount val="1"/>
                <c:pt idx="0">
                  <c:v> PAGOS
 ACUMULADOS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EE6F-4898-A82B-B58C66A3D72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EE6F-4898-A82B-B58C66A3D72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E02A-417B-8088-C82007E187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E02A-417B-8088-C82007E187AB}"/>
              </c:ext>
            </c:extLst>
          </c:dPt>
          <c:dLbls>
            <c:dLbl>
              <c:idx val="0"/>
              <c:layout>
                <c:manualLayout>
                  <c:x val="3.9785222331072616E-2"/>
                  <c:y val="2.7083072807642327E-3"/>
                </c:manualLayout>
              </c:layout>
              <c:tx>
                <c:strRef>
                  <c:f>'APR,RP´S,OBL Y PAGO FUNCIONAMIE'!$F$44</c:f>
                  <c:strCache>
                    <c:ptCount val="1"/>
                    <c:pt idx="0">
                      <c:v>44,57%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{1327BD4F-5F6F-497B-8E72-43746A1CF52A}</c15:txfldGUID>
                      <c15:f>'APR,RP´S,OBL Y PAGO FUNCIONAMIE'!$F$44</c15:f>
                      <c15:dlblFieldTableCache>
                        <c:ptCount val="1"/>
                        <c:pt idx="0">
                          <c:v>44,57%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E6F-4898-A82B-B58C66A3D72A}"/>
                </c:ext>
              </c:extLst>
            </c:dLbl>
            <c:dLbl>
              <c:idx val="1"/>
              <c:layout>
                <c:manualLayout>
                  <c:x val="3.799221989170927E-2"/>
                  <c:y val="-3.5008454625033401E-2"/>
                </c:manualLayout>
              </c:layout>
              <c:tx>
                <c:strRef>
                  <c:f>'APR,RP´S,OBL Y PAGO FUNCIONAMIE'!$F$45</c:f>
                  <c:strCache>
                    <c:ptCount val="1"/>
                    <c:pt idx="0">
                      <c:v>41,06%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338162091192105E-2"/>
                      <c:h val="3.5865008726477923E-2"/>
                    </c:manualLayout>
                  </c15:layout>
                  <c15:dlblFieldTable>
                    <c15:dlblFTEntry>
                      <c15:txfldGUID>{B8A48917-6C1F-4B54-BBA3-7F0C90323F47}</c15:txfldGUID>
                      <c15:f>'APR,RP´S,OBL Y PAGO FUNCIONAMIE'!$F$45</c15:f>
                      <c15:dlblFieldTableCache>
                        <c:ptCount val="1"/>
                        <c:pt idx="0">
                          <c:v>41,06%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E6F-4898-A82B-B58C66A3D72A}"/>
                </c:ext>
              </c:extLst>
            </c:dLbl>
            <c:dLbl>
              <c:idx val="2"/>
              <c:layout>
                <c:manualLayout>
                  <c:x val="1.2963418279874331E-2"/>
                  <c:y val="-1.0127309522087815E-16"/>
                </c:manualLayout>
              </c:layout>
              <c:tx>
                <c:strRef>
                  <c:f>'APR,RP´S,OBL Y PAGO FUNCIONAMIE'!$F$46</c:f>
                  <c:strCache>
                    <c:ptCount val="1"/>
                    <c:pt idx="0">
                      <c:v>0,57%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{04380D3F-F881-41CB-BCFE-30A05FC83F48}</c15:txfldGUID>
                      <c15:f>'APR,RP´S,OBL Y PAGO FUNCIONAMIE'!$F$46</c15:f>
                      <c15:dlblFieldTableCache>
                        <c:ptCount val="1"/>
                        <c:pt idx="0">
                          <c:v>0,57%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02A-417B-8088-C82007E187AB}"/>
                </c:ext>
              </c:extLst>
            </c:dLbl>
            <c:dLbl>
              <c:idx val="3"/>
              <c:layout>
                <c:manualLayout>
                  <c:x val="4.3281583920398943E-2"/>
                  <c:y val="8.2860762384258622E-3"/>
                </c:manualLayout>
              </c:layout>
              <c:tx>
                <c:strRef>
                  <c:f>'APR,RP´S,OBL Y PAGO FUNCIONAMIE'!$F$47</c:f>
                  <c:strCache>
                    <c:ptCount val="1"/>
                    <c:pt idx="0">
                      <c:v>0,00%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{7A23AA44-FB9C-49B3-B4D8-73583C8F3ADB}</c15:txfldGUID>
                      <c15:f>'APR,RP´S,OBL Y PAGO FUNCIONAMIE'!$F$47</c15:f>
                      <c15:dlblFieldTableCache>
                        <c:ptCount val="1"/>
                        <c:pt idx="0">
                          <c:v>0,00%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02A-417B-8088-C82007E18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'APR,RP´S,OBL Y PAGO FUNCIONAMIE'!$F$45</c:f>
              <c:strCache>
                <c:ptCount val="4"/>
                <c:pt idx="0">
                  <c:v>A-01 -GASTOS DE PERSONAL</c:v>
                </c:pt>
                <c:pt idx="1">
                  <c:v>A-02 -ADQUISICIÓN DE BIENES  Y SERVICIOS</c:v>
                </c:pt>
                <c:pt idx="2">
                  <c:v>A-03-TRANSFERENCIAS CORRIENTES</c:v>
                </c:pt>
                <c:pt idx="3">
                  <c:v>A-08-GASTOS POR TRIBUTOS, MULTAS, SANCIONES E INTERESES DE MORA</c:v>
                </c:pt>
              </c:strCache>
            </c:strRef>
          </c:cat>
          <c:val>
            <c:numRef>
              <c:f>'APR,RP´S,OBL Y PAGO FUNCIONAMIE'!$F$45</c:f>
              <c:numCache>
                <c:formatCode>_-* #,##0.00_-;\-* #,##0.00_-;_-* "-"_-;_-@_-</c:formatCode>
                <c:ptCount val="4"/>
                <c:pt idx="0">
                  <c:v>22936.149588290002</c:v>
                </c:pt>
                <c:pt idx="1">
                  <c:v>7972.6008067300008</c:v>
                </c:pt>
                <c:pt idx="2">
                  <c:v>85.358490039999992</c:v>
                </c:pt>
                <c:pt idx="3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EE6F-4898-A82B-B58C66A3D7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90227727"/>
        <c:axId val="1990241039"/>
        <c:axId val="0"/>
      </c:bar3DChart>
      <c:catAx>
        <c:axId val="199022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41039"/>
        <c:crosses val="autoZero"/>
        <c:auto val="1"/>
        <c:lblAlgn val="ctr"/>
        <c:lblOffset val="100"/>
        <c:noMultiLvlLbl val="0"/>
      </c:catAx>
      <c:valAx>
        <c:axId val="199024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9022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Junio_2022.xlsx]INVERSIÓN APR VS RP Y OBLI!TablaDinámica1</c:name>
    <c:fmtId val="3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accent1">
                    <a:lumMod val="40000"/>
                    <a:lumOff val="60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200" baseline="0">
                <a:solidFill>
                  <a:schemeClr val="accent1">
                    <a:lumMod val="40000"/>
                    <a:lumOff val="60000"/>
                  </a:schemeClr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N</a:t>
            </a:r>
            <a:endParaRPr lang="es-CO" sz="1200">
              <a:solidFill>
                <a:schemeClr val="accent1">
                  <a:lumMod val="40000"/>
                  <a:lumOff val="60000"/>
                </a:schemeClr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accent1">
                  <a:lumMod val="40000"/>
                  <a:lumOff val="60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marker>
          <c:symbol val="none"/>
        </c:marker>
        <c:dLbl>
          <c:idx val="0"/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solidFill>
              <a:schemeClr val="accent1"/>
            </a:solidFill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  <a:contourClr>
              <a:schemeClr val="accent1"/>
            </a:contourClr>
          </a:sp3d>
        </c:spPr>
        <c:dLbl>
          <c:idx val="0"/>
          <c:layout>
            <c:manualLayout>
              <c:x val="4.862631055564634E-2"/>
              <c:y val="-2.8880866425992781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 prst="relaxedInset"/>
          </a:sp3d>
        </c:spPr>
        <c:dLbl>
          <c:idx val="0"/>
          <c:layout>
            <c:manualLayout>
              <c:x val="2.61090112809414E-2"/>
              <c:y val="-6.3085501409098119E-2"/>
            </c:manualLayout>
          </c:layout>
          <c:numFmt formatCode="_(* #,##0_);_(* \(#,##0\);_(* &quot;-&quot;_);_(@_)" sourceLinked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 prst="relaxedInset"/>
          </a:sp3d>
        </c:spPr>
        <c:dLbl>
          <c:idx val="0"/>
          <c:layout>
            <c:manualLayout>
              <c:x val="6.4461407972858237E-2"/>
              <c:y val="-4.4077134986225897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4">
                  <a:satMod val="103000"/>
                  <a:lumMod val="102000"/>
                  <a:tint val="94000"/>
                </a:schemeClr>
              </a:gs>
              <a:gs pos="50000">
                <a:schemeClr val="accent4">
                  <a:satMod val="110000"/>
                  <a:lumMod val="100000"/>
                  <a:shade val="100000"/>
                </a:schemeClr>
              </a:gs>
              <a:gs pos="100000">
                <a:schemeClr val="accent4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</a:sp3d>
        </c:spPr>
        <c:dLbl>
          <c:idx val="0"/>
          <c:layout>
            <c:manualLayout>
              <c:x val="0.12284798067950614"/>
              <c:y val="-2.4179690623185559E-2"/>
            </c:manualLayout>
          </c:layout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tx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1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313216963085065E-2"/>
          <c:y val="0.1788783155498416"/>
          <c:w val="0.78504221080381564"/>
          <c:h val="0.762022282127151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'INVERSIÓN APR VS RP Y OBLI'!$B$8</c:f>
              <c:strCache>
                <c:ptCount val="1"/>
                <c:pt idx="0">
                  <c:v>Suma de APROPIACION
 VIGENTE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00B-46AF-A114-3DA193FF4519}"/>
              </c:ext>
            </c:extLst>
          </c:dPt>
          <c:dLbls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OBLI'!$B$9</c:f>
              <c:numCache>
                <c:formatCode>_-* #,##0.00_-;\-* #,##0.00_-;_-* "-"_-;_-@_-</c:formatCode>
                <c:ptCount val="1"/>
                <c:pt idx="0">
                  <c:v>4505182025012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B-46AF-A114-3DA193FF4519}"/>
            </c:ext>
          </c:extLst>
        </c:ser>
        <c:ser>
          <c:idx val="1"/>
          <c:order val="1"/>
          <c:tx>
            <c:strRef>
              <c:f>'INVERSIÓN APR VS RP Y OBLI'!$C$8</c:f>
              <c:strCache>
                <c:ptCount val="1"/>
                <c:pt idx="0">
                  <c:v>2 COMPROMISOS
 ACUMULADOS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accent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prst="relaxedInset"/>
              <a:contourClr>
                <a:schemeClr val="accent1"/>
              </a:contourClr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accent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prst="relaxedInset"/>
                <a:contourClr>
                  <a:schemeClr val="accen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00B-46AF-A114-3DA193FF4519}"/>
              </c:ext>
            </c:extLst>
          </c:dPt>
          <c:dLbls>
            <c:dLbl>
              <c:idx val="0"/>
              <c:layout>
                <c:manualLayout>
                  <c:x val="4.862631055564634E-2"/>
                  <c:y val="-2.8880866425992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OBLI'!$C$9</c:f>
              <c:numCache>
                <c:formatCode>_-* #,##0.00_-;\-* #,##0.00_-;_-* "-"_-;_-@_-</c:formatCode>
                <c:ptCount val="1"/>
                <c:pt idx="0">
                  <c:v>4337557901816.0396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B-46AF-A114-3DA193FF4519}"/>
            </c:ext>
          </c:extLst>
        </c:ser>
        <c:ser>
          <c:idx val="2"/>
          <c:order val="2"/>
          <c:tx>
            <c:strRef>
              <c:f>'INVERSIÓN APR VS RP Y OBLI'!$D$8</c:f>
              <c:strCache>
                <c:ptCount val="1"/>
                <c:pt idx="0">
                  <c:v>3 OBLIGACIONES
 ACUMULADAS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 prst="relaxedInset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 prst="relaxedInset"/>
              </a:sp3d>
            </c:spPr>
            <c:extLst>
              <c:ext xmlns:c16="http://schemas.microsoft.com/office/drawing/2014/chart" uri="{C3380CC4-5D6E-409C-BE32-E72D297353CC}">
                <c16:uniqueId val="{00000005-300B-46AF-A114-3DA193FF4519}"/>
              </c:ext>
            </c:extLst>
          </c:dPt>
          <c:dLbls>
            <c:dLbl>
              <c:idx val="0"/>
              <c:layout>
                <c:manualLayout>
                  <c:x val="6.4461407972858237E-2"/>
                  <c:y val="-4.4077134986225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0B-46AF-A114-3DA193FF4519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OBLI'!$D$9</c:f>
              <c:numCache>
                <c:formatCode>_-* #,##0.00_-;\-* #,##0.00_-;_-* "-"_-;_-@_-</c:formatCode>
                <c:ptCount val="1"/>
                <c:pt idx="0">
                  <c:v>341258586627.65997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0B-46AF-A114-3DA193FF4519}"/>
            </c:ext>
          </c:extLst>
        </c:ser>
        <c:ser>
          <c:idx val="3"/>
          <c:order val="3"/>
          <c:tx>
            <c:strRef>
              <c:f>'INVERSIÓN APR VS RP Y OBLI'!$E$8</c:f>
              <c:strCache>
                <c:ptCount val="1"/>
                <c:pt idx="0">
                  <c:v> PAGOS
 ACUMULADOS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1B0C-4425-80AC-ACDB10979743}"/>
              </c:ext>
            </c:extLst>
          </c:dPt>
          <c:dLbls>
            <c:dLbl>
              <c:idx val="0"/>
              <c:layout>
                <c:manualLayout>
                  <c:x val="0.12284798067950614"/>
                  <c:y val="-2.4179690623185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C-4425-80AC-ACDB10979743}"/>
                </c:ext>
              </c:extLst>
            </c:dLbl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'INVERSIÓN APR VS RP Y OBLI'!$B$9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'INVERSIÓN APR VS RP Y OBLI'!$E$9</c:f>
              <c:numCache>
                <c:formatCode>_-* #,##0.00_-;\-* #,##0.00_-;_-* "-"_-;_-@_-</c:formatCode>
                <c:ptCount val="1"/>
                <c:pt idx="0">
                  <c:v>340907114779.66998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FDA-403E-A763-1D815D20DF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289792224"/>
        <c:axId val="-1289799296"/>
        <c:axId val="0"/>
      </c:bar3DChart>
      <c:catAx>
        <c:axId val="-12897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9296"/>
        <c:crosses val="autoZero"/>
        <c:auto val="1"/>
        <c:lblAlgn val="ctr"/>
        <c:lblOffset val="100"/>
        <c:noMultiLvlLbl val="0"/>
      </c:catAx>
      <c:valAx>
        <c:axId val="-128979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.00_-;\-* #,##0.0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accent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tx2">
        <a:lumMod val="40000"/>
        <a:lumOff val="60000"/>
      </a:schemeClr>
    </a:solidFill>
    <a:ln>
      <a:noFill/>
    </a:ln>
    <a:effectLst/>
    <a:scene3d>
      <a:camera prst="orthographicFront"/>
      <a:lightRig rig="threePt" dir="t"/>
    </a:scene3d>
    <a:sp3d prstMaterial="matte"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Junio_2022.xlsx]Participación por Concepto!TablaDinámica4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/>
                </a:solidFill>
              </a:rPr>
              <a:t>Reservas</a:t>
            </a:r>
            <a:r>
              <a:rPr lang="en-US" baseline="0">
                <a:solidFill>
                  <a:schemeClr val="accent1"/>
                </a:solidFill>
              </a:rPr>
              <a:t> Presupuestales Vigentes a junio de 2022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0022762150937441"/>
          <c:y val="8.7685444403705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  <c:dLbl>
          <c:idx val="0"/>
          <c:numFmt formatCode="0.0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>
        <c:manualLayout>
          <c:layoutTarget val="inner"/>
          <c:xMode val="edge"/>
          <c:yMode val="edge"/>
          <c:x val="0.14480370873578988"/>
          <c:y val="0.30748130390451983"/>
          <c:w val="0.3812921082711147"/>
          <c:h val="0.61279082629202786"/>
        </c:manualLayout>
      </c:layout>
      <c:pieChart>
        <c:varyColors val="1"/>
        <c:ser>
          <c:idx val="0"/>
          <c:order val="0"/>
          <c:tx>
            <c:strRef>
              <c:f>'Participación por Concepto'!$C$8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BAE0-4DF7-A809-603F7EE01DF5}"/>
              </c:ext>
            </c:extLst>
          </c:dPt>
          <c:dPt>
            <c:idx val="1"/>
            <c:bubble3D val="0"/>
            <c:explosion val="6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BAE0-4DF7-A809-603F7EE01DF5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E0-4DF7-A809-603F7EE01D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'Participación por Concepto'!$B$9:$B$11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'Participación por Concepto'!$C$9:$C$11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DF7-A809-603F7EE01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Junio_2022.xlsx]EJECUCIÓN  RESERVA!TablaDinámica5</c:name>
    <c:fmtId val="6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</c:pivotFmt>
      <c:pivotFmt>
        <c:idx val="7"/>
        <c:spPr>
          <a:gradFill rotWithShape="1">
            <a:gsLst>
              <a:gs pos="0">
                <a:schemeClr val="accent3">
                  <a:satMod val="103000"/>
                  <a:lumMod val="102000"/>
                  <a:tint val="94000"/>
                </a:schemeClr>
              </a:gs>
              <a:gs pos="50000">
                <a:schemeClr val="accent3">
                  <a:satMod val="110000"/>
                  <a:lumMod val="100000"/>
                  <a:shade val="100000"/>
                </a:schemeClr>
              </a:gs>
              <a:gs pos="100000">
                <a:schemeClr val="accent3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tx>
            <c:strRef>
              <c:f>'EJECUCIÓN  RESERVA'!$E$47</c:f>
              <c:strCache>
                <c:ptCount val="1"/>
                <c:pt idx="0">
                  <c:v>70,20%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{70D11CAA-D418-481C-9325-424AF2EC7BBA}</c15:txfldGUID>
                  <c15:f>'EJECUCIÓN  RESERVA'!$E$47</c15:f>
                  <c15:dlblFieldTableCache>
                    <c:ptCount val="1"/>
                    <c:pt idx="0">
                      <c:v>70,20%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12211068011397805"/>
          <c:y val="7.3561011021630748E-2"/>
          <c:w val="0.54532440098753576"/>
          <c:h val="0.86324423007771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'EJECUCIÓN  RESERVA'!$E$47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55446.914647789992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2-45C2-8769-5820BFAD2514}"/>
            </c:ext>
          </c:extLst>
        </c:ser>
        <c:ser>
          <c:idx val="1"/>
          <c:order val="1"/>
          <c:tx>
            <c:strRef>
              <c:f>'EJECUCIÓN  RESERVA'!$E$47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F2-45C2-8769-5820BFAD25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2-45C2-8769-5820BFAD2514}"/>
            </c:ext>
          </c:extLst>
        </c:ser>
        <c:ser>
          <c:idx val="2"/>
          <c:order val="2"/>
          <c:tx>
            <c:strRef>
              <c:f>'EJECUCIÓN  RESERVA'!$E$47</c:f>
              <c:strCache>
                <c:ptCount val="1"/>
                <c:pt idx="0">
                  <c:v>PAGOS
ACUMULADOS
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ECF2-45C2-8769-5820BFAD2514}"/>
              </c:ext>
            </c:extLst>
          </c:dPt>
          <c:dLbls>
            <c:dLbl>
              <c:idx val="0"/>
              <c:tx>
                <c:strRef>
                  <c:f>'EJECUCIÓN  RESERVA'!$E$47</c:f>
                  <c:strCache>
                    <c:ptCount val="1"/>
                    <c:pt idx="0">
                      <c:v>70,20%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{11A2222F-ADA7-47DA-AE8E-D190CA0B863C}</c15:txfldGUID>
                      <c15:f>'EJECUCIÓN  RESERVA'!$E$47</c15:f>
                      <c15:dlblFieldTableCache>
                        <c:ptCount val="1"/>
                        <c:pt idx="0">
                          <c:v>70,20%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CF2-45C2-8769-5820BFAD2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RESERVA'!$E$47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'EJECUCIÓN  RESERVA'!$E$47</c:f>
              <c:numCache>
                <c:formatCode>_(* #,##0.00_);_(* \(#,##0.00\);_(* "-"??_);_(@_)</c:formatCode>
                <c:ptCount val="1"/>
                <c:pt idx="0">
                  <c:v>38925.896182069991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2-45C2-8769-5820BFAD25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289798752"/>
        <c:axId val="-1289796576"/>
      </c:barChart>
      <c:catAx>
        <c:axId val="-128979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6576"/>
        <c:crosses val="autoZero"/>
        <c:auto val="1"/>
        <c:lblAlgn val="ctr"/>
        <c:lblOffset val="100"/>
        <c:noMultiLvlLbl val="0"/>
      </c:catAx>
      <c:valAx>
        <c:axId val="-12897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8979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99468594467761"/>
          <c:y val="0.36000466370185913"/>
          <c:w val="0.28331122281639659"/>
          <c:h val="0.396260098853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Junio_2022.xlsx]EJECUCIÓN  RESERVA!TablaDinámica2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strRef>
              <c:f>'EJECUCIÓN  RESERVA'!$E$46</c:f>
              <c:strCache>
                <c:ptCount val="1"/>
                <c:pt idx="0">
                  <c:v>69,03%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{3B2FFF07-6DF0-4DF2-9F48-04FB68508528}</c15:txfldGUID>
                  <c15:f>'EJECUCIÓN  RESERVA'!$E$46</c15:f>
                  <c15:dlblFieldTableCache>
                    <c:ptCount val="1"/>
                    <c:pt idx="0">
                      <c:v>69,03%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dLbl>
          <c:idx val="0"/>
          <c:tx>
            <c:strRef>
              <c:f>'EJECUCIÓN  RESERVA'!$E$45</c:f>
              <c:strCache>
                <c:ptCount val="1"/>
                <c:pt idx="0">
                  <c:v>97,96%</c:v>
                </c:pt>
              </c:strCache>
            </c:strRef>
          </c:tx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dlblFieldTable>
                <c15:dlblFTEntry>
                  <c15:txfldGUID>{D05BF7E7-2DA3-4C00-B74D-79585D435609}</c15:txfldGUID>
                  <c15:f>'EJECUCIÓN  RESERVA'!$E$45</c15:f>
                  <c15:dlblFieldTableCache>
                    <c:ptCount val="1"/>
                    <c:pt idx="0">
                      <c:v>97,96%</c:v>
                    </c:pt>
                  </c15:dlblFieldTableCache>
                </c15:dlblFTEntry>
              </c15:dlblFieldTable>
              <c15:showDataLabelsRange val="0"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'EJECUCIÓN  RESERVA'!$E$46</c:f>
              <c:strCache>
                <c:ptCount val="1"/>
                <c:pt idx="0">
                  <c:v>RESERVAS CONSTITUIDAS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2249.6486331999999</c:v>
                </c:pt>
                <c:pt idx="1">
                  <c:v>53197.266014589994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7-46E8-AC6C-A42DB97A7843}"/>
            </c:ext>
          </c:extLst>
        </c:ser>
        <c:ser>
          <c:idx val="1"/>
          <c:order val="1"/>
          <c:tx>
            <c:strRef>
              <c:f>'EJECUCIÓN  RESERVA'!$E$46</c:f>
              <c:strCache>
                <c:ptCount val="1"/>
                <c:pt idx="0">
                  <c:v>CANCELACIONES RESERVAS PRESUPUESTALES
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7-46E8-AC6C-A42DB97A7843}"/>
            </c:ext>
          </c:extLst>
        </c:ser>
        <c:ser>
          <c:idx val="2"/>
          <c:order val="2"/>
          <c:tx>
            <c:strRef>
              <c:f>'EJECUCIÓN  RESERVA'!$E$46</c:f>
              <c:strCache>
                <c:ptCount val="1"/>
                <c:pt idx="0">
                  <c:v>PAGOS
ACUMULADOS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389-4762-A993-BF496872769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389-4762-A993-BF496872769D}"/>
              </c:ext>
            </c:extLst>
          </c:dPt>
          <c:dLbls>
            <c:dLbl>
              <c:idx val="0"/>
              <c:tx>
                <c:strRef>
                  <c:f>'EJECUCIÓN  RESERVA'!$E$45</c:f>
                  <c:strCache>
                    <c:ptCount val="1"/>
                    <c:pt idx="0">
                      <c:v>97,96%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{54D2BF73-1426-4F41-AB3B-73F43A9461A8}</c15:txfldGUID>
                      <c15:f>'EJECUCIÓN  RESERVA'!$E$45</c15:f>
                      <c15:dlblFieldTableCache>
                        <c:ptCount val="1"/>
                        <c:pt idx="0">
                          <c:v>97,96%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389-4762-A993-BF496872769D}"/>
                </c:ext>
              </c:extLst>
            </c:dLbl>
            <c:dLbl>
              <c:idx val="1"/>
              <c:tx>
                <c:strRef>
                  <c:f>'EJECUCIÓN  RESERVA'!$E$46</c:f>
                  <c:strCache>
                    <c:ptCount val="1"/>
                    <c:pt idx="0">
                      <c:v>69,03%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{B8DD4198-D9E3-4E41-9610-FF49FA85935F}</c15:txfldGUID>
                      <c15:f>'EJECUCIÓN  RESERVA'!$E$46</c15:f>
                      <c15:dlblFieldTableCache>
                        <c:ptCount val="1"/>
                        <c:pt idx="0">
                          <c:v>69,03%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389-4762-A993-BF49687276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'EJECUCIÓN  RESERVA'!$E$46</c:f>
              <c:strCache>
                <c:ptCount val="2"/>
                <c:pt idx="0">
                  <c:v>A-FUNCIONAMIENTO</c:v>
                </c:pt>
                <c:pt idx="1">
                  <c:v>C-INVERSIÓN</c:v>
                </c:pt>
              </c:strCache>
            </c:strRef>
          </c:cat>
          <c:val>
            <c:numRef>
              <c:f>'EJECUCIÓN  RESERVA'!$E$46</c:f>
              <c:numCache>
                <c:formatCode>_(* #,##0.00_);_(* \(#,##0.00\);_(* "-"??_);_(@_)</c:formatCode>
                <c:ptCount val="2"/>
                <c:pt idx="0">
                  <c:v>2203.8353725500001</c:v>
                </c:pt>
                <c:pt idx="1">
                  <c:v>36722.060809519993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B7-46E8-AC6C-A42DB97A78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23162799"/>
        <c:axId val="1723175279"/>
      </c:barChart>
      <c:catAx>
        <c:axId val="1723162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75279"/>
        <c:crosses val="autoZero"/>
        <c:auto val="1"/>
        <c:lblAlgn val="ctr"/>
        <c:lblOffset val="100"/>
        <c:noMultiLvlLbl val="0"/>
      </c:catAx>
      <c:valAx>
        <c:axId val="172317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3162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358099439566316"/>
          <c:y val="0.21411790456482391"/>
          <c:w val="0.24976548199903259"/>
          <c:h val="0.571764190870352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Gastos Vigencia_Reservas_CxP Cierre Mes de Junio_2022.xlsx]PART. CUENTA X PAGAR CONCEPTO !TablaDinámica2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chemeClr val="accent1"/>
                </a:solidFill>
                <a:latin typeface="+mn-lt"/>
                <a:ea typeface="+mn-ea"/>
                <a:cs typeface="+mn-cs"/>
              </a:rPr>
              <a:t>Cuenta por Pagar Vigentes al Cierre de junio de 2022</a:t>
            </a:r>
          </a:p>
          <a:p>
            <a:pPr>
              <a:defRPr lang="en-US" sz="1400" b="0" spc="0">
                <a:solidFill>
                  <a:schemeClr val="accent1"/>
                </a:solidFill>
              </a:defRPr>
            </a:pPr>
            <a:endPara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  <c:pivotFmt>
        <c:idx val="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/>
            <a:lightRig rig="threePt" dir="t"/>
          </a:scene3d>
          <a:sp3d>
            <a:bevelT/>
            <a:bevelB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'PART. CUENTA X PAGAR CONCEPTO '!$C$8</c:f>
              <c:strCache>
                <c:ptCount val="1"/>
                <c:pt idx="0">
                  <c:v>Total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9C1-47E6-9063-61FAD12C23D5}"/>
              </c:ext>
            </c:extLst>
          </c:dPt>
          <c:dPt>
            <c:idx val="1"/>
            <c:bubble3D val="0"/>
            <c:explosion val="9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2-E9C1-47E6-9063-61FAD12C2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'PART. CUENTA X PAGAR CONCEPTO '!$B$9:$B$11</c:f>
              <c:strCache>
                <c:ptCount val="2"/>
                <c:pt idx="0">
                  <c:v>A-FUNCIONAMIENTO</c:v>
                </c:pt>
                <c:pt idx="1">
                  <c:v>B-INVERSIÓN</c:v>
                </c:pt>
              </c:strCache>
            </c:strRef>
          </c:cat>
          <c:val>
            <c:numRef>
              <c:f>'PART. CUENTA X PAGAR CONCEPTO '!$C$9:$C$11</c:f>
              <c:numCache>
                <c:formatCode>_(* #,##0.00_);_(* \(#,##0.00\);_(* "-"??_);_(@_)</c:formatCode>
                <c:ptCount val="2"/>
                <c:pt idx="0">
                  <c:v>7893.7849103999997</c:v>
                </c:pt>
                <c:pt idx="1">
                  <c:v>182.428674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7E6-9063-61FAD12C23D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69850"/>
    </a:sp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FC3485-A233-4AE4-ABB5-5507948553DC}">
  <sheetPr codeName="Gráfico1"/>
  <sheetViews>
    <sheetView zoomScale="9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1.png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#'Aforo Vs Recaudo Rec Propios'!A1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image" Target="../media/image7.png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Men&#250;!A1"/><Relationship Id="rId1" Type="http://schemas.openxmlformats.org/officeDocument/2006/relationships/chart" Target="../charts/chart5.xml"/><Relationship Id="rId6" Type="http://schemas.microsoft.com/office/2007/relationships/hdphoto" Target="../media/hdphoto2.wdp"/><Relationship Id="rId5" Type="http://schemas.openxmlformats.org/officeDocument/2006/relationships/image" Target="../media/image8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650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7CDDA9C-01EF-C5C3-A678-57D1ACBA5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1043433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3571875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Vicepresidencia de Gestión Corporativa 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  <a:p>
          <a:pPr marL="0" indent="0"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rPr>
            <a:t> 30 de junio de 2022</a:t>
          </a:r>
          <a:endParaRPr lang="es-CO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495299</xdr:colOff>
      <xdr:row>11</xdr:row>
      <xdr:rowOff>161924</xdr:rowOff>
    </xdr:from>
    <xdr:to>
      <xdr:col>7</xdr:col>
      <xdr:colOff>9525</xdr:colOff>
      <xdr:row>31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844392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 Ejecución Reservas a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junio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7</xdr:col>
      <xdr:colOff>409575</xdr:colOff>
      <xdr:row>4</xdr:row>
      <xdr:rowOff>47625</xdr:rowOff>
    </xdr:from>
    <xdr:to>
      <xdr:col>9</xdr:col>
      <xdr:colOff>742949</xdr:colOff>
      <xdr:row>8</xdr:row>
      <xdr:rowOff>133831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096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420040</xdr:colOff>
      <xdr:row>29</xdr:row>
      <xdr:rowOff>96773</xdr:rowOff>
    </xdr:from>
    <xdr:to>
      <xdr:col>6</xdr:col>
      <xdr:colOff>406793</xdr:colOff>
      <xdr:row>54</xdr:row>
      <xdr:rowOff>161772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47143</xdr:colOff>
      <xdr:row>11</xdr:row>
      <xdr:rowOff>134118</xdr:rowOff>
    </xdr:from>
    <xdr:to>
      <xdr:col>7</xdr:col>
      <xdr:colOff>48106</xdr:colOff>
      <xdr:row>26</xdr:row>
      <xdr:rowOff>144318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21EC5F7-5023-B12A-3037-D9764BB5A8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0.63353</cdr:x>
      <cdr:y>0.8355</cdr:y>
    </cdr:from>
    <cdr:to>
      <cdr:x>0.97856</cdr:x>
      <cdr:y>0.96537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0800000" flipH="1" flipV="1">
          <a:off x="3095625" y="1838325"/>
          <a:ext cx="16859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accent1"/>
              </a:solidFill>
            </a:rPr>
            <a:t>Cifras en millones</a:t>
          </a:r>
          <a:r>
            <a:rPr lang="en-US" sz="1100" baseline="0">
              <a:solidFill>
                <a:schemeClr val="accent1"/>
              </a:solidFill>
            </a:rPr>
            <a:t> de Pesos</a:t>
          </a:r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66675</xdr:rowOff>
    </xdr:from>
    <xdr:to>
      <xdr:col>2</xdr:col>
      <xdr:colOff>1148208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DCFF59-F25A-4580-B40D-77087F059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133350</xdr:colOff>
      <xdr:row>0</xdr:row>
      <xdr:rowOff>114300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CD5348C-90D5-4600-98AE-5435660CC32A}"/>
            </a:ext>
          </a:extLst>
        </xdr:cNvPr>
        <xdr:cNvSpPr/>
      </xdr:nvSpPr>
      <xdr:spPr>
        <a:xfrm>
          <a:off x="3886200" y="11430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junio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45C7E67-D313-4BDA-B548-9FD49819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</xdr:col>
      <xdr:colOff>9525</xdr:colOff>
      <xdr:row>12</xdr:row>
      <xdr:rowOff>90487</xdr:rowOff>
    </xdr:from>
    <xdr:to>
      <xdr:col>6</xdr:col>
      <xdr:colOff>742950</xdr:colOff>
      <xdr:row>32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6FAD7EB-D3B4-3828-892A-033511F502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85725</xdr:rowOff>
    </xdr:from>
    <xdr:to>
      <xdr:col>2</xdr:col>
      <xdr:colOff>937600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845C8F-1F6F-4BF4-B006-2B676484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5725"/>
          <a:ext cx="253212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123826</xdr:rowOff>
    </xdr:from>
    <xdr:ext cx="5205076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292AB5CA-C827-4C2E-9F97-C76E5B70D5E8}"/>
            </a:ext>
          </a:extLst>
        </xdr:cNvPr>
        <xdr:cNvSpPr/>
      </xdr:nvSpPr>
      <xdr:spPr>
        <a:xfrm>
          <a:off x="3444394" y="123826"/>
          <a:ext cx="5205076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junio de 2022</a:t>
          </a:r>
        </a:p>
      </xdr:txBody>
    </xdr:sp>
    <xdr:clientData/>
  </xdr:oneCellAnchor>
  <xdr:twoCellAnchor editAs="oneCell">
    <xdr:from>
      <xdr:col>8</xdr:col>
      <xdr:colOff>44996</xdr:colOff>
      <xdr:row>3</xdr:row>
      <xdr:rowOff>96212</xdr:rowOff>
    </xdr:from>
    <xdr:to>
      <xdr:col>12</xdr:col>
      <xdr:colOff>685223</xdr:colOff>
      <xdr:row>10</xdr:row>
      <xdr:rowOff>115455</xdr:rowOff>
    </xdr:to>
    <xdr:pic>
      <xdr:nvPicPr>
        <xdr:cNvPr id="4" name="Imagen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80A7AA1-B250-4A19-807B-CD6F9783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6890" y="673485"/>
          <a:ext cx="1400302" cy="136621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740833</xdr:colOff>
      <xdr:row>12</xdr:row>
      <xdr:rowOff>162983</xdr:rowOff>
    </xdr:from>
    <xdr:to>
      <xdr:col>7</xdr:col>
      <xdr:colOff>355986</xdr:colOff>
      <xdr:row>27</xdr:row>
      <xdr:rowOff>19819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61DAE07-578D-2800-D4B6-C54EE7DD0F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37619</xdr:colOff>
      <xdr:row>29</xdr:row>
      <xdr:rowOff>86879</xdr:rowOff>
    </xdr:from>
    <xdr:to>
      <xdr:col>5</xdr:col>
      <xdr:colOff>574387</xdr:colOff>
      <xdr:row>55</xdr:row>
      <xdr:rowOff>48971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22CAB3-100A-6864-6DAA-A3B0869E1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1529208</xdr:colOff>
      <xdr:row>1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1628774</xdr:colOff>
      <xdr:row>0</xdr:row>
      <xdr:rowOff>123825</xdr:rowOff>
    </xdr:from>
    <xdr:ext cx="8201025" cy="968983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199" y="123825"/>
          <a:ext cx="8201025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Gestión Corporativa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</a:p>
        <a:p>
          <a:pPr algn="ctr"/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8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8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junio de 2022</a:t>
          </a:r>
        </a:p>
      </xdr:txBody>
    </xdr:sp>
    <xdr:clientData/>
  </xdr:oneCellAnchor>
  <xdr:twoCellAnchor editAs="oneCell">
    <xdr:from>
      <xdr:col>0</xdr:col>
      <xdr:colOff>476250</xdr:colOff>
      <xdr:row>23</xdr:row>
      <xdr:rowOff>180975</xdr:rowOff>
    </xdr:from>
    <xdr:to>
      <xdr:col>1</xdr:col>
      <xdr:colOff>5086350</xdr:colOff>
      <xdr:row>28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029575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48162</xdr:colOff>
      <xdr:row>8</xdr:row>
      <xdr:rowOff>400050</xdr:rowOff>
    </xdr:from>
    <xdr:to>
      <xdr:col>1</xdr:col>
      <xdr:colOff>171987</xdr:colOff>
      <xdr:row>10</xdr:row>
      <xdr:rowOff>323850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7" y="219075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48163</xdr:colOff>
      <xdr:row>14</xdr:row>
      <xdr:rowOff>9525</xdr:rowOff>
    </xdr:from>
    <xdr:ext cx="1238250" cy="838200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9629775</xdr:colOff>
      <xdr:row>7</xdr:row>
      <xdr:rowOff>371475</xdr:rowOff>
    </xdr:from>
    <xdr:to>
      <xdr:col>1</xdr:col>
      <xdr:colOff>10125075</xdr:colOff>
      <xdr:row>9</xdr:row>
      <xdr:rowOff>114300</xdr:rowOff>
    </xdr:to>
    <xdr:pic>
      <xdr:nvPicPr>
        <xdr:cNvPr id="9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1704975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7305675</xdr:colOff>
      <xdr:row>8</xdr:row>
      <xdr:rowOff>419100</xdr:rowOff>
    </xdr:from>
    <xdr:to>
      <xdr:col>1</xdr:col>
      <xdr:colOff>7800975</xdr:colOff>
      <xdr:row>10</xdr:row>
      <xdr:rowOff>161925</xdr:rowOff>
    </xdr:to>
    <xdr:pic>
      <xdr:nvPicPr>
        <xdr:cNvPr id="10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2098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10525125</xdr:colOff>
      <xdr:row>9</xdr:row>
      <xdr:rowOff>419100</xdr:rowOff>
    </xdr:from>
    <xdr:to>
      <xdr:col>1</xdr:col>
      <xdr:colOff>11020425</xdr:colOff>
      <xdr:row>11</xdr:row>
      <xdr:rowOff>161925</xdr:rowOff>
    </xdr:to>
    <xdr:pic>
      <xdr:nvPicPr>
        <xdr:cNvPr id="11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26670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8181975</xdr:colOff>
      <xdr:row>10</xdr:row>
      <xdr:rowOff>400050</xdr:rowOff>
    </xdr:from>
    <xdr:to>
      <xdr:col>1</xdr:col>
      <xdr:colOff>8677275</xdr:colOff>
      <xdr:row>12</xdr:row>
      <xdr:rowOff>142875</xdr:rowOff>
    </xdr:to>
    <xdr:pic>
      <xdr:nvPicPr>
        <xdr:cNvPr id="12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105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8753475</xdr:colOff>
      <xdr:row>13</xdr:row>
      <xdr:rowOff>381000</xdr:rowOff>
    </xdr:from>
    <xdr:to>
      <xdr:col>1</xdr:col>
      <xdr:colOff>9248775</xdr:colOff>
      <xdr:row>15</xdr:row>
      <xdr:rowOff>123825</xdr:rowOff>
    </xdr:to>
    <xdr:pic>
      <xdr:nvPicPr>
        <xdr:cNvPr id="13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900" y="44577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6229350</xdr:colOff>
      <xdr:row>14</xdr:row>
      <xdr:rowOff>381000</xdr:rowOff>
    </xdr:from>
    <xdr:to>
      <xdr:col>1</xdr:col>
      <xdr:colOff>6724650</xdr:colOff>
      <xdr:row>16</xdr:row>
      <xdr:rowOff>123825</xdr:rowOff>
    </xdr:to>
    <xdr:pic>
      <xdr:nvPicPr>
        <xdr:cNvPr id="14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491490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48163</xdr:colOff>
      <xdr:row>19</xdr:row>
      <xdr:rowOff>9525</xdr:rowOff>
    </xdr:from>
    <xdr:ext cx="1238250" cy="838200"/>
    <xdr:pic>
      <xdr:nvPicPr>
        <xdr:cNvPr id="15" name="Imagen 14">
          <a:extLst>
            <a:ext uri="{FF2B5EF4-FFF2-40B4-BE49-F238E27FC236}">
              <a16:creationId xmlns:a16="http://schemas.microsoft.com/office/drawing/2014/main" id="{6B5B2787-6459-4156-A14A-07103BE85D7B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100000" l="9375" r="97917">
                      <a14:foregroundMark x1="26042" y1="68462" x2="26042" y2="68462"/>
                      <a14:foregroundMark x1="21875" y1="57692" x2="21875" y2="57692"/>
                      <a14:foregroundMark x1="16667" y1="56154" x2="16667" y2="56154"/>
                      <a14:foregroundMark x1="39583" y1="86154" x2="39583" y2="86154"/>
                      <a14:foregroundMark x1="55208" y1="91538" x2="55208" y2="91538"/>
                      <a14:foregroundMark x1="80208" y1="75385" x2="80208" y2="75385"/>
                      <a14:foregroundMark x1="89583" y1="71538" x2="89583" y2="71538"/>
                      <a14:foregroundMark x1="93750" y1="60769" x2="93750" y2="60769"/>
                      <a14:foregroundMark x1="82292" y1="36923" x2="82292" y2="36923"/>
                      <a14:foregroundMark x1="66667" y1="33846" x2="66667" y2="33846"/>
                      <a14:foregroundMark x1="58333" y1="25385" x2="58333" y2="25385"/>
                      <a14:foregroundMark x1="35417" y1="33077" x2="35417" y2="33077"/>
                      <a14:foregroundMark x1="37500" y1="23077" x2="37500" y2="23077"/>
                      <a14:foregroundMark x1="28125" y1="43077" x2="28125" y2="43077"/>
                      <a14:foregroundMark x1="39583" y1="16154" x2="39583" y2="1615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248188" y="4343400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10182225</xdr:colOff>
      <xdr:row>18</xdr:row>
      <xdr:rowOff>438150</xdr:rowOff>
    </xdr:from>
    <xdr:to>
      <xdr:col>1</xdr:col>
      <xdr:colOff>10677525</xdr:colOff>
      <xdr:row>20</xdr:row>
      <xdr:rowOff>180975</xdr:rowOff>
    </xdr:to>
    <xdr:pic>
      <xdr:nvPicPr>
        <xdr:cNvPr id="16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BE764-B396-4042-AF2C-B3A6C74608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65341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6715125</xdr:colOff>
      <xdr:row>19</xdr:row>
      <xdr:rowOff>400050</xdr:rowOff>
    </xdr:from>
    <xdr:to>
      <xdr:col>1</xdr:col>
      <xdr:colOff>7210425</xdr:colOff>
      <xdr:row>21</xdr:row>
      <xdr:rowOff>142875</xdr:rowOff>
    </xdr:to>
    <xdr:pic>
      <xdr:nvPicPr>
        <xdr:cNvPr id="17" name="Imagen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1037F0-D3CF-4F75-B8F9-6A51B245B7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69532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5959928</xdr:colOff>
      <xdr:row>20</xdr:row>
      <xdr:rowOff>381000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2CFE50D-14FC-1B13-FCDF-3328260449DA}"/>
            </a:ext>
          </a:extLst>
        </xdr:cNvPr>
        <xdr:cNvSpPr txBox="1"/>
      </xdr:nvSpPr>
      <xdr:spPr>
        <a:xfrm>
          <a:off x="7075714" y="7728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13</xdr:row>
      <xdr:rowOff>161925</xdr:rowOff>
    </xdr:from>
    <xdr:to>
      <xdr:col>7</xdr:col>
      <xdr:colOff>247650</xdr:colOff>
      <xdr:row>36</xdr:row>
      <xdr:rowOff>152401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323850</xdr:colOff>
      <xdr:row>0</xdr:row>
      <xdr:rowOff>66675</xdr:rowOff>
    </xdr:from>
    <xdr:to>
      <xdr:col>2</xdr:col>
      <xdr:colOff>776733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981075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19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junio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2022</a:t>
          </a:r>
        </a:p>
      </xdr:txBody>
    </xdr:sp>
    <xdr:clientData/>
  </xdr:oneCellAnchor>
  <xdr:twoCellAnchor editAs="oneCell">
    <xdr:from>
      <xdr:col>8</xdr:col>
      <xdr:colOff>304800</xdr:colOff>
      <xdr:row>4</xdr:row>
      <xdr:rowOff>85725</xdr:rowOff>
    </xdr:from>
    <xdr:to>
      <xdr:col>10</xdr:col>
      <xdr:colOff>638175</xdr:colOff>
      <xdr:row>13</xdr:row>
      <xdr:rowOff>171450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847725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5</xdr:col>
      <xdr:colOff>440055</xdr:colOff>
      <xdr:row>107</xdr:row>
      <xdr:rowOff>186055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CBCE56B-766B-4964-B21C-D8E296F49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6182975"/>
          <a:ext cx="5612130" cy="41865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0.69385</cdr:x>
      <cdr:y>0.91503</cdr:y>
    </cdr:from>
    <cdr:to>
      <cdr:x>0.96257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31B3752C-34EE-4853-91C4-36B20CEEF4A5}"/>
            </a:ext>
          </a:extLst>
        </cdr:cNvPr>
        <cdr:cNvSpPr txBox="1"/>
      </cdr:nvSpPr>
      <cdr:spPr>
        <a:xfrm xmlns:a="http://schemas.openxmlformats.org/drawingml/2006/main">
          <a:off x="4943474" y="4000500"/>
          <a:ext cx="1914525" cy="371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66675</xdr:rowOff>
    </xdr:from>
    <xdr:to>
      <xdr:col>2</xdr:col>
      <xdr:colOff>776231</xdr:colOff>
      <xdr:row>3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0</xdr:row>
      <xdr:rowOff>123825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9813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junio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2022</a:t>
          </a:r>
        </a:p>
      </xdr:txBody>
    </xdr:sp>
    <xdr:clientData/>
  </xdr:oneCellAnchor>
  <xdr:twoCellAnchor>
    <xdr:from>
      <xdr:col>0</xdr:col>
      <xdr:colOff>504821</xdr:colOff>
      <xdr:row>11</xdr:row>
      <xdr:rowOff>133350</xdr:rowOff>
    </xdr:from>
    <xdr:to>
      <xdr:col>12</xdr:col>
      <xdr:colOff>485774</xdr:colOff>
      <xdr:row>37</xdr:row>
      <xdr:rowOff>114299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504821" y="2228850"/>
          <a:ext cx="11153778" cy="4933949"/>
          <a:chOff x="476246" y="2324100"/>
          <a:chExt cx="10982328" cy="4933949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76246" y="2324100"/>
          <a:ext cx="10982328" cy="49339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Rectángul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64760" y="2343149"/>
            <a:ext cx="10614894" cy="3524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/>
            <a:r>
              <a:rPr lang="es-ES" sz="1800" b="1" cap="none" spc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COMPARATIVO</a:t>
            </a:r>
            <a:r>
              <a:rPr lang="es-ES" sz="1800" b="1" cap="none" spc="0" baseline="0">
                <a:ln w="10160">
                  <a:solidFill>
                    <a:schemeClr val="accent5"/>
                  </a:solidFill>
                  <a:prstDash val="solid"/>
                </a:ln>
                <a:solidFill>
                  <a:schemeClr val="tx1"/>
                </a:solidFill>
                <a:effectLst>
                  <a:outerShdw blurRad="38100" dist="22860" dir="5400000" algn="tl" rotWithShape="0">
                    <a:srgbClr val="000000">
                      <a:alpha val="30000"/>
                    </a:srgbClr>
                  </a:outerShdw>
                </a:effectLst>
              </a:rPr>
              <a:t> RP´S VS  OBLIGACIONES Y PAGOS DE  FUNCIONAMIENTO, SERVICIO A LA DEUDA E INVERSIÓN</a:t>
            </a:r>
            <a:endParaRPr lang="es-E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12</xdr:col>
      <xdr:colOff>66675</xdr:colOff>
      <xdr:row>0</xdr:row>
      <xdr:rowOff>0</xdr:rowOff>
    </xdr:from>
    <xdr:to>
      <xdr:col>14</xdr:col>
      <xdr:colOff>400051</xdr:colOff>
      <xdr:row>9</xdr:row>
      <xdr:rowOff>85725</xdr:rowOff>
    </xdr:to>
    <xdr:pic>
      <xdr:nvPicPr>
        <xdr:cNvPr id="8" name="Imagen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0"/>
          <a:ext cx="1857375" cy="18002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  <cdr:relSizeAnchor xmlns:cdr="http://schemas.openxmlformats.org/drawingml/2006/chartDrawing">
    <cdr:from>
      <cdr:x>0.83088</cdr:x>
      <cdr:y>0.92857</cdr:y>
    </cdr:from>
    <cdr:to>
      <cdr:x>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0F948B69-3B0A-4DB5-AFE4-279D3E2035E7}"/>
            </a:ext>
          </a:extLst>
        </cdr:cNvPr>
        <cdr:cNvSpPr txBox="1"/>
      </cdr:nvSpPr>
      <cdr:spPr>
        <a:xfrm xmlns:a="http://schemas.openxmlformats.org/drawingml/2006/main">
          <a:off x="9124954" y="4581525"/>
          <a:ext cx="1857374" cy="35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429155</xdr:colOff>
      <xdr:row>0</xdr:row>
      <xdr:rowOff>1</xdr:rowOff>
    </xdr:from>
    <xdr:to>
      <xdr:col>1</xdr:col>
      <xdr:colOff>1600200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155" y="1"/>
          <a:ext cx="166634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2747529</xdr:colOff>
      <xdr:row>0</xdr:row>
      <xdr:rowOff>134216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3241097" y="134216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junio de 2022</a:t>
          </a:r>
        </a:p>
      </xdr:txBody>
    </xdr:sp>
    <xdr:clientData/>
  </xdr:oneCellAnchor>
  <xdr:twoCellAnchor editAs="oneCell">
    <xdr:from>
      <xdr:col>6</xdr:col>
      <xdr:colOff>171450</xdr:colOff>
      <xdr:row>1</xdr:row>
      <xdr:rowOff>142875</xdr:rowOff>
    </xdr:from>
    <xdr:to>
      <xdr:col>8</xdr:col>
      <xdr:colOff>504825</xdr:colOff>
      <xdr:row>9</xdr:row>
      <xdr:rowOff>228600</xdr:rowOff>
    </xdr:to>
    <xdr:pic>
      <xdr:nvPicPr>
        <xdr:cNvPr id="8" name="Imagen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75" y="3333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271318</xdr:colOff>
      <xdr:row>12</xdr:row>
      <xdr:rowOff>865</xdr:rowOff>
    </xdr:from>
    <xdr:to>
      <xdr:col>5</xdr:col>
      <xdr:colOff>912090</xdr:colOff>
      <xdr:row>35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5FF625-6B9B-148C-FE1B-2E60EDFF7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790576</xdr:colOff>
      <xdr:row>15</xdr:row>
      <xdr:rowOff>19052</xdr:rowOff>
    </xdr:from>
    <xdr:to>
      <xdr:col>6</xdr:col>
      <xdr:colOff>123825</xdr:colOff>
      <xdr:row>35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1443160</xdr:colOff>
      <xdr:row>15</xdr:row>
      <xdr:rowOff>0</xdr:rowOff>
    </xdr:from>
    <xdr:ext cx="4721421" cy="59323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319460" y="3000375"/>
          <a:ext cx="4721421" cy="59323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Comportamiento</a:t>
          </a:r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Apropiación Vs RP´s y Obligaciones </a:t>
          </a:r>
        </a:p>
        <a:p>
          <a:pPr algn="ctr"/>
          <a:r>
            <a:rPr lang="es-E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chemeClr val="tx1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de Proyectos de Inversión</a:t>
          </a:r>
          <a:endParaRPr lang="es-ES" sz="1600" b="1" cap="none" spc="0">
            <a:ln w="10160">
              <a:solidFill>
                <a:schemeClr val="accent5"/>
              </a:solidFill>
              <a:prstDash val="solid"/>
            </a:ln>
            <a:solidFill>
              <a:schemeClr val="tx1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209550</xdr:colOff>
      <xdr:row>4</xdr:row>
      <xdr:rowOff>152400</xdr:rowOff>
    </xdr:from>
    <xdr:to>
      <xdr:col>6</xdr:col>
      <xdr:colOff>561975</xdr:colOff>
      <xdr:row>14</xdr:row>
      <xdr:rowOff>47625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175" y="152400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123825</xdr:rowOff>
    </xdr:from>
    <xdr:to>
      <xdr:col>2</xdr:col>
      <xdr:colOff>481458</xdr:colOff>
      <xdr:row>3</xdr:row>
      <xdr:rowOff>180975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12382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1314450</xdr:colOff>
      <xdr:row>0</xdr:row>
      <xdr:rowOff>142875</xdr:rowOff>
    </xdr:from>
    <xdr:ext cx="4861209" cy="718530"/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829050" y="14287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30 de junio de 2022</a:t>
          </a:r>
        </a:p>
      </xdr:txBody>
    </xdr:sp>
    <xdr:clientData/>
  </xdr:oneCellAnchor>
  <xdr:twoCellAnchor editAs="oneCell">
    <xdr:from>
      <xdr:col>1</xdr:col>
      <xdr:colOff>640209</xdr:colOff>
      <xdr:row>16</xdr:row>
      <xdr:rowOff>133351</xdr:rowOff>
    </xdr:from>
    <xdr:to>
      <xdr:col>1</xdr:col>
      <xdr:colOff>1006824</xdr:colOff>
      <xdr:row>19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backgroundRemoval t="6998" b="96869" l="10000" r="90000">
                      <a14:foregroundMark x1="26579" y1="92449" x2="26579" y2="92449"/>
                      <a14:foregroundMark x1="26579" y1="97053" x2="26579" y2="97053"/>
                      <a14:foregroundMark x1="36579" y1="88214" x2="36579" y2="88214"/>
                      <a14:foregroundMark x1="89737" y1="56722" x2="89737" y2="56722"/>
                      <a14:foregroundMark x1="72895" y1="6998" x2="72895" y2="6998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516509" y="3324226"/>
          <a:ext cx="36661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248247</xdr:colOff>
      <xdr:row>11</xdr:row>
      <xdr:rowOff>53649</xdr:rowOff>
    </xdr:from>
    <xdr:to>
      <xdr:col>2</xdr:col>
      <xdr:colOff>370886</xdr:colOff>
      <xdr:row>13</xdr:row>
      <xdr:rowOff>155902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124547" y="2292024"/>
          <a:ext cx="1760939" cy="483253"/>
        </a:xfrm>
        <a:prstGeom prst="wedgeRoundRectCallout">
          <a:avLst>
            <a:gd name="adj1" fmla="val -21915"/>
            <a:gd name="adj2" fmla="val 103891"/>
            <a:gd name="adj3" fmla="val 16667"/>
          </a:avLst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none" lIns="91440" tIns="45720" rIns="91440" bIns="45720" rtlCol="0" anchor="ctr">
          <a:spAutoFit/>
        </a:bodyPr>
        <a:lstStyle/>
        <a:p>
          <a:pPr algn="ctr"/>
          <a:r>
            <a:rPr lang="es-CO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SELECCIONE</a:t>
          </a:r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EL PROYECTO </a:t>
          </a:r>
        </a:p>
        <a:p>
          <a:pPr algn="ctr"/>
          <a:r>
            <a:rPr lang="es-CO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SU INTERES</a:t>
          </a:r>
          <a:endParaRPr lang="es-CO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0.7624</cdr:x>
      <cdr:y>0.90754</cdr:y>
    </cdr:from>
    <cdr:to>
      <cdr:x>0.98501</cdr:x>
      <cdr:y>0.9781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05C195F-B02C-4D96-AEB9-DF120BD90A31}"/>
            </a:ext>
          </a:extLst>
        </cdr:cNvPr>
        <cdr:cNvSpPr txBox="1"/>
      </cdr:nvSpPr>
      <cdr:spPr>
        <a:xfrm xmlns:a="http://schemas.openxmlformats.org/drawingml/2006/main">
          <a:off x="6296024" y="3552823"/>
          <a:ext cx="18383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5370369" createdVersion="8" refreshedVersion="8" minRefreshableVersion="3" recordCount="2" xr:uid="{FF0EDD7A-82B8-4566-9084-31FDF2F0A7EF}">
  <cacheSource type="worksheet">
    <worksheetSource ref="B2:E4" sheet="CXP"/>
  </cacheSource>
  <cacheFields count="4">
    <cacheField name="DENOMINACIÓN DEL CÓDIGO PRESUPUESTAL_x000a_" numFmtId="0">
      <sharedItems count="2">
        <s v="A-FUNCIONAMIENTO"/>
        <s v="C-INVERSIÓN"/>
      </sharedItems>
    </cacheField>
    <cacheField name="CXP CONSTITUIDAS_x000a_(1)" numFmtId="164">
      <sharedItems containsSemiMixedTypes="0" containsString="0" containsNumber="1" minValue="182.428674" maxValue="7893.7849103999997"/>
    </cacheField>
    <cacheField name="CANCELACIONES CXP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182.428674" maxValue="6858.440499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5949077" createdVersion="6" refreshedVersion="8" minRefreshableVersion="3" recordCount="7" xr:uid="{00000000-000A-0000-FFFF-FFFF21000000}">
  <cacheSource type="worksheet">
    <worksheetSource ref="A1:G8" sheet="Resumen Eje Egreso"/>
  </cacheSource>
  <cacheFields count="7">
    <cacheField name="CODIFICACION_x000a_PRESUPUESTAL" numFmtId="0">
      <sharedItems/>
    </cacheField>
    <cacheField name="DESCRIPCION" numFmtId="0">
      <sharedItems count="7">
        <s v="A-FUNCIONAMIENTO"/>
        <s v="A-01 -GASTOS DE PERSONAL"/>
        <s v="A-02 -ADQUISICIÓN DE BIENES  Y SERVICIOS"/>
        <s v="A-03-TRANSFERENCIAS CORRIENTES"/>
        <s v="A-08-GASTOS POR TRIBUTOS, MULTAS, SANCIONES E INTERESES DE MORA"/>
        <s v="B-SERVICIO DE LA DEUDA PÚBLICA"/>
        <s v="C- INVERSION"/>
      </sharedItems>
    </cacheField>
    <cacheField name="APROPIACION_x000a_ VIGENTE" numFmtId="168">
      <sharedItems containsSemiMixedTypes="0" containsString="0" containsNumber="1" minValue="14051.472" maxValue="4505182.0250120005"/>
    </cacheField>
    <cacheField name="CERTIFICADOS_x000a_ ACUMULADOS" numFmtId="168">
      <sharedItems containsSemiMixedTypes="0" containsString="0" containsNumber="1" minValue="0" maxValue="4346622.5258451002"/>
    </cacheField>
    <cacheField name="COMPROMISOS_x000a_ ACUMULADOS" numFmtId="168">
      <sharedItems containsSemiMixedTypes="0" containsString="0" containsNumber="1" minValue="0" maxValue="4337557.9018160393"/>
    </cacheField>
    <cacheField name="OBLIGACIONES_x000a_ ACUMULADAS" numFmtId="168">
      <sharedItems containsSemiMixedTypes="0" containsString="0" containsNumber="1" minValue="0" maxValue="680805.07137000002"/>
    </cacheField>
    <cacheField name="PAGOS_x000a_A CUMULADOS" numFmtId="168">
      <sharedItems containsSemiMixedTypes="0" containsString="0" containsNumber="1" minValue="0" maxValue="680805.07137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6875001" createdVersion="8" refreshedVersion="8" minRefreshableVersion="3" recordCount="2" xr:uid="{5CAAD5DA-7FE5-4B09-911A-9449B72E6A2D}">
  <cacheSource type="worksheet">
    <worksheetSource ref="B8:C10" sheet="CXP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CXP VIGENTE" numFmtId="0">
      <sharedItems containsSemiMixedTypes="0" containsString="0" containsNumber="1" minValue="182.428674" maxValue="7893.7849103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7222224" createdVersion="6" refreshedVersion="8" minRefreshableVersion="3" recordCount="2" xr:uid="{00000000-000A-0000-FFFF-FFFF12000000}">
  <cacheSource type="worksheet">
    <worksheetSource ref="B2:E4" sheet="Reservas Presupuestales"/>
  </cacheSource>
  <cacheFields count="4">
    <cacheField name="DENOMINACIÓN DEL CÓDIGO PRESUPUESTAL_x000a_" numFmtId="0">
      <sharedItems count="3">
        <s v="A-FUNCIONAMIENTO"/>
        <s v="C-INVERSIÓN"/>
        <s v="B-INVERSIÓN" u="1"/>
      </sharedItems>
    </cacheField>
    <cacheField name="RESERVAS CONSTITUIDAS_x000a_(1)" numFmtId="164">
      <sharedItems containsSemiMixedTypes="0" containsString="0" containsNumber="1" minValue="2249.6486331999999" maxValue="53197.266014589994"/>
    </cacheField>
    <cacheField name="CANCELACIONES RESERVAS PRESUPUESTALES_x000a_ (2)" numFmtId="4">
      <sharedItems containsSemiMixedTypes="0" containsString="0" containsNumber="1" containsInteger="1" minValue="0" maxValue="0"/>
    </cacheField>
    <cacheField name="TOTAL PAGOS_x000a_ACUMULADOS_x000a_(5)" numFmtId="4">
      <sharedItems containsSemiMixedTypes="0" containsString="0" containsNumber="1" minValue="2203.8353725500001" maxValue="36722.0608095199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7916663" createdVersion="8" refreshedVersion="8" minRefreshableVersion="3" recordCount="35" xr:uid="{43C55DC2-2A1A-4A14-87E7-DE790057C0A3}">
  <cacheSource type="worksheet">
    <worksheetSource ref="B1:H36" sheet="INVERSIÓN"/>
  </cacheSource>
  <cacheFields count="7">
    <cacheField name="Codigo " numFmtId="0">
      <sharedItems/>
    </cacheField>
    <cacheField name="DESCRIPCION" numFmtId="0">
      <sharedItems count="35">
        <s v="MEJORAMIENTO APOYO ESTATAL PROYECTO DE CONCESIÓN RUTA DEL SOL SECTOR III,   CESAR, BOLÍVAR, MAGDALENA "/>
        <s v="MEJORAMIENTO DE LA CONCESIÓN ARMENIA PEREIRA MANIZALES  RISARALDA, CALDAS, QUINDIO, VALLE DEL CAUCA"/>
        <s v="MEJORAMIENTO CONSTRUCCIÓN REHABILITACIÓN, MANTENIMIENTO Y OPERACIÓN, DEL CORREDOR VIAL PAMPLONA - CUCÚTA DEPARTAMENTO DE   NORTE DE SANTANDER"/>
        <s v="MEJORAMIENTO , CONSTRUCCIÓN, REHABILITACIÓN, MANTENIMIENTO  Y OPERACIÓN DEL CORREDOR BUCARAMANGA, BARRANCABERMEJA, YONDÓ EN LOS DEPARTAMENTOS DE   ANTIOQUIA, SANTANDER"/>
        <s v="CONSTRUCCIÓN OPERACIÓN Y MANTENIMIENTO DE LA CONCESIÓN AUTOPISTA CONEXIÓN PACIFICO 1 - AUTOPISTAS PARA LA PROSPERIDAD ANTIOQUIA"/>
        <s v="REHABILITACIÓN CONSTRUCCIÓN, MEJORAMIENTO, OPERACIÓN Y MANTENIMIENTO DE LA CONCESIÓN AUTOPISTA AL RIO MAGDALENA 2, DEPARTAMENTOS DE ANTIOQUIA, SANTANDER"/>
        <s v="MEJORAMIENTO REHABILITACIÓN, CONSTRUCCIÓN, MANTENIMIENTO Y OPERACIÓN DEL CORREDOR SANTANA - MOCOA - NEIVA, DEPARTAMENTOS DE  HUILA, PUTUMAYO, CAUCA"/>
        <s v="MEJORAMIENTO REHABILITACIÓN, CONSTRUCCIÓN , MANTENIMIENTO  Y OPERACIÓN DEL CORREDOR POPAYAN - SANTANDER DE QUILICHAO EN EL DEPARTAMENTO DEL     CAUCA"/>
        <s v="MEJORAMIENTO CONSTRUCCIÓN, MANTENIMIENTO Y OPERACIÓN DEL CORREDOR CONEXIÓN NORTE, AUTOPISTAS PARA LA PROSPERIDAD   ANTIOQUIA"/>
        <s v="CONTROL Y SEGUIMIENTO A LA OPERACIÓN DE LAS VÍAS PRIMARIAS CONCESIONADAS  NACIONAL"/>
        <s v="MEJORAMIENTO CONSTRUCCIÓN, REHABILITACIÓN Y MANTENIMIENTO DEL CORREDOR VILLAVICENCIO - YOPAL DEPARTAMENTOS DEL   META, CASANARE"/>
        <s v="CONSTRUCCIÓN OPERACIÓN Y MANTENIMIENTO DE LA VÍA MULALO - LOBOGUERRERO, DEPARTAMENTO DEL VALLE DEL CAUCA"/>
        <s v="MEJORAMIENTO REHABILITACIÓN, CONSTRUCCIÓN, MANTENIMIENTO Y OPERACIÓN DEL CORREDOR BUCARAMANGA PAMPLONA NORTE DE SANTANDER"/>
        <s v="MEJORAMIENTO REHABILITACIÓN, MANTENIMIENTO Y OPERACIÓN DEL CORREDOR TRANSVERSAL DEL SISGA, DEPARTAMENTOS DE BOYACÁ, CUNDINAMARCA, CASANARE"/>
        <s v="REHABILITACIÓN MEJORAMIENTO, CONSTRUCCIÓN, MANTENIMIENTO Y OPERACIÓN DEL CORREDOR CARTAGENA - BARRANQUILLA Y CIRCUNVALAR DE LA PROSPERIDAD, DEPARTAMENTOS DE   ATLÁNTICO, BOLÍVAR"/>
        <s v="MEJORAMIENTO CONSTRUCCIÓN, OPERACIÓN Y MANTENIMIENTO DE LA CONCESIÓN AUTOPISTA CONEXIÓN PACIFICO 2 ANTIOQUIA"/>
        <s v="MEJORAMIENTO  CONSTRUCCIÓN, OPERACIÓN, Y MANTENIMIENTO DE LA AUTOPISTA CONEXIÓN PACIFICO 3  AUTOPISTAS PARA LA PROSPERIDAD   ANTIOQUIA"/>
        <s v="MEJORAMIENTO REHABILITACIÓN, CONSTRUCCIÓN, MANTENIMIENTO, Y OPERACIÓN DEL CORREDOR RUMICHACA - PASTO EN EL DEPARTAMENTO DE    NARIÑO"/>
        <s v="REHABILITACIÓN MEJORAMIENTO, OPERACIÓN Y MANTENIMIENTO DEL CORREDOR PERIMETRAL DE CUNDINAMARCA, CENTRO ORIENTE   CUNDINAMARCA"/>
        <s v="MEJORAMIENTO CONSTRUCCIÓN, REHABILITACIÓN OPERACIÓN Y MANTENIMIENTO DE LA CONCESIÓN AUTOPISTA AL MAR 2   ANTIOQUIA"/>
        <s v="MEJORAMIENTO REHABILITACIÓN Y MANTENIMIENTO DEL CORREDOR HONDA - PUERTO SALGAR - GIRARDOT, DEPARTAMENTOS DE    CUNDINAMARCA, CALDAS, TOLIMA"/>
        <s v="MEJORAMIENTO CONSTRUCCIÓN, REHABILITACIÓN, OPERACIÓN Y MANTENIMIENTO DE LA CONCESIÓN AUTOPISTA AL MAR 1, DEPARTAMENTO DE ANTIOQUIA"/>
        <s v="MEJORAMIENTO DEL CORREDOR PUERTA DE HIERRO - PALMAR DE VARELA Y CARRETO - CRUZ DEL VISO EN LOS DEPARTAMENTOS DE    ATLÁNTICO, BOLÍVAR, SUCRE"/>
        <s v="DESARROLLO DE OBRAS COMPLEMENTARIAS, GESTIÓN SOCIAL, AMBIENTAL Y PREDIAL DE LOS CONTRATOS DE CONCESIÓN VIAL.   NACIONAL"/>
        <s v="CONTROL Y SEGUIMIENTO A LA OPERACIÓN DE LOS AEROPUERTOS CONCESIONADOS  NACIONAL"/>
        <s v="APOYO ESTATAL A LOS AEROPUERTOS A NIVEL NACIONAL  NACIONAL"/>
        <s v="REHABILITACIÓN CONSTRUCCIÓN Y MANTENIMIENTO DE LA RED FÉRREA A NIVEL NACIONAL  NACIONAL"/>
        <s v="CONTROL Y SEGUIMIENTO A LA OPERACIÓN DE LAS VÍAS FÉRREAS  NACIONAL"/>
        <s v="APOYO ESTATAL A LOS PUERTOS A NIVEL NACIONAL   NACIONAL"/>
        <s v="CONTROL Y SEGUIMIENTO A LA OPERACIÓN DE LOS PUERTOS CONCESIONADOS   NACIONAL"/>
        <s v="CONTROL Y SEGUIMIENTO A LAS VIAS FLUVIALES  NACIONAL"/>
        <s v="IMPLEMENTACIÓN DEL SISTEMA INTEGRADO DE GESTIÓN Y CONTROL DE LA AGENCIA NACIONAL DE INFRAESTRUCTURA  NACIONAL"/>
        <s v="APOYO PARA LA GESTIÓN DE LA AGENCIA NACIONAL DE INFRAESTRUCTURA A TRAVÉS DE ASESORÍAS Y CONSULTORÍAS  NACIONAL"/>
        <s v="SISTEMATIZACIÓN PARA EL SERVICIO DE INFORMACIÓN DE LA GESTIÓN ADMINISTRATIVA.  NACIONAL"/>
        <s v="IMPLEMENTACION DEL SISTEMA DE GESTION DOCUMENTAL DE LA AGENCIA NACIONAL DE INFRAESTRUCTURA NACIONAL"/>
      </sharedItems>
    </cacheField>
    <cacheField name="APROPIACION_x000a_ VIGENTE" numFmtId="4">
      <sharedItems containsSemiMixedTypes="0" containsString="0" containsNumber="1" containsInteger="1" minValue="200000000" maxValue="326484319237"/>
    </cacheField>
    <cacheField name="CERTIFICADOS_x000a_ ACUMULADOS" numFmtId="4">
      <sharedItems containsSemiMixedTypes="0" containsString="0" containsNumber="1" minValue="144566687" maxValue="326484319237"/>
    </cacheField>
    <cacheField name="COMPROMISOS_x000a_ ACUMULADOS" numFmtId="4">
      <sharedItems containsSemiMixedTypes="0" containsString="0" containsNumber="1" minValue="79901632.159999996" maxValue="326484319237"/>
    </cacheField>
    <cacheField name="OBLIGACIONES_x000a_ ACUMULADAS" numFmtId="4">
      <sharedItems containsSemiMixedTypes="0" containsString="0" containsNumber="1" minValue="0" maxValue="65829708441"/>
    </cacheField>
    <cacheField name="PAGOS_x000a_ ACUMULADOS" numFmtId="4">
      <sharedItems containsSemiMixedTypes="0" containsString="0" containsNumber="1" minValue="0" maxValue="658297084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ra Simona Orozco Mindiola" refreshedDate="44757.912898148148" createdVersion="6" refreshedVersion="8" minRefreshableVersion="3" recordCount="2" xr:uid="{00000000-000A-0000-FFFF-FFFF15000000}">
  <cacheSource type="worksheet">
    <worksheetSource ref="B8:C10" sheet="Reservas Presupuestales"/>
  </cacheSource>
  <cacheFields count="2">
    <cacheField name="DENOMINACIÓN DEL CÓDIGO PRESUPUESTAL_x000a_" numFmtId="0">
      <sharedItems count="2">
        <s v="A-FUNCIONAMIENTO"/>
        <s v="B-INVERSIÓN"/>
      </sharedItems>
    </cacheField>
    <cacheField name="Reservas Vigente" numFmtId="0">
      <sharedItems containsSemiMixedTypes="0" containsString="0" containsNumber="1" minValue="2249.6486331999999" maxValue="53197.26601458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  <n v="0"/>
    <n v="6858.4404993999997"/>
  </r>
  <r>
    <x v="1"/>
    <n v="182.428674"/>
    <n v="0"/>
    <n v="182.4286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A"/>
    <x v="0"/>
    <n v="99785.985369999995"/>
    <n v="66298.719061569995"/>
    <n v="39204.88682064"/>
    <n v="32118.097123060001"/>
    <n v="30994.108885060003"/>
  </r>
  <r>
    <s v="A-01"/>
    <x v="1"/>
    <n v="51464.345000000001"/>
    <n v="49182.286999999997"/>
    <n v="24057.77067229"/>
    <n v="24057.77067229"/>
    <n v="22936.149588290002"/>
  </r>
  <r>
    <s v="A-02"/>
    <x v="2"/>
    <n v="19419.071"/>
    <n v="16873.918061569999"/>
    <n v="15061.75765831"/>
    <n v="7974.9679607300004"/>
    <n v="7972.6008067300008"/>
  </r>
  <r>
    <s v="A-03"/>
    <x v="3"/>
    <n v="14851.09737"/>
    <n v="242.51400000000001"/>
    <n v="85.358490039999992"/>
    <n v="85.358490039999992"/>
    <n v="85.358490039999992"/>
  </r>
  <r>
    <s v="A-08"/>
    <x v="4"/>
    <n v="14051.472"/>
    <n v="0"/>
    <n v="0"/>
    <n v="0"/>
    <n v="0"/>
  </r>
  <r>
    <s v="B"/>
    <x v="5"/>
    <n v="1167604.3350470001"/>
    <n v="680805.07137000002"/>
    <n v="680805.07137000002"/>
    <n v="680805.07137000002"/>
    <n v="680805.07137000002"/>
  </r>
  <r>
    <s v="C"/>
    <x v="6"/>
    <n v="4505182.0250120005"/>
    <n v="4346622.5258451002"/>
    <n v="4337557.9018160393"/>
    <n v="341258.58662765997"/>
    <n v="340907.1147796699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7893.7849103999997"/>
  </r>
  <r>
    <x v="1"/>
    <n v="182.42867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  <n v="0"/>
    <n v="2203.8353725500001"/>
  </r>
  <r>
    <x v="1"/>
    <n v="53197.266014589994"/>
    <n v="0"/>
    <n v="36722.06080951999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">
  <r>
    <s v="C-2401-0600-38"/>
    <x v="0"/>
    <n v="199229942693"/>
    <n v="199229942693"/>
    <n v="199229942693"/>
    <n v="667460180"/>
    <n v="667460180"/>
  </r>
  <r>
    <s v="C-2401-0600-54"/>
    <x v="1"/>
    <n v="3111246158"/>
    <n v="3111246158"/>
    <n v="3111246158"/>
    <n v="0"/>
    <n v="0"/>
  </r>
  <r>
    <s v="C-2401-0600-59"/>
    <x v="2"/>
    <n v="267568660974"/>
    <n v="267568660974"/>
    <n v="267568660974"/>
    <n v="515340818"/>
    <n v="515340818"/>
  </r>
  <r>
    <s v="C-2401-0600-60"/>
    <x v="3"/>
    <n v="175859178607"/>
    <n v="175859178607"/>
    <n v="175859178607"/>
    <n v="589163443"/>
    <n v="589163443"/>
  </r>
  <r>
    <s v="C-2401-0600-61"/>
    <x v="4"/>
    <n v="253083219752"/>
    <n v="253083219752"/>
    <n v="253083219752"/>
    <n v="8076357952"/>
    <n v="8076357952"/>
  </r>
  <r>
    <s v="C-2401-0600-62"/>
    <x v="5"/>
    <n v="243923443489"/>
    <n v="243923443489"/>
    <n v="243923443489"/>
    <n v="21653320129"/>
    <n v="21653320129"/>
  </r>
  <r>
    <s v="C-2401-0600-63"/>
    <x v="6"/>
    <n v="173754342655"/>
    <n v="173754342655"/>
    <n v="173754342655"/>
    <n v="26218470693"/>
    <n v="26218470693"/>
  </r>
  <r>
    <s v="C-2401-0600-64"/>
    <x v="7"/>
    <n v="188036887431"/>
    <n v="188036887431"/>
    <n v="188036887431"/>
    <n v="31914916292"/>
    <n v="31914916292"/>
  </r>
  <r>
    <s v="C-2401-0600-65"/>
    <x v="8"/>
    <n v="230526549416"/>
    <n v="230526549416"/>
    <n v="230526549416"/>
    <n v="27184528940"/>
    <n v="27184528940"/>
  </r>
  <r>
    <s v="C-2401-0600-66"/>
    <x v="9"/>
    <n v="12654096592"/>
    <n v="11978878621.5"/>
    <n v="11289282281.690001"/>
    <n v="4537953796.1700001"/>
    <n v="4535203686.1700001"/>
  </r>
  <r>
    <s v="C-2401-0600-67"/>
    <x v="10"/>
    <n v="222571821813"/>
    <n v="222571821813"/>
    <n v="222571821813"/>
    <n v="7839829655"/>
    <n v="7839829655"/>
  </r>
  <r>
    <s v="C-2401-0600-68"/>
    <x v="11"/>
    <n v="256174672458"/>
    <n v="256174672458"/>
    <n v="256174672458"/>
    <n v="783848182"/>
    <n v="783848182"/>
  </r>
  <r>
    <s v="C-2401-0600-69"/>
    <x v="12"/>
    <n v="133566456234"/>
    <n v="133566456234"/>
    <n v="133566456234"/>
    <n v="426302018"/>
    <n v="426302018"/>
  </r>
  <r>
    <s v="C-2401-0600-70"/>
    <x v="13"/>
    <n v="92126982346"/>
    <n v="92126982346"/>
    <n v="92126982346"/>
    <n v="308643829"/>
    <n v="308643829"/>
  </r>
  <r>
    <s v="C-2401-0600-71"/>
    <x v="14"/>
    <n v="177242188803"/>
    <n v="177242188803"/>
    <n v="177242188803"/>
    <n v="12868469971"/>
    <n v="12868469971"/>
  </r>
  <r>
    <s v="C-2401-0600-72"/>
    <x v="15"/>
    <n v="186661572672"/>
    <n v="186661572672"/>
    <n v="186661572672"/>
    <n v="65829708441"/>
    <n v="65829708441"/>
  </r>
  <r>
    <s v="C-2401-0600-73"/>
    <x v="16"/>
    <n v="217966528302"/>
    <n v="217966528302"/>
    <n v="217966528302"/>
    <n v="35582322411"/>
    <n v="35582322411"/>
  </r>
  <r>
    <s v="C-2401-0600-74"/>
    <x v="17"/>
    <n v="264689746048"/>
    <n v="264689746048"/>
    <n v="264689746048"/>
    <n v="18890851579"/>
    <n v="18890851579"/>
  </r>
  <r>
    <s v="C-2401-0600-75"/>
    <x v="18"/>
    <n v="141607661383"/>
    <n v="141607661383"/>
    <n v="141607661383"/>
    <n v="35860807678"/>
    <n v="35860807678"/>
  </r>
  <r>
    <s v="C-2401-0600-76"/>
    <x v="19"/>
    <n v="326484319237"/>
    <n v="326484319237"/>
    <n v="326484319237"/>
    <n v="18896410145"/>
    <n v="18896410145"/>
  </r>
  <r>
    <s v="C-2401-0600-77"/>
    <x v="20"/>
    <n v="103270216578"/>
    <n v="103270216578"/>
    <n v="103270216578"/>
    <n v="2037283578"/>
    <n v="2037283578"/>
  </r>
  <r>
    <s v="C-2401-0600-78"/>
    <x v="21"/>
    <n v="323578411182"/>
    <n v="323578411182"/>
    <n v="323578411182"/>
    <n v="1121067275"/>
    <n v="1121067275"/>
  </r>
  <r>
    <s v="C-2401-0600-79"/>
    <x v="22"/>
    <n v="53127095469"/>
    <n v="53127095469"/>
    <n v="53127095469"/>
    <n v="0"/>
    <n v="0"/>
  </r>
  <r>
    <s v="C-2401-0600-80"/>
    <x v="23"/>
    <n v="105000000000"/>
    <n v="4357331701.8699999"/>
    <n v="2199964783.96"/>
    <n v="913743301.46000004"/>
    <n v="913743301.46000004"/>
  </r>
  <r>
    <s v="C-2403-0600-4"/>
    <x v="24"/>
    <n v="2257022926"/>
    <n v="2038605302.5"/>
    <n v="1993518415.8699999"/>
    <n v="813854738.87"/>
    <n v="813854738.87"/>
  </r>
  <r>
    <s v="C-2403-0600-5"/>
    <x v="25"/>
    <n v="3785000000"/>
    <n v="2088011826"/>
    <n v="2088011826"/>
    <n v="0"/>
    <n v="0"/>
  </r>
  <r>
    <s v="C-2404-0600-2"/>
    <x v="26"/>
    <n v="76235881312"/>
    <n v="65573446870.620003"/>
    <n v="62335153984"/>
    <n v="8084396113.3000002"/>
    <n v="7759668538.3000002"/>
  </r>
  <r>
    <s v="C-2404-0600-4"/>
    <x v="27"/>
    <n v="1124097372"/>
    <n v="903560586"/>
    <n v="855059681.61000001"/>
    <n v="353621583.87"/>
    <n v="352887021.87"/>
  </r>
  <r>
    <s v="C-2405-0600-2"/>
    <x v="28"/>
    <n v="1000000000"/>
    <n v="874022500"/>
    <n v="367253888.27999997"/>
    <n v="3456.28"/>
    <n v="3456.28"/>
  </r>
  <r>
    <s v="C-2405-0600-4"/>
    <x v="29"/>
    <n v="3056837754"/>
    <n v="2889816754"/>
    <n v="2803288643.7600002"/>
    <n v="1122928336.6099999"/>
    <n v="1122928336.6099999"/>
  </r>
  <r>
    <s v="C-2406-0600-1"/>
    <x v="30"/>
    <n v="907945356"/>
    <n v="155684690"/>
    <n v="153369578.81999999"/>
    <n v="70383345.310000002"/>
    <n v="70383345.310000002"/>
  </r>
  <r>
    <s v="C-2499-0600-7"/>
    <x v="31"/>
    <n v="200000000"/>
    <n v="144566687"/>
    <n v="79901632.159999996"/>
    <n v="31307507.16"/>
    <n v="31307507.16"/>
  </r>
  <r>
    <s v="C-2499-0600-8"/>
    <x v="32"/>
    <n v="58800000000"/>
    <n v="15661483576.82"/>
    <n v="15081840984.439999"/>
    <n v="5746975170.1800003"/>
    <n v="5733060593.1900005"/>
  </r>
  <r>
    <s v="C-2499-0600-9"/>
    <x v="33"/>
    <n v="5000000000"/>
    <n v="4885203812.79"/>
    <n v="3239368730.8699999"/>
    <n v="1937228815.8699999"/>
    <n v="1927883791.8699999"/>
  </r>
  <r>
    <s v="C-2499-0600-10"/>
    <x v="34"/>
    <n v="1000000000"/>
    <n v="910769216"/>
    <n v="910743684.58000004"/>
    <n v="381087253.57999998"/>
    <n v="381087253.57999998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2249.6486331999999"/>
  </r>
  <r>
    <x v="1"/>
    <n v="53197.266014589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5">
  <location ref="B6:C10" firstHeaderRow="1" firstDataRow="1" firstDataCol="1"/>
  <pivotFields count="7">
    <pivotField subtotalTop="0" showAll="0"/>
    <pivotField axis="axisRow" subtotalTop="0" multipleItemSelectionAllowed="1" showAll="0">
      <items count="8">
        <item h="1" x="1"/>
        <item h="1" x="2"/>
        <item h="1" x="3"/>
        <item h="1" x="4"/>
        <item x="0"/>
        <item x="5"/>
        <item x="6"/>
        <item t="default"/>
      </items>
    </pivotField>
    <pivotField dataField="1" numFmtId="41" showAll="0"/>
    <pivotField numFmtId="41" showAll="0"/>
    <pivotField numFmtId="41" showAll="0"/>
    <pivotField numFmtId="41" showAll="0"/>
    <pivotField numFmtId="41" showAll="0"/>
  </pivotFields>
  <rowFields count="1">
    <field x="1"/>
  </rowFields>
  <rowItems count="4">
    <i>
      <x v="4"/>
    </i>
    <i>
      <x v="5"/>
    </i>
    <i>
      <x v="6"/>
    </i>
    <i t="grand">
      <x/>
    </i>
  </rowItems>
  <colItems count="1">
    <i/>
  </colItems>
  <dataFields count="1">
    <dataField name=" APROPIACION_x000a_ VIGENTE" fld="2" baseField="0" baseItem="0" numFmtId="168"/>
  </dataFields>
  <formats count="1">
    <format dxfId="63">
      <pivotArea outline="0" collapsedLevelsAreSubtotals="1" fieldPosition="0"/>
    </format>
  </formats>
  <chartFormats count="4">
    <chartFormat chart="9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3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1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15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C2ADB7-6F79-45D5-AB1F-2135A759B712}" name="TablaDinámica13" cacheId="7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J3:L4" firstHeaderRow="0" firstDataRow="1" firstDataCol="0"/>
  <pivotFields count="4">
    <pivotField showAll="0"/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Suma de CXP CONSTITUIDAS_x000a_(1)" fld="1" baseField="0" baseItem="0"/>
    <dataField name="Suma de CANCELACIONES CXP_x000a_ (2)" fld="2" baseField="0" baseItem="0"/>
    <dataField name="Suma de TOTAL PAGOS_x000a_ACUMULADOS_x000a_(5)" fld="3" baseField="0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1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2">
  <location ref="B6:F10" firstHeaderRow="0" firstDataRow="1" firstDataCol="1"/>
  <pivotFields count="7">
    <pivotField subtotalTop="0" showAll="0"/>
    <pivotField axis="axisRow" subtotalTop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4">
    <i>
      <x/>
    </i>
    <i>
      <x v="5"/>
    </i>
    <i>
      <x v="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APROPIACION" fld="2" baseField="1" baseItem="7" numFmtId="165"/>
    <dataField name="COMPROMISOS" fld="4" baseField="2" baseItem="1048829" numFmtId="41"/>
    <dataField name=" OBLIGACIONES" fld="5" baseField="1" baseItem="8"/>
    <dataField name=" PAGOS" fld="6" baseField="1" baseItem="9"/>
  </dataFields>
  <formats count="14">
    <format dxfId="62">
      <pivotArea outline="0" fieldPosition="0">
        <references count="1">
          <reference field="4294967294" count="1">
            <x v="0"/>
          </reference>
        </references>
      </pivotArea>
    </format>
    <format dxfId="61">
      <pivotArea outline="0" fieldPosition="0">
        <references count="1">
          <reference field="4294967294" count="1">
            <x v="2"/>
          </reference>
        </references>
      </pivotArea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0"/>
          </reference>
        </references>
      </pivotArea>
    </format>
    <format dxfId="55">
      <pivotArea collapsedLevelsAreSubtotals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4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1">
      <pivotArea outline="0" fieldPosition="0">
        <references count="1">
          <reference field="4294967294" count="1">
            <x v="1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outline="0" collapsedLevelsAreSubtotals="1" fieldPosition="0"/>
    </format>
  </formats>
  <chartFormats count="13">
    <chartFormat chart="29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9" format="5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53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  <chartFormat chart="29" format="54">
      <pivotArea type="data" outline="0" fieldPosition="0">
        <references count="2">
          <reference field="4294967294" count="1" selected="0">
            <x v="1"/>
          </reference>
          <reference field="1" count="1" selected="0">
            <x v="5"/>
          </reference>
        </references>
      </pivotArea>
    </chartFormat>
    <chartFormat chart="29" format="55">
      <pivotArea type="data" outline="0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chartFormat>
    <chartFormat chart="29" format="5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57">
      <pivotArea type="data" outline="0" fieldPosition="0">
        <references count="2">
          <reference field="4294967294" count="1" selected="0">
            <x v="2"/>
          </reference>
          <reference field="1" count="1" selected="0">
            <x v="0"/>
          </reference>
        </references>
      </pivotArea>
    </chartFormat>
    <chartFormat chart="29" format="58">
      <pivotArea type="data" outline="0" fieldPosition="0">
        <references count="2">
          <reference field="4294967294" count="1" selected="0">
            <x v="2"/>
          </reference>
          <reference field="1" count="1" selected="0">
            <x v="5"/>
          </reference>
        </references>
      </pivotArea>
    </chartFormat>
    <chartFormat chart="29" format="59">
      <pivotArea type="data" outline="0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chartFormat>
    <chartFormat chart="29" format="60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61">
      <pivotArea type="data" outline="0" fieldPosition="0">
        <references count="2">
          <reference field="4294967294" count="1" selected="0">
            <x v="3"/>
          </reference>
          <reference field="1" count="1" selected="0">
            <x v="0"/>
          </reference>
        </references>
      </pivotArea>
    </chartFormat>
    <chartFormat chart="29" format="62">
      <pivotArea type="data" outline="0" fieldPosition="0">
        <references count="2">
          <reference field="4294967294" count="1" selected="0">
            <x v="3"/>
          </reference>
          <reference field="1" count="1" selected="0">
            <x v="5"/>
          </reference>
        </references>
      </pivotArea>
    </chartFormat>
    <chartFormat chart="29" format="63">
      <pivotArea type="data" outline="0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laDinámica1" cacheId="7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B6:F11" firstHeaderRow="0" firstDataRow="1" firstDataCol="1"/>
  <pivotFields count="7">
    <pivotField subtotalTop="0" showAll="0"/>
    <pivotField axis="axisRow" subtotalTop="0" multipleItemSelectionAllowed="1" showAll="0">
      <items count="8">
        <item h="1" x="0"/>
        <item x="1"/>
        <item x="2"/>
        <item x="3"/>
        <item x="4"/>
        <item h="1" x="5"/>
        <item h="1" x="6"/>
        <item t="default"/>
      </items>
    </pivotField>
    <pivotField dataField="1" numFmtId="41" showAll="0"/>
    <pivotField numFmtId="41" showAll="0"/>
    <pivotField dataField="1" numFmtId="41" showAll="0"/>
    <pivotField dataField="1" numFmtId="41" showAll="0"/>
    <pivotField dataField="1" numFmtId="41"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APROPIACION_x000a_ VIGENTE" fld="2" baseField="0" baseItem="0"/>
    <dataField name=" COMPROMISOS_x000a_ ACUMULADOS" fld="4" baseField="0" baseItem="0"/>
    <dataField name=" OBLIGACIONES_x000a_ ACUMULADAS" fld="5" baseField="0" baseItem="0"/>
    <dataField name=" PAGOS_x000a_ ACUMULADOS" fld="6" baseField="0" baseItem="0"/>
  </dataFields>
  <formats count="8">
    <format dxfId="48">
      <pivotArea dataOnly="0" labelOnly="1" fieldPosition="0">
        <references count="1">
          <reference field="1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outline="0" collapsedLevelsAreSubtotals="1" fieldPosition="0"/>
    </format>
  </formats>
  <chartFormats count="45">
    <chartFormat chart="10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0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9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9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9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0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0" format="2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0" format="26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30" format="27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30" format="28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30" format="29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30" format="30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30" format="31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30" format="32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30" format="33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30" format="3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30" format="35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30" format="3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30" format="3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3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3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4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4" format="4">
      <pivotArea type="data" outline="0" fieldPosition="0">
        <references count="2">
          <reference field="4294967294" count="1" selected="0">
            <x v="3"/>
          </reference>
          <reference field="1" count="1" selected="0">
            <x v="2"/>
          </reference>
        </references>
      </pivotArea>
    </chartFormat>
    <chartFormat chart="44" format="5">
      <pivotArea type="data" outline="0" fieldPosition="0">
        <references count="2">
          <reference field="4294967294" count="1" selected="0">
            <x v="2"/>
          </reference>
          <reference field="1" count="1" selected="0">
            <x v="2"/>
          </reference>
        </references>
      </pivotArea>
    </chartFormat>
    <chartFormat chart="44" format="6">
      <pivotArea type="data" outline="0" fieldPosition="0">
        <references count="2">
          <reference field="4294967294" count="1" selected="0">
            <x v="3"/>
          </reference>
          <reference field="1" count="1" selected="0">
            <x v="1"/>
          </reference>
        </references>
      </pivotArea>
    </chartFormat>
    <chartFormat chart="44" format="7">
      <pivotArea type="data" outline="0" fieldPosition="0">
        <references count="2">
          <reference field="4294967294" count="1" selected="0">
            <x v="1"/>
          </reference>
          <reference field="1" count="1" selected="0">
            <x v="2"/>
          </reference>
        </references>
      </pivotArea>
    </chartFormat>
    <chartFormat chart="44" format="8">
      <pivotArea type="data" outline="0" fieldPosition="0">
        <references count="2">
          <reference field="4294967294" count="1" selected="0">
            <x v="2"/>
          </reference>
          <reference field="1" count="1" selected="0">
            <x v="1"/>
          </reference>
        </references>
      </pivotArea>
    </chartFormat>
    <chartFormat chart="44" format="9">
      <pivotArea type="data" outline="0" fieldPosition="0">
        <references count="2">
          <reference field="4294967294" count="1" selected="0">
            <x v="1"/>
          </reference>
          <reference field="1" count="1" selected="0">
            <x v="1"/>
          </reference>
        </references>
      </pivotArea>
    </chartFormat>
    <chartFormat chart="44" format="10">
      <pivotArea type="data" outline="0" fieldPosition="0">
        <references count="2">
          <reference field="4294967294" count="1" selected="0">
            <x v="1"/>
          </reference>
          <reference field="1" count="1" selected="0">
            <x v="3"/>
          </reference>
        </references>
      </pivotArea>
    </chartFormat>
    <chartFormat chart="44" format="1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44" format="12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4" format="13">
      <pivotArea type="data" outline="0" fieldPosition="0">
        <references count="2">
          <reference field="4294967294" count="1" selected="0">
            <x v="3"/>
          </reference>
          <reference field="1" count="1" selected="0">
            <x v="3"/>
          </reference>
        </references>
      </pivotArea>
    </chartFormat>
    <chartFormat chart="44" format="14">
      <pivotArea type="data" outline="0" fieldPosition="0">
        <references count="2">
          <reference field="4294967294" count="1" selected="0">
            <x v="2"/>
          </reference>
          <reference field="1" count="1" selected="0">
            <x v="3"/>
          </reference>
        </references>
      </pivotArea>
    </chartFormat>
    <chartFormat chart="44" format="15">
      <pivotArea type="data" outline="0" fieldPosition="0">
        <references count="2">
          <reference field="4294967294" count="1" selected="0">
            <x v="1"/>
          </reference>
          <reference field="1" count="1" selected="0">
            <x v="4"/>
          </reference>
        </references>
      </pivotArea>
    </chartFormat>
    <chartFormat chart="44" format="16">
      <pivotArea type="data" outline="0" fieldPosition="0">
        <references count="2">
          <reference field="4294967294" count="1" selected="0">
            <x v="2"/>
          </reference>
          <reference field="1" count="1" selected="0">
            <x v="4"/>
          </reference>
        </references>
      </pivotArea>
    </chartFormat>
    <chartFormat chart="44" format="17">
      <pivotArea type="data" outline="0" fieldPosition="0">
        <references count="2">
          <reference field="4294967294" count="1" selected="0">
            <x v="3"/>
          </reference>
          <reference field="1" count="1" selected="0">
            <x v="4"/>
          </reference>
        </references>
      </pivotArea>
    </chartFormat>
    <chartFormat chart="44" format="18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DC81A-63C4-4529-BFC8-329A0A6E8EA0}" name="TablaDinámica1" cacheId="75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7">
  <location ref="B8:E9" firstHeaderRow="0" firstDataRow="1" firstDataCol="0" rowPageCount="1" colPageCount="1"/>
  <pivotFields count="7">
    <pivotField showAll="0"/>
    <pivotField axis="axisPage" subtotalTop="0" multipleItemSelectionAllowed="1" showAll="0">
      <items count="36">
        <item x="1"/>
        <item x="26"/>
        <item x="28"/>
        <item x="31"/>
        <item x="32"/>
        <item x="33"/>
        <item x="34"/>
        <item x="2"/>
        <item x="3"/>
        <item x="4"/>
        <item x="6"/>
        <item x="7"/>
        <item x="8"/>
        <item x="9"/>
        <item x="10"/>
        <item x="14"/>
        <item x="16"/>
        <item x="17"/>
        <item x="18"/>
        <item x="19"/>
        <item x="20"/>
        <item x="22"/>
        <item x="29"/>
        <item x="0"/>
        <item x="5"/>
        <item x="11"/>
        <item x="12"/>
        <item x="13"/>
        <item x="15"/>
        <item x="21"/>
        <item x="24"/>
        <item x="27"/>
        <item x="23"/>
        <item x="25"/>
        <item x="30"/>
        <item t="default"/>
      </items>
    </pivotField>
    <pivotField dataField="1" numFmtId="41" subtotalTop="0" showAll="0"/>
    <pivotField numFmtId="41" subtotalTop="0" showAll="0"/>
    <pivotField dataField="1" numFmtId="41" subtotalTop="0" showAll="0"/>
    <pivotField dataField="1" numFmtId="41" subtotalTop="0" showAll="0"/>
    <pivotField dataField="1" numFmtId="41" subtotalTop="0" showAll="0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a de APROPIACION_x000a_ VIGENTE" fld="2" baseField="0" baseItem="0"/>
    <dataField name="2 COMPROMISOS_x000a_ ACUMULADOS" fld="4" baseField="0" baseItem="0"/>
    <dataField name="3 OBLIGACIONES_x000a_ ACUMULADAS" fld="5" baseField="0" baseItem="0" numFmtId="166"/>
    <dataField name=" PAGOS_x000a_ ACUMULADOS" fld="6" baseField="0" baseItem="0" numFmtId="166"/>
  </dataFields>
  <formats count="8">
    <format dxfId="40">
      <pivotArea collapsedLevelsAreSubtotals="1" fieldPosition="0">
        <references count="1">
          <reference field="1" count="0"/>
        </references>
      </pivotArea>
    </format>
    <format dxfId="39">
      <pivotArea grandRow="1" outline="0" collapsedLevelsAreSubtotals="1" fieldPosition="0"/>
    </format>
    <format dxfId="38">
      <pivotArea collapsedLevelsAreSubtotals="1" fieldPosition="0">
        <references count="1">
          <reference field="1" count="0"/>
        </references>
      </pivotArea>
    </format>
    <format dxfId="37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6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35">
      <pivotArea dataOnly="0" outline="0" fieldPosition="0">
        <references count="1">
          <reference field="1" count="0"/>
        </references>
      </pivotArea>
    </format>
    <format dxfId="34">
      <pivotArea field="1" type="button" dataOnly="0" labelOnly="1" outline="0" axis="axisPage" fieldPosition="0"/>
    </format>
    <format dxfId="33">
      <pivotArea outline="0" collapsedLevelsAreSubtotals="1" fieldPosition="0"/>
    </format>
  </formats>
  <chartFormats count="7">
    <chartFormat chart="3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3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6" format="5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6" format="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7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3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TablaDinámica4" cacheId="7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Reservas Vigentes" fld="1" baseField="0" baseItem="0" numFmtId="43"/>
  </dataFields>
  <formats count="8">
    <format dxfId="32">
      <pivotArea collapsedLevelsAreSubtotals="1" fieldPosition="0">
        <references count="1">
          <reference field="0" count="0"/>
        </references>
      </pivotArea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</format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laDinámica5" cacheId="7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31:D32" firstHeaderRow="0" firstDataRow="1" firstDataCol="0"/>
  <pivotFields count="4">
    <pivotField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1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/>
    </format>
    <format dxfId="9">
      <pivotArea dataOnly="0" labelOnly="1" grandRow="1" outline="0" fieldPosition="0"/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">
      <pivotArea field="0" type="button" dataOnly="0" labelOnly="1" outline="0"/>
    </format>
    <format dxfId="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">
      <pivotArea field="0" type="button" dataOnly="0" labelOnly="1" outline="0"/>
    </format>
    <format dxfId="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field="0" type="button" dataOnly="0" labelOnly="1" outline="0"/>
    </format>
    <format dxfId="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4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7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laDinámica2" cacheId="74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7" rowHeaderCaption="CONCEPTO">
  <location ref="B6:E9" firstHeaderRow="0" firstDataRow="1" firstDataCol="1"/>
  <pivotFields count="4">
    <pivotField axis="axisRow" showAll="0">
      <items count="4">
        <item x="0"/>
        <item m="1" x="2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RESERVAS CONSTITUIDAS_x000a_" fld="1" baseField="0" baseItem="0"/>
    <dataField name="CANCELACIONES RESERVAS PRESUPUESTALES_x000a_ " fld="2" baseField="0" baseItem="0"/>
    <dataField name="PAGOS_x000a_ACUMULADOS_x000a_" fld="3" baseField="0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8">
      <pivotArea field="0" type="button" dataOnly="0" labelOnly="1" outline="0" axis="axisRow" fieldPosition="0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0" type="button" dataOnly="0" labelOnly="1" outline="0" axis="axisRow" fieldPosition="0"/>
    </format>
    <format dxfId="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chartFormats count="13">
    <chartFormat chart="1" format="1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1" format="2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194AD76-E726-4EDC-9CEA-DD45F7E1F33A}" name="TablaDinámica2" cacheId="73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5">
  <location ref="B8:C11" firstHeaderRow="1" firstDataRow="1" firstDataCol="1"/>
  <pivotFields count="2">
    <pivotField axis="axisRow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UENTA X PAGAR VIGENTE" fld="1" baseField="0" baseItem="0" numFmtId="169"/>
  </dataFields>
  <formats count="1">
    <format dxfId="1">
      <pivotArea outline="0" collapsedLevelsAreSubtotals="1" fieldPosition="0"/>
    </format>
  </formats>
  <chartFormats count="3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0D5708-094E-45B6-BA75-B79845BB5591}" name="TablaDinámica12" cacheId="7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B6:E9" firstHeaderRow="0" firstDataRow="1" firstDataCol="1"/>
  <pivotFields count="4">
    <pivotField axis="axisRow" showAll="0">
      <items count="3">
        <item x="0"/>
        <item x="1"/>
        <item t="default"/>
      </items>
    </pivotField>
    <pivotField dataField="1" numFmtId="164" showAll="0"/>
    <pivotField dataField="1" numFmtId="4" showAll="0"/>
    <pivotField dataField="1" numFmtId="4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XP CONSTITUIDAS" fld="1" baseField="0" baseItem="1"/>
    <dataField name="CANCELACIONES CXP" fld="2" baseField="0" baseItem="1"/>
    <dataField name="TOTAL PAGOS" fld="3" baseField="0" baseItem="1"/>
  </dataFields>
  <chartFormats count="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defRPr>
        </a:defPPr>
      </a:lst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4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4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5" tint="-0.249977111117893"/>
  </sheetPr>
  <dimension ref="A1:B22"/>
  <sheetViews>
    <sheetView showGridLines="0" showRowColHeaders="0" tabSelected="1" zoomScale="70" zoomScaleNormal="70" workbookViewId="0">
      <selection activeCell="H12" sqref="H12"/>
    </sheetView>
  </sheetViews>
  <sheetFormatPr baseColWidth="10" defaultRowHeight="15" x14ac:dyDescent="0.25"/>
  <cols>
    <col min="1" max="1" width="16.7109375" customWidth="1"/>
    <col min="2" max="2" width="165.5703125" bestFit="1" customWidth="1"/>
  </cols>
  <sheetData>
    <row r="1" spans="1:2" ht="36" x14ac:dyDescent="0.55000000000000004">
      <c r="A1" s="88" t="s">
        <v>146</v>
      </c>
    </row>
    <row r="8" spans="1:2" ht="36" x14ac:dyDescent="0.55000000000000004">
      <c r="B8" s="62" t="s">
        <v>96</v>
      </c>
    </row>
    <row r="9" spans="1:2" ht="36" x14ac:dyDescent="0.55000000000000004">
      <c r="B9" s="60" t="s">
        <v>45</v>
      </c>
    </row>
    <row r="10" spans="1:2" ht="36" x14ac:dyDescent="0.55000000000000004">
      <c r="B10" s="60" t="s">
        <v>160</v>
      </c>
    </row>
    <row r="11" spans="1:2" ht="36" x14ac:dyDescent="0.55000000000000004">
      <c r="B11" s="60" t="s">
        <v>46</v>
      </c>
    </row>
    <row r="12" spans="1:2" ht="36" x14ac:dyDescent="0.55000000000000004">
      <c r="B12" s="60" t="s">
        <v>47</v>
      </c>
    </row>
    <row r="13" spans="1:2" ht="36" x14ac:dyDescent="0.55000000000000004">
      <c r="B13" s="61"/>
    </row>
    <row r="14" spans="1:2" ht="36" x14ac:dyDescent="0.55000000000000004">
      <c r="B14" s="62" t="s">
        <v>97</v>
      </c>
    </row>
    <row r="15" spans="1:2" ht="36" x14ac:dyDescent="0.55000000000000004">
      <c r="B15" s="60" t="s">
        <v>98</v>
      </c>
    </row>
    <row r="16" spans="1:2" ht="36" x14ac:dyDescent="0.55000000000000004">
      <c r="B16" s="60" t="s">
        <v>97</v>
      </c>
    </row>
    <row r="17" spans="2:2" ht="36" x14ac:dyDescent="0.55000000000000004">
      <c r="B17" s="13"/>
    </row>
    <row r="19" spans="2:2" ht="36" x14ac:dyDescent="0.55000000000000004">
      <c r="B19" s="62" t="s">
        <v>143</v>
      </c>
    </row>
    <row r="20" spans="2:2" ht="36" x14ac:dyDescent="0.55000000000000004">
      <c r="B20" s="60" t="s">
        <v>144</v>
      </c>
    </row>
    <row r="21" spans="2:2" ht="36" x14ac:dyDescent="0.55000000000000004">
      <c r="B21" s="60" t="s">
        <v>145</v>
      </c>
    </row>
    <row r="22" spans="2:2" ht="36" x14ac:dyDescent="0.55000000000000004">
      <c r="B22" s="87"/>
    </row>
  </sheetData>
  <hyperlinks>
    <hyperlink ref="B9" location="'Participación Apropiación '!A1" display="Porcentaje Participación de la apropiación  por concepto de Gasto" xr:uid="{00000000-0004-0000-0000-000000000000}"/>
    <hyperlink ref="B10" location="'APR VS RP  Y OBLIGACIÓN Y PAGO'!A1" display="Ejecución Acumulada al  31/05/2019" xr:uid="{00000000-0004-0000-0000-000001000000}"/>
    <hyperlink ref="B11" location="'APR,RP´S,OBL Y PAGO FUNCIONAMIE'!A1" display="Comparativo presupuesto de Funcionamiento " xr:uid="{00000000-0004-0000-0000-000002000000}"/>
    <hyperlink ref="B12" location="'INVERSIÓN APR VS RP Y OBLI'!A1" display="Detalle Ejecución Preupuestal por Proyecto de Inversión " xr:uid="{00000000-0004-0000-0000-000003000000}"/>
    <hyperlink ref="B16" location="'EJECUCIÓN  RESERVA'!A1" display="Ejecución Reserva Presupuestal Constituida" xr:uid="{00000000-0004-0000-0000-000004000000}"/>
    <hyperlink ref="B15" location="'Participación por Concepto'!A1" display="Porcentaje Participación de la Reserva por Concepto de Gasto" xr:uid="{00000000-0004-0000-0000-000005000000}"/>
    <hyperlink ref="B20" location="'PART. CUENTA X PAGAR CONCEPTO '!A1" display="Porcentaje Participación de la Cuenta por Pagar por Concepto de Gasto" xr:uid="{AC55130B-CC29-44F9-B1D7-AF40CD196286}"/>
    <hyperlink ref="B21" location="'EJECUCION CUENTA POR PAGAR '!A1" display="Ejecución de la Cuenta por Pagar Constituida" xr:uid="{22F13090-CBF9-4CA4-8D59-CB20EE444C4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theme="5" tint="-0.249977111117893"/>
  </sheetPr>
  <dimension ref="A6:N75"/>
  <sheetViews>
    <sheetView showGridLines="0" showRowColHeaders="0" zoomScaleNormal="100" workbookViewId="0">
      <selection activeCell="E30" sqref="E30"/>
    </sheetView>
  </sheetViews>
  <sheetFormatPr baseColWidth="10" defaultRowHeight="15" outlineLevelRow="2" x14ac:dyDescent="0.25"/>
  <cols>
    <col min="2" max="2" width="21.42578125" bestFit="1" customWidth="1"/>
    <col min="3" max="4" width="14.28515625" bestFit="1" customWidth="1"/>
    <col min="5" max="5" width="14" bestFit="1" customWidth="1"/>
    <col min="6" max="6" width="11.5703125" bestFit="1" customWidth="1"/>
  </cols>
  <sheetData>
    <row r="6" spans="2:10" ht="90" x14ac:dyDescent="0.25">
      <c r="B6" s="57" t="s">
        <v>93</v>
      </c>
      <c r="C6" s="58" t="s">
        <v>92</v>
      </c>
      <c r="D6" s="58" t="s">
        <v>94</v>
      </c>
      <c r="E6" s="58" t="s">
        <v>95</v>
      </c>
      <c r="F6" s="23"/>
    </row>
    <row r="7" spans="2:10" x14ac:dyDescent="0.25">
      <c r="B7" s="56" t="s">
        <v>26</v>
      </c>
      <c r="C7" s="55">
        <v>2249.6486331999999</v>
      </c>
      <c r="D7" s="55">
        <v>0</v>
      </c>
      <c r="E7" s="55">
        <v>2203.8353725500001</v>
      </c>
      <c r="F7" s="67"/>
    </row>
    <row r="8" spans="2:10" x14ac:dyDescent="0.25">
      <c r="B8" s="56" t="s">
        <v>128</v>
      </c>
      <c r="C8" s="55">
        <v>53197.266014589994</v>
      </c>
      <c r="D8" s="55">
        <v>0</v>
      </c>
      <c r="E8" s="55">
        <v>36722.060809519993</v>
      </c>
      <c r="F8" s="68"/>
    </row>
    <row r="9" spans="2:10" x14ac:dyDescent="0.25">
      <c r="B9" s="56" t="s">
        <v>6</v>
      </c>
      <c r="C9" s="55">
        <v>55446.914647789992</v>
      </c>
      <c r="D9" s="55">
        <v>0</v>
      </c>
      <c r="E9" s="55">
        <v>38925.896182069991</v>
      </c>
    </row>
    <row r="10" spans="2:10" x14ac:dyDescent="0.25">
      <c r="B10" s="56"/>
      <c r="C10" s="55"/>
      <c r="D10" s="55"/>
      <c r="E10" s="55"/>
    </row>
    <row r="11" spans="2:10" ht="18.75" x14ac:dyDescent="0.3">
      <c r="B11" s="127" t="s">
        <v>102</v>
      </c>
      <c r="C11" s="127"/>
      <c r="D11" s="127"/>
      <c r="E11" s="127"/>
      <c r="F11" s="127"/>
      <c r="G11" s="127"/>
    </row>
    <row r="12" spans="2:10" x14ac:dyDescent="0.25">
      <c r="H12" s="5"/>
      <c r="J12" s="5"/>
    </row>
    <row r="14" spans="2:10" x14ac:dyDescent="0.25">
      <c r="E14" s="18"/>
      <c r="F14" s="18"/>
    </row>
    <row r="15" spans="2:10" x14ac:dyDescent="0.25">
      <c r="E15" s="18"/>
      <c r="F15" s="18"/>
    </row>
    <row r="16" spans="2:10" x14ac:dyDescent="0.25">
      <c r="B16" s="65"/>
      <c r="C16" s="65"/>
      <c r="D16" s="65"/>
      <c r="E16" s="66"/>
      <c r="F16" s="66"/>
    </row>
    <row r="17" spans="1:14" x14ac:dyDescent="0.25">
      <c r="B17" s="65"/>
      <c r="C17" s="65"/>
      <c r="D17" s="65"/>
      <c r="E17" s="66"/>
      <c r="F17" s="66"/>
    </row>
    <row r="18" spans="1:14" x14ac:dyDescent="0.25">
      <c r="A18" s="18"/>
      <c r="B18" s="65"/>
      <c r="C18" s="65"/>
      <c r="D18" s="65"/>
      <c r="E18" s="66"/>
      <c r="F18" s="66"/>
      <c r="G18" s="18"/>
      <c r="H18" s="18"/>
      <c r="I18" s="18"/>
      <c r="J18" s="18"/>
      <c r="K18" s="18"/>
      <c r="L18" s="18"/>
      <c r="M18" s="18"/>
      <c r="N18" s="18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97"/>
      <c r="J19" s="18"/>
      <c r="K19" s="18"/>
      <c r="L19" s="18"/>
      <c r="M19" s="18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90"/>
      <c r="J20" s="18"/>
      <c r="K20" s="18"/>
      <c r="L20" s="18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97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91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6"/>
      <c r="C26" s="66"/>
      <c r="D26" s="66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97"/>
      <c r="K27" s="18"/>
      <c r="L27" s="18"/>
      <c r="M27" s="18"/>
      <c r="N27" s="18"/>
    </row>
    <row r="28" spans="1:14" ht="18.75" x14ac:dyDescent="0.3">
      <c r="A28" s="18"/>
      <c r="B28" s="126" t="s">
        <v>101</v>
      </c>
      <c r="C28" s="126"/>
      <c r="D28" s="126"/>
      <c r="E28" s="126"/>
      <c r="F28" s="126"/>
      <c r="G28" s="18"/>
      <c r="H28" s="18"/>
      <c r="I28" s="18"/>
      <c r="J28" s="18"/>
      <c r="K28" s="18"/>
      <c r="L28" s="18"/>
      <c r="M28" s="18"/>
      <c r="N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60" hidden="1" outlineLevel="2" x14ac:dyDescent="0.25">
      <c r="A31" s="18"/>
      <c r="B31" s="58" t="s">
        <v>92</v>
      </c>
      <c r="C31" s="58" t="s">
        <v>94</v>
      </c>
      <c r="D31" s="58" t="s">
        <v>95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B32" s="55">
        <v>55446.914647789992</v>
      </c>
      <c r="C32" s="55">
        <v>0</v>
      </c>
      <c r="D32" s="55">
        <v>38925.896182069991</v>
      </c>
      <c r="F32" s="18"/>
      <c r="G32" s="18"/>
      <c r="H32" s="18"/>
      <c r="I32" s="18"/>
      <c r="J32" s="18"/>
      <c r="K32" s="18"/>
      <c r="L32" s="18"/>
      <c r="M32" s="18"/>
      <c r="N32" s="18"/>
    </row>
    <row r="33" spans="1:14" collapsed="1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97"/>
      <c r="J37" s="18"/>
      <c r="K37" s="18"/>
      <c r="L37" s="18"/>
      <c r="M37" s="18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97"/>
      <c r="K40" s="18"/>
      <c r="L40" s="18"/>
      <c r="M40" s="18"/>
      <c r="N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35"/>
      <c r="C42" s="35"/>
      <c r="D42" s="35"/>
      <c r="E42" s="35"/>
      <c r="F42" s="35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97"/>
      <c r="K43" s="18"/>
      <c r="L43" s="18"/>
      <c r="M43" s="18"/>
      <c r="N43" s="18"/>
    </row>
    <row r="44" spans="1:14" hidden="1" outlineLevel="1" x14ac:dyDescent="0.25">
      <c r="A44" s="18"/>
      <c r="B44" s="111" t="s">
        <v>93</v>
      </c>
      <c r="C44" s="111" t="s">
        <v>92</v>
      </c>
      <c r="D44" s="111" t="s">
        <v>94</v>
      </c>
      <c r="E44" s="111" t="s">
        <v>95</v>
      </c>
      <c r="F44" s="111"/>
      <c r="G44" s="18"/>
      <c r="H44" s="18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2" t="s">
        <v>26</v>
      </c>
      <c r="C45" s="113">
        <f>GETPIVOTDATA("RESERVAS CONSTITUIDAS
",$B$6,"DENOMINACIÓN DEL CÓDIGO PRESUPUESTAL
","A-FUNCIONAMIENTO")</f>
        <v>2249.6486331999999</v>
      </c>
      <c r="D45" s="113">
        <f>GETPIVOTDATA("CANCELACIONES RESERVAS PRESUPUESTALES
 ",$B$6,"DENOMINACIÓN DEL CÓDIGO PRESUPUESTAL
","A-FUNCIONAMIENTO")</f>
        <v>0</v>
      </c>
      <c r="E45" s="115">
        <f>+GETPIVOTDATA("PAGOS
ACUMULADOS
",$B$6,"DENOMINACIÓN DEL CÓDIGO PRESUPUESTAL
","A-FUNCIONAMIENTO")/GETPIVOTDATA("RESERVAS CONSTITUIDAS
",$B$6,"DENOMINACIÓN DEL CÓDIGO PRESUPUESTAL
","A-FUNCIONAMIENTO")</f>
        <v>0.97963537062015194</v>
      </c>
      <c r="F45" s="114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35"/>
      <c r="B46" s="112" t="s">
        <v>128</v>
      </c>
      <c r="C46" s="113">
        <f>GETPIVOTDATA("RESERVAS CONSTITUIDAS
",$B$6,"DENOMINACIÓN DEL CÓDIGO PRESUPUESTAL
","C-INVERSIÓN")</f>
        <v>53197.266014589994</v>
      </c>
      <c r="D46" s="113">
        <f>GETPIVOTDATA("CANCELACIONES RESERVAS PRESUPUESTALES
 ",$B$6,"DENOMINACIÓN DEL CÓDIGO PRESUPUESTAL
","C-INVERSIÓN")</f>
        <v>0</v>
      </c>
      <c r="E46" s="115">
        <f>+GETPIVOTDATA("PAGOS
ACUMULADOS
",$B$6,"DENOMINACIÓN DEL CÓDIGO PRESUPUESTAL
","C-INVERSIÓN")/GETPIVOTDATA("RESERVAS CONSTITUIDAS
",$B$6,"DENOMINACIÓN DEL CÓDIGO PRESUPUESTAL
","C-INVERSIÓN")</f>
        <v>0.69029977592172731</v>
      </c>
      <c r="F46" s="114"/>
      <c r="G46" s="35"/>
      <c r="H46" s="35"/>
      <c r="I46" s="35"/>
      <c r="J46" s="18"/>
      <c r="K46" s="18"/>
      <c r="L46" s="18"/>
      <c r="M46" s="18"/>
      <c r="N46" s="18"/>
    </row>
    <row r="47" spans="1:14" hidden="1" outlineLevel="1" x14ac:dyDescent="0.25">
      <c r="A47" s="35"/>
      <c r="B47" s="116" t="s">
        <v>6</v>
      </c>
      <c r="C47" s="117">
        <f>+C45+C46</f>
        <v>55446.914647789992</v>
      </c>
      <c r="D47" s="117">
        <f>+D46+D45</f>
        <v>0</v>
      </c>
      <c r="E47" s="118">
        <f>+GETPIVOTDATA("PAGOS
ACUMULADOS
",$B$6)/GETPIVOTDATA("RESERVAS CONSTITUIDAS
",$B$6)</f>
        <v>0.70203899404205172</v>
      </c>
      <c r="F47" s="115"/>
      <c r="G47" s="35"/>
      <c r="H47" s="35"/>
      <c r="I47" s="35"/>
      <c r="J47" s="20"/>
      <c r="K47" s="20"/>
      <c r="L47" s="18"/>
      <c r="M47" s="18"/>
      <c r="N47" s="18"/>
    </row>
    <row r="48" spans="1:14" s="11" customFormat="1" collapsed="1" x14ac:dyDescent="0.25">
      <c r="A48" s="36"/>
      <c r="B48" s="37"/>
      <c r="C48" s="38"/>
      <c r="D48" s="39"/>
      <c r="E48" s="40"/>
      <c r="F48" s="40"/>
      <c r="G48" s="36"/>
      <c r="H48" s="36"/>
      <c r="I48" s="36"/>
      <c r="L48" s="27"/>
      <c r="M48" s="27"/>
      <c r="N48" s="27"/>
    </row>
    <row r="49" spans="1:14" s="11" customFormat="1" x14ac:dyDescent="0.25">
      <c r="A49" s="36"/>
      <c r="B49" s="36"/>
      <c r="C49" s="36"/>
      <c r="D49" s="36"/>
      <c r="E49" s="36"/>
      <c r="F49" s="36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5"/>
      <c r="C50" s="35"/>
      <c r="D50" s="35"/>
      <c r="E50" s="35"/>
      <c r="F50" s="35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8"/>
      <c r="M53" s="28"/>
      <c r="N53" s="28"/>
    </row>
    <row r="54" spans="1:14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5"/>
      <c r="K64" s="29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6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0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14"/>
      <c r="C71" s="14"/>
      <c r="D71" s="14"/>
      <c r="E71" s="14"/>
      <c r="F71" s="14"/>
      <c r="G71" s="35"/>
      <c r="H71" s="35"/>
      <c r="I71" s="35"/>
    </row>
    <row r="72" spans="1:14" x14ac:dyDescent="0.25">
      <c r="A72" s="35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14"/>
      <c r="G75" s="14"/>
      <c r="H75" s="14"/>
      <c r="I75" s="14"/>
    </row>
  </sheetData>
  <mergeCells count="2">
    <mergeCell ref="B28:F28"/>
    <mergeCell ref="B11:G11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70BA-B5FE-4C3A-A4D1-688A1B94DB53}">
  <sheetPr codeName="Hoja12"/>
  <dimension ref="B1:G17"/>
  <sheetViews>
    <sheetView workbookViewId="0">
      <selection activeCell="G3" sqref="G3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140</v>
      </c>
      <c r="D2" s="44" t="s">
        <v>141</v>
      </c>
      <c r="E2" s="45" t="s">
        <v>90</v>
      </c>
    </row>
    <row r="3" spans="2:7" ht="16.5" thickBot="1" x14ac:dyDescent="0.3">
      <c r="B3" s="50" t="s">
        <v>26</v>
      </c>
      <c r="C3" s="51">
        <f>7893784910.4/1000000</f>
        <v>7893.7849103999997</v>
      </c>
      <c r="D3" s="52">
        <v>0</v>
      </c>
      <c r="E3" s="53">
        <f>6858440499.4/1000000</f>
        <v>6858.4404993999997</v>
      </c>
      <c r="F3" s="68"/>
      <c r="G3" s="55"/>
    </row>
    <row r="4" spans="2:7" ht="19.5" thickBot="1" x14ac:dyDescent="0.3">
      <c r="B4" s="46" t="s">
        <v>128</v>
      </c>
      <c r="C4" s="47">
        <f>182428674/1000000</f>
        <v>182.428674</v>
      </c>
      <c r="D4" s="48">
        <f>0/1000000</f>
        <v>0</v>
      </c>
      <c r="E4" s="49">
        <f>182428674/1000000</f>
        <v>182.428674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142</v>
      </c>
      <c r="E8" s="41"/>
    </row>
    <row r="9" spans="2:7" ht="19.5" thickBot="1" x14ac:dyDescent="0.3">
      <c r="B9" s="50" t="s">
        <v>26</v>
      </c>
      <c r="C9" s="49">
        <f>7893784910.4/1000000</f>
        <v>7893.7849103999997</v>
      </c>
      <c r="E9" s="55"/>
    </row>
    <row r="10" spans="2:7" ht="19.5" thickBot="1" x14ac:dyDescent="0.3">
      <c r="B10" s="46" t="s">
        <v>91</v>
      </c>
      <c r="C10" s="45">
        <f>182428674/1000000</f>
        <v>182.428674</v>
      </c>
      <c r="D10" s="64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DE189-FBDC-4B85-88CE-0AE8C9919750}">
  <sheetPr codeName="Hoja13">
    <tabColor theme="5" tint="-0.249977111117893"/>
    <pageSetUpPr fitToPage="1"/>
  </sheetPr>
  <dimension ref="B7:F12"/>
  <sheetViews>
    <sheetView showGridLines="0" showRowColHeaders="0" zoomScaleNormal="100" workbookViewId="0">
      <selection activeCell="C9" sqref="C9:C11"/>
    </sheetView>
  </sheetViews>
  <sheetFormatPr baseColWidth="10" defaultRowHeight="15" x14ac:dyDescent="0.25"/>
  <cols>
    <col min="2" max="2" width="19.85546875" bestFit="1" customWidth="1"/>
    <col min="3" max="3" width="25" bestFit="1" customWidth="1"/>
    <col min="4" max="4" width="11" bestFit="1" customWidth="1"/>
    <col min="5" max="5" width="12.5703125" bestFit="1" customWidth="1"/>
  </cols>
  <sheetData>
    <row r="7" spans="2:6" x14ac:dyDescent="0.25">
      <c r="B7" s="2"/>
      <c r="C7" s="23"/>
    </row>
    <row r="8" spans="2:6" x14ac:dyDescent="0.25">
      <c r="B8" s="4" t="s">
        <v>5</v>
      </c>
      <c r="C8" t="s">
        <v>147</v>
      </c>
    </row>
    <row r="9" spans="2:6" x14ac:dyDescent="0.25">
      <c r="B9" s="2" t="s">
        <v>26</v>
      </c>
      <c r="C9" s="55">
        <v>7893.7849103999997</v>
      </c>
    </row>
    <row r="10" spans="2:6" x14ac:dyDescent="0.25">
      <c r="B10" s="2" t="s">
        <v>91</v>
      </c>
      <c r="C10" s="55">
        <v>182.428674</v>
      </c>
    </row>
    <row r="11" spans="2:6" x14ac:dyDescent="0.25">
      <c r="B11" s="2" t="s">
        <v>6</v>
      </c>
      <c r="C11" s="55">
        <v>8076.2135843999995</v>
      </c>
      <c r="D11" s="63" t="s">
        <v>103</v>
      </c>
    </row>
    <row r="12" spans="2:6" x14ac:dyDescent="0.25">
      <c r="C12" s="55"/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B7C28-0C4C-49C0-B53A-3107A69136B4}">
  <sheetPr codeName="Hoja15">
    <tabColor theme="5" tint="-0.249977111117893"/>
  </sheetPr>
  <dimension ref="A3:N76"/>
  <sheetViews>
    <sheetView zoomScaleNormal="100" workbookViewId="0">
      <selection activeCell="O8" sqref="O8"/>
    </sheetView>
  </sheetViews>
  <sheetFormatPr baseColWidth="10" defaultRowHeight="15" outlineLevelRow="2" x14ac:dyDescent="0.25"/>
  <cols>
    <col min="2" max="2" width="19.85546875" bestFit="1" customWidth="1"/>
    <col min="3" max="3" width="18.140625" bestFit="1" customWidth="1"/>
    <col min="4" max="4" width="19.7109375" bestFit="1" customWidth="1"/>
    <col min="5" max="5" width="13.28515625" bestFit="1" customWidth="1"/>
    <col min="6" max="6" width="11.5703125" bestFit="1" customWidth="1"/>
    <col min="10" max="10" width="30.28515625" hidden="1" customWidth="1"/>
    <col min="11" max="11" width="32.42578125" hidden="1" customWidth="1"/>
    <col min="12" max="12" width="40.140625" hidden="1" customWidth="1"/>
  </cols>
  <sheetData>
    <row r="3" spans="2:12" x14ac:dyDescent="0.25">
      <c r="J3" t="s">
        <v>148</v>
      </c>
      <c r="K3" t="s">
        <v>149</v>
      </c>
      <c r="L3" t="s">
        <v>150</v>
      </c>
    </row>
    <row r="4" spans="2:12" x14ac:dyDescent="0.25">
      <c r="J4" s="55">
        <v>8076.2135843999995</v>
      </c>
      <c r="K4" s="55">
        <v>0</v>
      </c>
      <c r="L4" s="55">
        <v>7040.8691733999995</v>
      </c>
    </row>
    <row r="6" spans="2:12" x14ac:dyDescent="0.25">
      <c r="B6" s="4" t="s">
        <v>5</v>
      </c>
      <c r="C6" t="s">
        <v>151</v>
      </c>
      <c r="D6" t="s">
        <v>152</v>
      </c>
      <c r="E6" t="s">
        <v>153</v>
      </c>
    </row>
    <row r="7" spans="2:12" x14ac:dyDescent="0.25">
      <c r="B7" s="2" t="s">
        <v>26</v>
      </c>
      <c r="C7" s="55">
        <v>7893.7849103999997</v>
      </c>
      <c r="D7" s="55">
        <v>0</v>
      </c>
      <c r="E7" s="55">
        <v>6858.4404993999997</v>
      </c>
    </row>
    <row r="8" spans="2:12" x14ac:dyDescent="0.25">
      <c r="B8" s="2" t="s">
        <v>128</v>
      </c>
      <c r="C8" s="55">
        <v>182.428674</v>
      </c>
      <c r="D8" s="55">
        <v>0</v>
      </c>
      <c r="E8" s="55">
        <v>182.428674</v>
      </c>
    </row>
    <row r="9" spans="2:12" x14ac:dyDescent="0.25">
      <c r="B9" s="2" t="s">
        <v>6</v>
      </c>
      <c r="C9" s="55">
        <v>8076.2135843999995</v>
      </c>
      <c r="D9" s="55">
        <v>0</v>
      </c>
      <c r="E9" s="55">
        <v>7040.8691733999995</v>
      </c>
    </row>
    <row r="11" spans="2:12" x14ac:dyDescent="0.25">
      <c r="B11" s="56"/>
      <c r="C11" s="55"/>
      <c r="D11" s="55"/>
      <c r="E11" s="55"/>
    </row>
    <row r="12" spans="2:12" ht="18.75" x14ac:dyDescent="0.3">
      <c r="B12" s="127" t="s">
        <v>155</v>
      </c>
      <c r="C12" s="127"/>
      <c r="D12" s="127"/>
      <c r="E12" s="127"/>
      <c r="F12" s="127"/>
      <c r="G12" s="127"/>
    </row>
    <row r="13" spans="2:12" x14ac:dyDescent="0.25">
      <c r="H13" s="5"/>
    </row>
    <row r="15" spans="2:12" x14ac:dyDescent="0.25">
      <c r="E15" s="18"/>
      <c r="F15" s="18"/>
    </row>
    <row r="16" spans="2:12" x14ac:dyDescent="0.25">
      <c r="E16" s="18"/>
      <c r="F16" s="18"/>
    </row>
    <row r="17" spans="1:14" x14ac:dyDescent="0.25">
      <c r="B17" s="65"/>
      <c r="C17" s="65"/>
      <c r="D17" s="65"/>
      <c r="E17" s="66"/>
      <c r="F17" s="66"/>
      <c r="N17" s="98"/>
    </row>
    <row r="18" spans="1:14" x14ac:dyDescent="0.25">
      <c r="B18" s="65"/>
      <c r="C18" s="65"/>
      <c r="D18" s="65"/>
      <c r="E18" s="66"/>
      <c r="F18" s="66"/>
    </row>
    <row r="19" spans="1:14" x14ac:dyDescent="0.25">
      <c r="A19" s="18"/>
      <c r="B19" s="65"/>
      <c r="C19" s="65"/>
      <c r="D19" s="65"/>
      <c r="E19" s="66"/>
      <c r="F19" s="66"/>
      <c r="G19" s="18"/>
      <c r="H19" s="18"/>
      <c r="I19" s="18"/>
      <c r="M19" s="97"/>
      <c r="N19" s="18"/>
    </row>
    <row r="20" spans="1:14" x14ac:dyDescent="0.25">
      <c r="A20" s="18"/>
      <c r="B20" s="65"/>
      <c r="C20" s="65"/>
      <c r="D20" s="65"/>
      <c r="E20" s="66"/>
      <c r="F20" s="66"/>
      <c r="G20" s="18"/>
      <c r="H20" s="18"/>
      <c r="I20" s="89"/>
      <c r="M20" s="18"/>
      <c r="N20" s="18"/>
    </row>
    <row r="21" spans="1:14" x14ac:dyDescent="0.25">
      <c r="A21" s="18"/>
      <c r="B21" s="65"/>
      <c r="C21" s="65"/>
      <c r="D21" s="65"/>
      <c r="E21" s="66"/>
      <c r="F21" s="66"/>
      <c r="G21" s="18"/>
      <c r="H21" s="18"/>
      <c r="I21" s="91"/>
      <c r="J21" s="18"/>
      <c r="K21" s="18"/>
      <c r="L21" s="18"/>
      <c r="M21" s="18"/>
      <c r="N21" s="18"/>
    </row>
    <row r="22" spans="1:14" x14ac:dyDescent="0.25">
      <c r="A22" s="18"/>
      <c r="B22" s="65"/>
      <c r="C22" s="65"/>
      <c r="D22" s="65"/>
      <c r="E22" s="66"/>
      <c r="F22" s="66"/>
      <c r="G22" s="18"/>
      <c r="H22" s="18"/>
      <c r="I22" s="18"/>
      <c r="J22" s="18"/>
      <c r="K22" s="18"/>
      <c r="L22" s="18"/>
      <c r="M22" s="18"/>
      <c r="N22" s="18"/>
    </row>
    <row r="23" spans="1:14" x14ac:dyDescent="0.25">
      <c r="A23" s="18"/>
      <c r="B23" s="65"/>
      <c r="C23" s="65"/>
      <c r="D23" s="65"/>
      <c r="E23" s="66"/>
      <c r="F23" s="66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18"/>
      <c r="B24" s="65"/>
      <c r="C24" s="65"/>
      <c r="D24" s="65"/>
      <c r="E24" s="66"/>
      <c r="F24" s="66"/>
      <c r="G24" s="18"/>
      <c r="H24" s="18"/>
      <c r="I24" s="18"/>
      <c r="J24" s="18"/>
      <c r="K24" s="18"/>
      <c r="L24" s="18"/>
      <c r="M24" s="18"/>
      <c r="N24" s="18"/>
    </row>
    <row r="25" spans="1:14" x14ac:dyDescent="0.25">
      <c r="A25" s="18"/>
      <c r="B25" s="65"/>
      <c r="C25" s="65"/>
      <c r="D25" s="65"/>
      <c r="E25" s="66"/>
      <c r="F25" s="66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18"/>
      <c r="B26" s="65"/>
      <c r="C26" s="65"/>
      <c r="D26" s="65"/>
      <c r="E26" s="66"/>
      <c r="F26" s="66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18"/>
      <c r="B27" s="66"/>
      <c r="C27" s="66"/>
      <c r="D27" s="66"/>
      <c r="E27" s="66"/>
      <c r="F27" s="66"/>
      <c r="G27" s="18"/>
      <c r="H27" s="18"/>
      <c r="I27" s="18"/>
      <c r="J27" s="18"/>
      <c r="K27" s="18"/>
      <c r="L27" s="18"/>
      <c r="M27" s="18"/>
      <c r="N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x14ac:dyDescent="0.3">
      <c r="A29" s="18"/>
      <c r="B29" s="126" t="s">
        <v>154</v>
      </c>
      <c r="C29" s="126"/>
      <c r="D29" s="126"/>
      <c r="E29" s="126"/>
      <c r="F29" s="126"/>
      <c r="G29" s="18"/>
      <c r="H29" s="18"/>
      <c r="I29" s="18"/>
      <c r="J29" s="18"/>
      <c r="K29" s="18"/>
      <c r="L29" s="18"/>
      <c r="M29" s="18"/>
      <c r="N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idden="1" outlineLevel="2" x14ac:dyDescent="0.25">
      <c r="A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idden="1" outlineLevel="2" x14ac:dyDescent="0.25">
      <c r="A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collapsed="1" x14ac:dyDescent="0.25">
      <c r="A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F37" s="18"/>
      <c r="G37" s="18"/>
      <c r="H37" s="18"/>
      <c r="I37" s="18"/>
      <c r="J37" s="18"/>
      <c r="K37" s="18"/>
      <c r="L37" s="18"/>
      <c r="M37" s="97"/>
      <c r="N37" s="18"/>
    </row>
    <row r="38" spans="1:14" x14ac:dyDescent="0.25">
      <c r="A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x14ac:dyDescent="0.25">
      <c r="A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x14ac:dyDescent="0.25">
      <c r="A43" s="18"/>
      <c r="B43" s="35"/>
      <c r="C43" s="35"/>
      <c r="D43" s="35"/>
      <c r="E43" s="35"/>
      <c r="F43" s="35"/>
      <c r="G43" s="18"/>
      <c r="H43" s="18"/>
      <c r="I43" s="18"/>
      <c r="J43" s="18"/>
      <c r="K43" s="18"/>
      <c r="L43" s="18"/>
      <c r="M43" s="18"/>
      <c r="N43" s="18"/>
    </row>
    <row r="44" spans="1:14" x14ac:dyDescent="0.25">
      <c r="A44" s="18"/>
      <c r="B44" s="35"/>
      <c r="C44" s="35"/>
      <c r="D44" s="35"/>
      <c r="E44" s="35"/>
      <c r="F44" s="35"/>
      <c r="G44" s="18"/>
      <c r="H44" s="91"/>
      <c r="I44" s="18"/>
      <c r="J44" s="18"/>
      <c r="K44" s="18"/>
      <c r="L44" s="18"/>
      <c r="M44" s="18"/>
      <c r="N44" s="18"/>
    </row>
    <row r="45" spans="1:14" hidden="1" outlineLevel="1" x14ac:dyDescent="0.25">
      <c r="A45" s="18"/>
      <c r="B45" s="111" t="s">
        <v>93</v>
      </c>
      <c r="C45" s="111" t="s">
        <v>158</v>
      </c>
      <c r="D45" s="111" t="s">
        <v>159</v>
      </c>
      <c r="E45" s="111" t="s">
        <v>95</v>
      </c>
      <c r="F45" s="111"/>
      <c r="G45" s="18"/>
      <c r="H45" s="18"/>
      <c r="I45" s="18"/>
      <c r="J45" s="18"/>
      <c r="K45" s="18"/>
      <c r="L45" s="18"/>
      <c r="M45" s="18"/>
      <c r="N45" s="18"/>
    </row>
    <row r="46" spans="1:14" hidden="1" outlineLevel="1" x14ac:dyDescent="0.25">
      <c r="A46" s="18"/>
      <c r="B46" s="112" t="s">
        <v>26</v>
      </c>
      <c r="C46" s="113">
        <f>GETPIVOTDATA("CXP CONSTITUIDAS",$B$6,"DENOMINACIÓN DEL CÓDIGO PRESUPUESTAL
","A-FUNCIONAMIENTO")</f>
        <v>7893.7849103999997</v>
      </c>
      <c r="D46" s="113">
        <f>GETPIVOTDATA("CANCELACIONES CXP",$B$6,"DENOMINACIÓN DEL CÓDIGO PRESUPUESTAL
","A-FUNCIONAMIENTO")</f>
        <v>0</v>
      </c>
      <c r="E46" s="115">
        <f>+GETPIVOTDATA("TOTAL PAGOS",$B$6,"DENOMINACIÓN DEL CÓDIGO PRESUPUESTAL
","A-FUNCIONAMIENTO")/GETPIVOTDATA("CXP CONSTITUIDAS",$B$6,"DENOMINACIÓN DEL CÓDIGO PRESUPUESTAL
","A-FUNCIONAMIENTO")</f>
        <v>0.86884055966157103</v>
      </c>
      <c r="F46" s="114"/>
      <c r="G46" s="18"/>
      <c r="H46" s="18"/>
      <c r="I46" s="18"/>
      <c r="J46" s="18"/>
      <c r="K46" s="18"/>
      <c r="L46" s="18"/>
      <c r="M46" s="18"/>
      <c r="N46" s="18"/>
    </row>
    <row r="47" spans="1:14" hidden="1" outlineLevel="1" x14ac:dyDescent="0.25">
      <c r="A47" s="35"/>
      <c r="B47" s="112" t="s">
        <v>128</v>
      </c>
      <c r="C47" s="113">
        <f>+GETPIVOTDATA("CXP CONSTITUIDAS",$B$6,"DENOMINACIÓN DEL CÓDIGO PRESUPUESTAL
","C-INVERSIÓN")</f>
        <v>182.428674</v>
      </c>
      <c r="D47" s="113">
        <f>GETPIVOTDATA("CANCELACIONES CXP",$B$6,"DENOMINACIÓN DEL CÓDIGO PRESUPUESTAL
","C-INVERSIÓN")</f>
        <v>0</v>
      </c>
      <c r="E47" s="115">
        <f>+GETPIVOTDATA("TOTAL PAGOS",$B$6,"DENOMINACIÓN DEL CÓDIGO PRESUPUESTAL
","C-INVERSIÓN")/GETPIVOTDATA("CXP CONSTITUIDAS",$B$6,"DENOMINACIÓN DEL CÓDIGO PRESUPUESTAL
","C-INVERSIÓN")</f>
        <v>1</v>
      </c>
      <c r="F47" s="114"/>
      <c r="G47" s="35"/>
      <c r="H47" s="35"/>
      <c r="I47" s="35"/>
      <c r="J47" s="18"/>
      <c r="K47" s="18"/>
      <c r="L47" s="18"/>
      <c r="M47" s="18"/>
      <c r="N47" s="18"/>
    </row>
    <row r="48" spans="1:14" hidden="1" outlineLevel="1" x14ac:dyDescent="0.25">
      <c r="A48" s="35"/>
      <c r="B48" s="116" t="s">
        <v>6</v>
      </c>
      <c r="C48" s="117">
        <f>+C46+C47</f>
        <v>8076.2135843999995</v>
      </c>
      <c r="D48" s="117">
        <f>+D46+D47</f>
        <v>0</v>
      </c>
      <c r="E48" s="118">
        <f>+GETPIVOTDATA("TOTAL PAGOS",$B$6)/GETPIVOTDATA("CXP CONSTITUIDAS",$B$6)</f>
        <v>0.87180324044427582</v>
      </c>
      <c r="F48" s="115"/>
      <c r="G48" s="35"/>
      <c r="H48" s="35"/>
      <c r="I48" s="35"/>
      <c r="J48" s="20"/>
      <c r="K48" s="20"/>
      <c r="L48" s="18"/>
      <c r="M48" s="18"/>
      <c r="N48" s="18"/>
    </row>
    <row r="49" spans="1:14" s="11" customFormat="1" collapsed="1" x14ac:dyDescent="0.25">
      <c r="A49" s="36"/>
      <c r="B49" s="116"/>
      <c r="C49" s="119"/>
      <c r="D49" s="120"/>
      <c r="E49" s="121"/>
      <c r="F49" s="121"/>
      <c r="G49" s="36"/>
      <c r="H49" s="36"/>
      <c r="I49" s="36"/>
      <c r="L49" s="27"/>
      <c r="M49" s="27"/>
      <c r="N49" s="27"/>
    </row>
    <row r="50" spans="1:14" s="11" customFormat="1" x14ac:dyDescent="0.25">
      <c r="A50" s="36"/>
      <c r="B50" s="36"/>
      <c r="C50" s="36"/>
      <c r="D50" s="36"/>
      <c r="E50" s="36"/>
      <c r="F50" s="36"/>
      <c r="G50" s="36"/>
      <c r="H50" s="36"/>
      <c r="I50" s="36"/>
      <c r="L50" s="27"/>
      <c r="M50" s="27"/>
      <c r="N50" s="27"/>
    </row>
    <row r="51" spans="1:14" s="11" customFormat="1" x14ac:dyDescent="0.25">
      <c r="A51" s="36"/>
      <c r="B51" s="35"/>
      <c r="C51" s="35"/>
      <c r="D51" s="35"/>
      <c r="E51" s="35"/>
      <c r="F51" s="35"/>
      <c r="G51" s="36"/>
      <c r="H51" s="36"/>
      <c r="I51" s="36"/>
      <c r="L51" s="27"/>
      <c r="M51" s="27"/>
      <c r="N51" s="27"/>
    </row>
    <row r="52" spans="1:14" s="11" customFormat="1" x14ac:dyDescent="0.25">
      <c r="A52" s="36"/>
      <c r="B52" s="35"/>
      <c r="C52" s="35"/>
      <c r="D52" s="35"/>
      <c r="E52" s="35"/>
      <c r="F52" s="35"/>
      <c r="G52" s="36"/>
      <c r="H52" s="36"/>
      <c r="I52" s="36"/>
      <c r="L52" s="27"/>
      <c r="M52" s="27"/>
      <c r="N52" s="27"/>
    </row>
    <row r="53" spans="1:14" s="11" customFormat="1" x14ac:dyDescent="0.25">
      <c r="A53" s="36"/>
      <c r="B53" s="35"/>
      <c r="C53" s="35"/>
      <c r="D53" s="35"/>
      <c r="E53" s="35"/>
      <c r="F53" s="35"/>
      <c r="G53" s="36"/>
      <c r="H53" s="36"/>
      <c r="I53" s="36"/>
      <c r="L53" s="27"/>
      <c r="M53" s="27"/>
      <c r="N53" s="27"/>
    </row>
    <row r="54" spans="1:14" s="11" customFormat="1" x14ac:dyDescent="0.25">
      <c r="A54" s="36"/>
      <c r="B54" s="35"/>
      <c r="C54" s="35"/>
      <c r="D54" s="35"/>
      <c r="E54" s="35"/>
      <c r="F54" s="35"/>
      <c r="G54" s="36"/>
      <c r="H54" s="36"/>
      <c r="I54" s="36"/>
      <c r="L54" s="28"/>
      <c r="M54" s="28"/>
      <c r="N54" s="28"/>
    </row>
    <row r="55" spans="1:14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0"/>
      <c r="K57" s="20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0"/>
      <c r="K58" s="20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0"/>
      <c r="K59" s="20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0"/>
      <c r="K60" s="20"/>
      <c r="L60" s="29"/>
      <c r="M60" s="29"/>
      <c r="N60" s="29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  <c r="K61" s="20"/>
      <c r="L61" s="29"/>
      <c r="M61" s="29"/>
      <c r="N61" s="29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  <c r="J62" s="20"/>
      <c r="K62" s="20"/>
      <c r="L62" s="29"/>
      <c r="M62" s="29"/>
      <c r="N62" s="29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  <c r="J63" s="20"/>
      <c r="K63" s="20"/>
      <c r="L63" s="29"/>
      <c r="M63" s="29"/>
      <c r="N63" s="29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  <c r="J64" s="20"/>
      <c r="K64" s="20"/>
      <c r="L64" s="29"/>
      <c r="M64" s="29"/>
      <c r="N64" s="29"/>
    </row>
    <row r="65" spans="1:14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25"/>
      <c r="K65" s="29"/>
      <c r="L65" s="29"/>
      <c r="M65" s="29"/>
      <c r="N65" s="29"/>
    </row>
    <row r="66" spans="1:14" x14ac:dyDescent="0.25">
      <c r="A66" s="35"/>
      <c r="B66" s="35"/>
      <c r="C66" s="35"/>
      <c r="D66" s="35"/>
      <c r="E66" s="35"/>
      <c r="F66" s="35"/>
      <c r="G66" s="35"/>
      <c r="H66" s="35"/>
      <c r="I66" s="35"/>
      <c r="J66" s="25"/>
      <c r="K66" s="29"/>
      <c r="L66" s="29"/>
      <c r="M66" s="29"/>
      <c r="N66" s="29"/>
    </row>
    <row r="67" spans="1:14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25"/>
      <c r="K67" s="29"/>
      <c r="L67" s="29"/>
      <c r="M67" s="29"/>
      <c r="N67" s="29"/>
    </row>
    <row r="68" spans="1:14" x14ac:dyDescent="0.25">
      <c r="A68" s="35"/>
      <c r="B68" s="35"/>
      <c r="C68" s="35"/>
      <c r="D68" s="35"/>
      <c r="E68" s="35"/>
      <c r="F68" s="35"/>
      <c r="G68" s="35"/>
      <c r="H68" s="35"/>
      <c r="I68" s="35"/>
      <c r="J68" s="26"/>
    </row>
    <row r="69" spans="1:14" x14ac:dyDescent="0.25">
      <c r="A69" s="35"/>
      <c r="B69" s="35"/>
      <c r="C69" s="35"/>
      <c r="D69" s="35"/>
      <c r="E69" s="35"/>
      <c r="F69" s="35"/>
      <c r="G69" s="35"/>
      <c r="H69" s="35"/>
      <c r="I69" s="35"/>
      <c r="J69" s="20"/>
    </row>
    <row r="70" spans="1:14" x14ac:dyDescent="0.25">
      <c r="A70" s="35"/>
      <c r="B70" s="35"/>
      <c r="C70" s="35"/>
      <c r="D70" s="35"/>
      <c r="E70" s="35"/>
      <c r="F70" s="35"/>
      <c r="G70" s="35"/>
      <c r="H70" s="35"/>
      <c r="I70" s="35"/>
    </row>
    <row r="71" spans="1:14" x14ac:dyDescent="0.25">
      <c r="A71" s="35"/>
      <c r="B71" s="35"/>
      <c r="C71" s="35"/>
      <c r="D71" s="35"/>
      <c r="E71" s="35"/>
      <c r="F71" s="35"/>
      <c r="G71" s="35"/>
      <c r="H71" s="35"/>
      <c r="I71" s="35"/>
    </row>
    <row r="72" spans="1:14" x14ac:dyDescent="0.25">
      <c r="A72" s="35"/>
      <c r="B72" s="14"/>
      <c r="C72" s="14"/>
      <c r="D72" s="14"/>
      <c r="E72" s="14"/>
      <c r="F72" s="14"/>
      <c r="G72" s="35"/>
      <c r="H72" s="35"/>
      <c r="I72" s="35"/>
    </row>
    <row r="73" spans="1:14" x14ac:dyDescent="0.25">
      <c r="A73" s="35"/>
      <c r="G73" s="35"/>
      <c r="H73" s="35"/>
      <c r="I73" s="35"/>
    </row>
    <row r="74" spans="1:14" x14ac:dyDescent="0.25">
      <c r="A74" s="35"/>
      <c r="G74" s="35"/>
      <c r="H74" s="35"/>
      <c r="I74" s="35"/>
    </row>
    <row r="75" spans="1:14" x14ac:dyDescent="0.25">
      <c r="A75" s="35"/>
      <c r="G75" s="35"/>
      <c r="H75" s="35"/>
      <c r="I75" s="35"/>
    </row>
    <row r="76" spans="1:14" x14ac:dyDescent="0.25">
      <c r="A76" s="14"/>
      <c r="G76" s="14"/>
      <c r="H76" s="14"/>
      <c r="I76" s="14"/>
    </row>
  </sheetData>
  <mergeCells count="2">
    <mergeCell ref="B12:G12"/>
    <mergeCell ref="B29:F29"/>
  </mergeCell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theme="5" tint="-0.249977111117893"/>
    <pageSetUpPr fitToPage="1"/>
  </sheetPr>
  <dimension ref="B6:F39"/>
  <sheetViews>
    <sheetView showGridLines="0" showRowColHeaders="0" zoomScaleNormal="100" workbookViewId="0">
      <selection activeCell="E7" sqref="E7"/>
    </sheetView>
  </sheetViews>
  <sheetFormatPr baseColWidth="10" defaultRowHeight="15" x14ac:dyDescent="0.25"/>
  <cols>
    <col min="2" max="2" width="31.140625" bestFit="1" customWidth="1"/>
    <col min="3" max="3" width="23.5703125" customWidth="1"/>
  </cols>
  <sheetData>
    <row r="6" spans="2:6" x14ac:dyDescent="0.25">
      <c r="B6" s="4" t="s">
        <v>5</v>
      </c>
      <c r="C6" t="s">
        <v>21</v>
      </c>
    </row>
    <row r="7" spans="2:6" x14ac:dyDescent="0.25">
      <c r="B7" s="2" t="s">
        <v>26</v>
      </c>
      <c r="C7" s="23">
        <v>99785.985369999995</v>
      </c>
    </row>
    <row r="8" spans="2:6" x14ac:dyDescent="0.25">
      <c r="B8" s="2" t="s">
        <v>27</v>
      </c>
      <c r="C8" s="23">
        <v>1167604.3350470001</v>
      </c>
    </row>
    <row r="9" spans="2:6" x14ac:dyDescent="0.25">
      <c r="B9" s="2" t="s">
        <v>28</v>
      </c>
      <c r="C9" s="23">
        <v>4505182.0250120005</v>
      </c>
    </row>
    <row r="10" spans="2:6" x14ac:dyDescent="0.25">
      <c r="B10" s="2" t="s">
        <v>6</v>
      </c>
      <c r="C10" s="23">
        <v>5772572.3454290004</v>
      </c>
    </row>
    <row r="12" spans="2:6" x14ac:dyDescent="0.25">
      <c r="F12" s="5"/>
    </row>
    <row r="38" ht="14.25" customHeight="1" x14ac:dyDescent="0.25"/>
    <row r="39" hidden="1" x14ac:dyDescent="0.25"/>
  </sheetData>
  <pageMargins left="0.70866141732283472" right="0.70866141732283472" top="0.74803149606299213" bottom="0.74803149606299213" header="0.31496062992125984" footer="0.31496062992125984"/>
  <pageSetup scale="74" orientation="landscape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G21"/>
  <sheetViews>
    <sheetView topLeftCell="A7" zoomScale="86" zoomScaleNormal="86" workbookViewId="0"/>
  </sheetViews>
  <sheetFormatPr baseColWidth="10" defaultRowHeight="15" x14ac:dyDescent="0.25"/>
  <cols>
    <col min="1" max="1" width="28.7109375" style="3" customWidth="1"/>
    <col min="2" max="2" width="46" customWidth="1"/>
    <col min="3" max="3" width="29" style="1" customWidth="1"/>
    <col min="4" max="5" width="26.7109375" style="1" bestFit="1" customWidth="1"/>
    <col min="6" max="6" width="27" style="1" customWidth="1"/>
    <col min="7" max="7" width="26.28515625" style="1" customWidth="1"/>
  </cols>
  <sheetData>
    <row r="1" spans="1:7" ht="30" x14ac:dyDescent="0.25">
      <c r="A1" s="30" t="s">
        <v>0</v>
      </c>
      <c r="B1" s="30" t="s">
        <v>1</v>
      </c>
      <c r="C1" s="31" t="s">
        <v>7</v>
      </c>
      <c r="D1" s="31" t="s">
        <v>8</v>
      </c>
      <c r="E1" s="31" t="s">
        <v>9</v>
      </c>
      <c r="F1" s="31" t="s">
        <v>10</v>
      </c>
      <c r="G1" s="31" t="s">
        <v>11</v>
      </c>
    </row>
    <row r="2" spans="1:7" x14ac:dyDescent="0.25">
      <c r="A2" s="32" t="s">
        <v>2</v>
      </c>
      <c r="B2" s="34" t="s">
        <v>26</v>
      </c>
      <c r="C2" s="33">
        <f>+C12/1000000</f>
        <v>99785.985369999995</v>
      </c>
      <c r="D2" s="33">
        <f t="shared" ref="D2:G2" si="0">+D12/1000000</f>
        <v>66298.719061569995</v>
      </c>
      <c r="E2" s="33">
        <f t="shared" si="0"/>
        <v>39204.88682064</v>
      </c>
      <c r="F2" s="33">
        <f t="shared" si="0"/>
        <v>32118.097123060001</v>
      </c>
      <c r="G2" s="33">
        <f t="shared" si="0"/>
        <v>30994.108885060003</v>
      </c>
    </row>
    <row r="3" spans="1:7" x14ac:dyDescent="0.25">
      <c r="A3" s="32" t="s">
        <v>22</v>
      </c>
      <c r="B3" s="34" t="s">
        <v>29</v>
      </c>
      <c r="C3" s="33">
        <f t="shared" ref="C3:G8" si="1">+C13/1000000</f>
        <v>51464.345000000001</v>
      </c>
      <c r="D3" s="33">
        <f t="shared" si="1"/>
        <v>49182.286999999997</v>
      </c>
      <c r="E3" s="33">
        <f t="shared" si="1"/>
        <v>24057.77067229</v>
      </c>
      <c r="F3" s="33">
        <f t="shared" si="1"/>
        <v>24057.77067229</v>
      </c>
      <c r="G3" s="33">
        <f t="shared" si="1"/>
        <v>22936.149588290002</v>
      </c>
    </row>
    <row r="4" spans="1:7" x14ac:dyDescent="0.25">
      <c r="A4" s="32" t="s">
        <v>23</v>
      </c>
      <c r="B4" s="34" t="s">
        <v>30</v>
      </c>
      <c r="C4" s="33">
        <f t="shared" si="1"/>
        <v>19419.071</v>
      </c>
      <c r="D4" s="33">
        <f t="shared" si="1"/>
        <v>16873.918061569999</v>
      </c>
      <c r="E4" s="33">
        <f t="shared" si="1"/>
        <v>15061.75765831</v>
      </c>
      <c r="F4" s="33">
        <f t="shared" si="1"/>
        <v>7974.9679607300004</v>
      </c>
      <c r="G4" s="33">
        <f t="shared" si="1"/>
        <v>7972.6008067300008</v>
      </c>
    </row>
    <row r="5" spans="1:7" x14ac:dyDescent="0.25">
      <c r="A5" s="32" t="s">
        <v>24</v>
      </c>
      <c r="B5" s="34" t="s">
        <v>31</v>
      </c>
      <c r="C5" s="33">
        <f t="shared" si="1"/>
        <v>14851.09737</v>
      </c>
      <c r="D5" s="33">
        <f t="shared" si="1"/>
        <v>242.51400000000001</v>
      </c>
      <c r="E5" s="33">
        <f t="shared" si="1"/>
        <v>85.358490039999992</v>
      </c>
      <c r="F5" s="33">
        <f t="shared" si="1"/>
        <v>85.358490039999992</v>
      </c>
      <c r="G5" s="33">
        <f t="shared" si="1"/>
        <v>85.358490039999992</v>
      </c>
    </row>
    <row r="6" spans="1:7" ht="30" x14ac:dyDescent="0.25">
      <c r="A6" s="32" t="s">
        <v>25</v>
      </c>
      <c r="B6" s="34" t="s">
        <v>32</v>
      </c>
      <c r="C6" s="33">
        <f t="shared" si="1"/>
        <v>14051.472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</row>
    <row r="7" spans="1:7" x14ac:dyDescent="0.25">
      <c r="A7" s="32" t="s">
        <v>3</v>
      </c>
      <c r="B7" s="34" t="s">
        <v>27</v>
      </c>
      <c r="C7" s="33">
        <f t="shared" si="1"/>
        <v>1167604.3350470001</v>
      </c>
      <c r="D7" s="33">
        <f t="shared" si="1"/>
        <v>680805.07137000002</v>
      </c>
      <c r="E7" s="33">
        <f t="shared" si="1"/>
        <v>680805.07137000002</v>
      </c>
      <c r="F7" s="33">
        <f t="shared" si="1"/>
        <v>680805.07137000002</v>
      </c>
      <c r="G7" s="33">
        <f t="shared" si="1"/>
        <v>680805.07137000002</v>
      </c>
    </row>
    <row r="8" spans="1:7" x14ac:dyDescent="0.25">
      <c r="A8" s="32" t="s">
        <v>4</v>
      </c>
      <c r="B8" s="34" t="s">
        <v>28</v>
      </c>
      <c r="C8" s="33">
        <f t="shared" si="1"/>
        <v>4505182.0250120005</v>
      </c>
      <c r="D8" s="33">
        <f t="shared" si="1"/>
        <v>4346622.5258451002</v>
      </c>
      <c r="E8" s="33">
        <f t="shared" si="1"/>
        <v>4337557.9018160393</v>
      </c>
      <c r="F8" s="33">
        <f t="shared" si="1"/>
        <v>341258.58662765997</v>
      </c>
      <c r="G8" s="33">
        <f t="shared" si="1"/>
        <v>340907.11477966997</v>
      </c>
    </row>
    <row r="9" spans="1:7" x14ac:dyDescent="0.25">
      <c r="B9" s="1"/>
      <c r="F9"/>
      <c r="G9"/>
    </row>
    <row r="10" spans="1:7" ht="15.75" thickBot="1" x14ac:dyDescent="0.3"/>
    <row r="11" spans="1:7" ht="39" thickBot="1" x14ac:dyDescent="0.3">
      <c r="B11" s="71" t="s">
        <v>115</v>
      </c>
      <c r="C11" s="74" t="s">
        <v>118</v>
      </c>
      <c r="D11" s="74" t="s">
        <v>119</v>
      </c>
      <c r="E11" s="74" t="s">
        <v>120</v>
      </c>
      <c r="F11" s="74" t="s">
        <v>121</v>
      </c>
      <c r="G11" s="75" t="s">
        <v>122</v>
      </c>
    </row>
    <row r="12" spans="1:7" ht="19.5" thickBot="1" x14ac:dyDescent="0.3">
      <c r="B12" s="72" t="s">
        <v>116</v>
      </c>
      <c r="C12" s="76">
        <v>99785985370</v>
      </c>
      <c r="D12" s="76">
        <v>66298719061.57</v>
      </c>
      <c r="E12" s="76">
        <v>39204886820.639999</v>
      </c>
      <c r="F12" s="76">
        <v>32118097123.060001</v>
      </c>
      <c r="G12" s="77">
        <v>30994108885.060001</v>
      </c>
    </row>
    <row r="13" spans="1:7" ht="15.75" x14ac:dyDescent="0.25">
      <c r="B13" s="73" t="s">
        <v>117</v>
      </c>
      <c r="C13" s="80">
        <v>51464345000</v>
      </c>
      <c r="D13" s="80">
        <v>49182287000</v>
      </c>
      <c r="E13" s="80">
        <v>24057770672.290001</v>
      </c>
      <c r="F13" s="80">
        <v>24057770672.290001</v>
      </c>
      <c r="G13" s="81">
        <v>22936149588.290001</v>
      </c>
    </row>
    <row r="14" spans="1:7" ht="15.75" x14ac:dyDescent="0.25">
      <c r="B14" s="78" t="s">
        <v>123</v>
      </c>
      <c r="C14" s="82">
        <v>19419071000</v>
      </c>
      <c r="D14" s="82">
        <v>16873918061.57</v>
      </c>
      <c r="E14" s="82">
        <v>15061757658.309999</v>
      </c>
      <c r="F14" s="82">
        <v>7974967960.7300005</v>
      </c>
      <c r="G14" s="83">
        <v>7972600806.7300005</v>
      </c>
    </row>
    <row r="15" spans="1:7" ht="15.75" x14ac:dyDescent="0.25">
      <c r="B15" s="78" t="s">
        <v>124</v>
      </c>
      <c r="C15" s="82">
        <v>14851097370</v>
      </c>
      <c r="D15" s="82">
        <v>242514000</v>
      </c>
      <c r="E15" s="82">
        <v>85358490.039999992</v>
      </c>
      <c r="F15" s="82">
        <v>85358490.039999992</v>
      </c>
      <c r="G15" s="83">
        <v>85358490.039999992</v>
      </c>
    </row>
    <row r="16" spans="1:7" ht="32.25" thickBot="1" x14ac:dyDescent="0.3">
      <c r="B16" s="78" t="s">
        <v>125</v>
      </c>
      <c r="C16" s="82">
        <v>14051472000</v>
      </c>
      <c r="D16" s="82">
        <v>0</v>
      </c>
      <c r="E16" s="82">
        <v>0</v>
      </c>
      <c r="F16" s="82">
        <v>0</v>
      </c>
      <c r="G16" s="83">
        <v>0</v>
      </c>
    </row>
    <row r="17" spans="2:7" ht="19.5" thickBot="1" x14ac:dyDescent="0.3">
      <c r="B17" s="72" t="s">
        <v>126</v>
      </c>
      <c r="C17" s="76">
        <v>1167604335047</v>
      </c>
      <c r="D17" s="76">
        <v>680805071370</v>
      </c>
      <c r="E17" s="76">
        <v>680805071370</v>
      </c>
      <c r="F17" s="76">
        <v>680805071370</v>
      </c>
      <c r="G17" s="77">
        <v>680805071370</v>
      </c>
    </row>
    <row r="18" spans="2:7" ht="19.5" thickBot="1" x14ac:dyDescent="0.3">
      <c r="B18" s="72" t="s">
        <v>127</v>
      </c>
      <c r="C18" s="76">
        <v>4505182025012</v>
      </c>
      <c r="D18" s="76">
        <v>4346622525845.1001</v>
      </c>
      <c r="E18" s="76">
        <v>4337557901816.0396</v>
      </c>
      <c r="F18" s="76">
        <v>341258586627.65997</v>
      </c>
      <c r="G18" s="77">
        <v>340907114779.66998</v>
      </c>
    </row>
    <row r="20" spans="2:7" x14ac:dyDescent="0.25">
      <c r="C20" s="84">
        <f>+SUM(C13:C18)</f>
        <v>5772572345429</v>
      </c>
      <c r="D20" s="84">
        <f t="shared" ref="D20:G20" si="2">+SUM(D13:D18)</f>
        <v>5093726316276.6699</v>
      </c>
      <c r="E20" s="84">
        <f t="shared" si="2"/>
        <v>5057567860006.6797</v>
      </c>
      <c r="F20" s="84">
        <f t="shared" si="2"/>
        <v>1054181755120.72</v>
      </c>
      <c r="G20" s="84">
        <f t="shared" si="2"/>
        <v>1052706295034.73</v>
      </c>
    </row>
    <row r="21" spans="2:7" x14ac:dyDescent="0.25">
      <c r="C21" s="84"/>
      <c r="D21" s="84"/>
      <c r="E21" s="84"/>
      <c r="F21" s="84"/>
      <c r="G21" s="84"/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B1:I38"/>
  <sheetViews>
    <sheetView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I36" sqref="I36"/>
    </sheetView>
  </sheetViews>
  <sheetFormatPr baseColWidth="10" defaultRowHeight="15" x14ac:dyDescent="0.25"/>
  <cols>
    <col min="2" max="2" width="15.42578125" customWidth="1"/>
    <col min="3" max="3" width="94.42578125" customWidth="1"/>
    <col min="4" max="4" width="23" style="41" bestFit="1" customWidth="1"/>
    <col min="5" max="5" width="33.28515625" style="41" bestFit="1" customWidth="1"/>
    <col min="6" max="6" width="30.7109375" style="41" bestFit="1" customWidth="1"/>
    <col min="7" max="7" width="28.28515625" style="41" customWidth="1"/>
    <col min="8" max="8" width="23" style="41" bestFit="1" customWidth="1"/>
    <col min="9" max="9" width="37.7109375" style="41" bestFit="1" customWidth="1"/>
  </cols>
  <sheetData>
    <row r="1" spans="2:9" ht="15.75" thickBot="1" x14ac:dyDescent="0.3">
      <c r="B1" s="22" t="s">
        <v>33</v>
      </c>
      <c r="C1" s="22" t="s">
        <v>1</v>
      </c>
      <c r="D1" s="92" t="s">
        <v>7</v>
      </c>
      <c r="E1" s="92" t="s">
        <v>8</v>
      </c>
      <c r="F1" s="92" t="s">
        <v>9</v>
      </c>
      <c r="G1" s="92" t="s">
        <v>10</v>
      </c>
      <c r="H1" s="92" t="s">
        <v>14</v>
      </c>
      <c r="I1" s="93" t="s">
        <v>114</v>
      </c>
    </row>
    <row r="2" spans="2:9" ht="15.75" thickTop="1" x14ac:dyDescent="0.25">
      <c r="B2" s="21" t="s">
        <v>34</v>
      </c>
      <c r="C2" s="85" t="s">
        <v>105</v>
      </c>
      <c r="D2" s="86">
        <v>199229942693</v>
      </c>
      <c r="E2" s="86">
        <v>199229942693</v>
      </c>
      <c r="F2" s="86">
        <v>199229942693</v>
      </c>
      <c r="G2" s="86">
        <v>667460180</v>
      </c>
      <c r="H2" s="86">
        <v>667460180</v>
      </c>
      <c r="I2" s="94">
        <v>0</v>
      </c>
    </row>
    <row r="3" spans="2:9" x14ac:dyDescent="0.25">
      <c r="B3" s="21" t="s">
        <v>35</v>
      </c>
      <c r="C3" s="85" t="s">
        <v>36</v>
      </c>
      <c r="D3" s="86">
        <v>3111246158</v>
      </c>
      <c r="E3" s="86">
        <v>3111246158</v>
      </c>
      <c r="F3" s="86">
        <v>3111246158</v>
      </c>
      <c r="G3" s="86">
        <v>0</v>
      </c>
      <c r="H3" s="86">
        <v>0</v>
      </c>
      <c r="I3" s="95">
        <v>0</v>
      </c>
    </row>
    <row r="4" spans="2:9" x14ac:dyDescent="0.25">
      <c r="B4" s="21" t="s">
        <v>64</v>
      </c>
      <c r="C4" s="85" t="s">
        <v>48</v>
      </c>
      <c r="D4" s="86">
        <v>267568660974</v>
      </c>
      <c r="E4" s="86">
        <v>267568660974</v>
      </c>
      <c r="F4" s="86">
        <v>267568660974</v>
      </c>
      <c r="G4" s="86">
        <v>515340818</v>
      </c>
      <c r="H4" s="86">
        <v>515340818</v>
      </c>
      <c r="I4" s="95">
        <v>0</v>
      </c>
    </row>
    <row r="5" spans="2:9" x14ac:dyDescent="0.25">
      <c r="B5" s="21" t="s">
        <v>65</v>
      </c>
      <c r="C5" s="85" t="s">
        <v>49</v>
      </c>
      <c r="D5" s="86">
        <v>175859178607</v>
      </c>
      <c r="E5" s="86">
        <v>175859178607</v>
      </c>
      <c r="F5" s="86">
        <v>175859178607</v>
      </c>
      <c r="G5" s="86">
        <v>589163443</v>
      </c>
      <c r="H5" s="86">
        <v>589163443</v>
      </c>
      <c r="I5" s="95">
        <v>0</v>
      </c>
    </row>
    <row r="6" spans="2:9" x14ac:dyDescent="0.25">
      <c r="B6" s="21" t="s">
        <v>66</v>
      </c>
      <c r="C6" s="85" t="s">
        <v>50</v>
      </c>
      <c r="D6" s="86">
        <v>253083219752</v>
      </c>
      <c r="E6" s="86">
        <v>253083219752</v>
      </c>
      <c r="F6" s="86">
        <v>253083219752</v>
      </c>
      <c r="G6" s="86">
        <v>8076357952</v>
      </c>
      <c r="H6" s="86">
        <v>8076357952</v>
      </c>
      <c r="I6" s="95">
        <v>0</v>
      </c>
    </row>
    <row r="7" spans="2:9" x14ac:dyDescent="0.25">
      <c r="B7" s="21" t="s">
        <v>67</v>
      </c>
      <c r="C7" s="85" t="s">
        <v>106</v>
      </c>
      <c r="D7" s="86">
        <v>243923443489</v>
      </c>
      <c r="E7" s="86">
        <v>243923443489</v>
      </c>
      <c r="F7" s="86">
        <v>243923443489</v>
      </c>
      <c r="G7" s="86">
        <v>21653320129</v>
      </c>
      <c r="H7" s="86">
        <v>21653320129</v>
      </c>
      <c r="I7" s="95">
        <v>0</v>
      </c>
    </row>
    <row r="8" spans="2:9" x14ac:dyDescent="0.25">
      <c r="B8" s="21" t="s">
        <v>68</v>
      </c>
      <c r="C8" s="85" t="s">
        <v>51</v>
      </c>
      <c r="D8" s="86">
        <v>173754342655</v>
      </c>
      <c r="E8" s="86">
        <v>173754342655</v>
      </c>
      <c r="F8" s="86">
        <v>173754342655</v>
      </c>
      <c r="G8" s="86">
        <v>26218470693</v>
      </c>
      <c r="H8" s="86">
        <v>26218470693</v>
      </c>
      <c r="I8" s="95">
        <v>0</v>
      </c>
    </row>
    <row r="9" spans="2:9" x14ac:dyDescent="0.25">
      <c r="B9" s="21" t="s">
        <v>69</v>
      </c>
      <c r="C9" s="85" t="s">
        <v>52</v>
      </c>
      <c r="D9" s="86">
        <v>188036887431</v>
      </c>
      <c r="E9" s="86">
        <v>188036887431</v>
      </c>
      <c r="F9" s="86">
        <v>188036887431</v>
      </c>
      <c r="G9" s="86">
        <v>31914916292</v>
      </c>
      <c r="H9" s="86">
        <v>31914916292</v>
      </c>
      <c r="I9" s="95">
        <v>0</v>
      </c>
    </row>
    <row r="10" spans="2:9" x14ac:dyDescent="0.25">
      <c r="B10" s="21" t="s">
        <v>70</v>
      </c>
      <c r="C10" s="85" t="s">
        <v>53</v>
      </c>
      <c r="D10" s="86">
        <v>230526549416</v>
      </c>
      <c r="E10" s="86">
        <v>230526549416</v>
      </c>
      <c r="F10" s="86">
        <v>230526549416</v>
      </c>
      <c r="G10" s="86">
        <v>27184528940</v>
      </c>
      <c r="H10" s="86">
        <v>27184528940</v>
      </c>
      <c r="I10" s="95">
        <v>0</v>
      </c>
    </row>
    <row r="11" spans="2:9" x14ac:dyDescent="0.25">
      <c r="B11" s="21" t="s">
        <v>71</v>
      </c>
      <c r="C11" s="85" t="s">
        <v>133</v>
      </c>
      <c r="D11" s="86">
        <v>12654096592</v>
      </c>
      <c r="E11" s="86">
        <v>11978878621.5</v>
      </c>
      <c r="F11" s="86">
        <v>11289282281.690001</v>
      </c>
      <c r="G11" s="86">
        <v>4537953796.1700001</v>
      </c>
      <c r="H11" s="86">
        <v>4535203686.1700001</v>
      </c>
      <c r="I11" s="95">
        <v>0</v>
      </c>
    </row>
    <row r="12" spans="2:9" x14ac:dyDescent="0.25">
      <c r="B12" s="21" t="s">
        <v>72</v>
      </c>
      <c r="C12" s="85" t="s">
        <v>54</v>
      </c>
      <c r="D12" s="86">
        <v>222571821813</v>
      </c>
      <c r="E12" s="86">
        <v>222571821813</v>
      </c>
      <c r="F12" s="86">
        <v>222571821813</v>
      </c>
      <c r="G12" s="86">
        <v>7839829655</v>
      </c>
      <c r="H12" s="86">
        <v>7839829655</v>
      </c>
      <c r="I12" s="95">
        <v>0</v>
      </c>
    </row>
    <row r="13" spans="2:9" x14ac:dyDescent="0.25">
      <c r="B13" s="21" t="s">
        <v>73</v>
      </c>
      <c r="C13" s="85" t="s">
        <v>107</v>
      </c>
      <c r="D13" s="86">
        <v>256174672458</v>
      </c>
      <c r="E13" s="86">
        <v>256174672458</v>
      </c>
      <c r="F13" s="86">
        <v>256174672458</v>
      </c>
      <c r="G13" s="86">
        <v>783848182</v>
      </c>
      <c r="H13" s="86">
        <v>783848182</v>
      </c>
      <c r="I13" s="95">
        <v>0</v>
      </c>
    </row>
    <row r="14" spans="2:9" x14ac:dyDescent="0.25">
      <c r="B14" s="21" t="s">
        <v>74</v>
      </c>
      <c r="C14" s="85" t="s">
        <v>108</v>
      </c>
      <c r="D14" s="86">
        <v>133566456234</v>
      </c>
      <c r="E14" s="86">
        <v>133566456234</v>
      </c>
      <c r="F14" s="86">
        <v>133566456234</v>
      </c>
      <c r="G14" s="86">
        <v>426302018</v>
      </c>
      <c r="H14" s="86">
        <v>426302018</v>
      </c>
      <c r="I14" s="95">
        <v>0</v>
      </c>
    </row>
    <row r="15" spans="2:9" x14ac:dyDescent="0.25">
      <c r="B15" s="21" t="s">
        <v>75</v>
      </c>
      <c r="C15" s="85" t="s">
        <v>109</v>
      </c>
      <c r="D15" s="86">
        <v>92126982346</v>
      </c>
      <c r="E15" s="86">
        <v>92126982346</v>
      </c>
      <c r="F15" s="86">
        <v>92126982346</v>
      </c>
      <c r="G15" s="86">
        <v>308643829</v>
      </c>
      <c r="H15" s="86">
        <v>308643829</v>
      </c>
      <c r="I15" s="95">
        <v>0</v>
      </c>
    </row>
    <row r="16" spans="2:9" x14ac:dyDescent="0.25">
      <c r="B16" s="21" t="s">
        <v>76</v>
      </c>
      <c r="C16" s="85" t="s">
        <v>55</v>
      </c>
      <c r="D16" s="86">
        <v>177242188803</v>
      </c>
      <c r="E16" s="86">
        <v>177242188803</v>
      </c>
      <c r="F16" s="86">
        <v>177242188803</v>
      </c>
      <c r="G16" s="86">
        <v>12868469971</v>
      </c>
      <c r="H16" s="86">
        <v>12868469971</v>
      </c>
      <c r="I16" s="95">
        <v>0</v>
      </c>
    </row>
    <row r="17" spans="2:9" x14ac:dyDescent="0.25">
      <c r="B17" s="21" t="s">
        <v>63</v>
      </c>
      <c r="C17" s="85" t="s">
        <v>110</v>
      </c>
      <c r="D17" s="86">
        <v>186661572672</v>
      </c>
      <c r="E17" s="86">
        <v>186661572672</v>
      </c>
      <c r="F17" s="86">
        <v>186661572672</v>
      </c>
      <c r="G17" s="86">
        <v>65829708441</v>
      </c>
      <c r="H17" s="86">
        <v>65829708441</v>
      </c>
      <c r="I17" s="95">
        <v>0</v>
      </c>
    </row>
    <row r="18" spans="2:9" x14ac:dyDescent="0.25">
      <c r="B18" s="21" t="s">
        <v>77</v>
      </c>
      <c r="C18" s="85" t="s">
        <v>56</v>
      </c>
      <c r="D18" s="86">
        <v>217966528302</v>
      </c>
      <c r="E18" s="86">
        <v>217966528302</v>
      </c>
      <c r="F18" s="86">
        <v>217966528302</v>
      </c>
      <c r="G18" s="86">
        <v>35582322411</v>
      </c>
      <c r="H18" s="86">
        <v>35582322411</v>
      </c>
      <c r="I18" s="95">
        <v>0</v>
      </c>
    </row>
    <row r="19" spans="2:9" x14ac:dyDescent="0.25">
      <c r="B19" s="21" t="s">
        <v>78</v>
      </c>
      <c r="C19" s="85" t="s">
        <v>57</v>
      </c>
      <c r="D19" s="86">
        <v>264689746048</v>
      </c>
      <c r="E19" s="86">
        <v>264689746048</v>
      </c>
      <c r="F19" s="86">
        <v>264689746048</v>
      </c>
      <c r="G19" s="86">
        <v>18890851579</v>
      </c>
      <c r="H19" s="86">
        <v>18890851579</v>
      </c>
      <c r="I19" s="95">
        <v>0</v>
      </c>
    </row>
    <row r="20" spans="2:9" x14ac:dyDescent="0.25">
      <c r="B20" s="21" t="s">
        <v>79</v>
      </c>
      <c r="C20" s="85" t="s">
        <v>58</v>
      </c>
      <c r="D20" s="86">
        <v>141607661383</v>
      </c>
      <c r="E20" s="86">
        <v>141607661383</v>
      </c>
      <c r="F20" s="86">
        <v>141607661383</v>
      </c>
      <c r="G20" s="86">
        <v>35860807678</v>
      </c>
      <c r="H20" s="86">
        <v>35860807678</v>
      </c>
      <c r="I20" s="95">
        <v>0</v>
      </c>
    </row>
    <row r="21" spans="2:9" x14ac:dyDescent="0.25">
      <c r="B21" s="21" t="s">
        <v>80</v>
      </c>
      <c r="C21" s="85" t="s">
        <v>59</v>
      </c>
      <c r="D21" s="86">
        <v>326484319237</v>
      </c>
      <c r="E21" s="86">
        <v>326484319237</v>
      </c>
      <c r="F21" s="86">
        <v>326484319237</v>
      </c>
      <c r="G21" s="86">
        <v>18896410145</v>
      </c>
      <c r="H21" s="86">
        <v>18896410145</v>
      </c>
      <c r="I21" s="95">
        <v>0</v>
      </c>
    </row>
    <row r="22" spans="2:9" x14ac:dyDescent="0.25">
      <c r="B22" s="21" t="s">
        <v>81</v>
      </c>
      <c r="C22" s="85" t="s">
        <v>60</v>
      </c>
      <c r="D22" s="86">
        <v>103270216578</v>
      </c>
      <c r="E22" s="86">
        <v>103270216578</v>
      </c>
      <c r="F22" s="86">
        <v>103270216578</v>
      </c>
      <c r="G22" s="86">
        <v>2037283578</v>
      </c>
      <c r="H22" s="86">
        <v>2037283578</v>
      </c>
      <c r="I22" s="95">
        <v>0</v>
      </c>
    </row>
    <row r="23" spans="2:9" x14ac:dyDescent="0.25">
      <c r="B23" s="21" t="s">
        <v>82</v>
      </c>
      <c r="C23" s="85" t="s">
        <v>111</v>
      </c>
      <c r="D23" s="86">
        <v>323578411182</v>
      </c>
      <c r="E23" s="86">
        <v>323578411182</v>
      </c>
      <c r="F23" s="86">
        <v>323578411182</v>
      </c>
      <c r="G23" s="86">
        <v>1121067275</v>
      </c>
      <c r="H23" s="86">
        <v>1121067275</v>
      </c>
      <c r="I23" s="95">
        <v>0</v>
      </c>
    </row>
    <row r="24" spans="2:9" x14ac:dyDescent="0.25">
      <c r="B24" s="21" t="s">
        <v>83</v>
      </c>
      <c r="C24" s="85" t="s">
        <v>61</v>
      </c>
      <c r="D24" s="86">
        <v>53127095469</v>
      </c>
      <c r="E24" s="86">
        <v>53127095469</v>
      </c>
      <c r="F24" s="86">
        <v>53127095469</v>
      </c>
      <c r="G24" s="86">
        <v>0</v>
      </c>
      <c r="H24" s="86">
        <v>0</v>
      </c>
      <c r="I24" s="95">
        <v>0</v>
      </c>
    </row>
    <row r="25" spans="2:9" x14ac:dyDescent="0.25">
      <c r="B25" s="21" t="s">
        <v>104</v>
      </c>
      <c r="C25" s="85" t="s">
        <v>134</v>
      </c>
      <c r="D25" s="86">
        <v>105000000000</v>
      </c>
      <c r="E25" s="86">
        <v>4357331701.8699999</v>
      </c>
      <c r="F25" s="86">
        <v>2199964783.96</v>
      </c>
      <c r="G25" s="86">
        <v>913743301.46000004</v>
      </c>
      <c r="H25" s="86">
        <v>913743301.46000004</v>
      </c>
      <c r="I25" s="95">
        <v>0</v>
      </c>
    </row>
    <row r="26" spans="2:9" x14ac:dyDescent="0.25">
      <c r="B26" s="21" t="s">
        <v>84</v>
      </c>
      <c r="C26" s="85" t="s">
        <v>112</v>
      </c>
      <c r="D26" s="86">
        <v>2257022926</v>
      </c>
      <c r="E26" s="86">
        <v>2038605302.5</v>
      </c>
      <c r="F26" s="86">
        <v>1993518415.8699999</v>
      </c>
      <c r="G26" s="86">
        <v>813854738.87</v>
      </c>
      <c r="H26" s="86">
        <v>813854738.87</v>
      </c>
      <c r="I26" s="95">
        <v>0</v>
      </c>
    </row>
    <row r="27" spans="2:9" x14ac:dyDescent="0.25">
      <c r="B27" s="21" t="s">
        <v>129</v>
      </c>
      <c r="C27" s="85" t="s">
        <v>130</v>
      </c>
      <c r="D27" s="86">
        <v>3785000000</v>
      </c>
      <c r="E27" s="86">
        <v>2088011826</v>
      </c>
      <c r="F27" s="86">
        <v>2088011826</v>
      </c>
      <c r="G27" s="86">
        <v>0</v>
      </c>
      <c r="H27" s="86">
        <v>0</v>
      </c>
      <c r="I27" s="95">
        <v>0</v>
      </c>
    </row>
    <row r="28" spans="2:9" s="10" customFormat="1" x14ac:dyDescent="0.25">
      <c r="B28" s="79" t="s">
        <v>37</v>
      </c>
      <c r="C28" s="85" t="s">
        <v>38</v>
      </c>
      <c r="D28" s="86">
        <v>76235881312</v>
      </c>
      <c r="E28" s="86">
        <v>65573446870.620003</v>
      </c>
      <c r="F28" s="86">
        <v>62335153984</v>
      </c>
      <c r="G28" s="86">
        <v>8084396113.3000002</v>
      </c>
      <c r="H28" s="86">
        <v>7759668538.3000002</v>
      </c>
      <c r="I28" s="96">
        <v>0</v>
      </c>
    </row>
    <row r="29" spans="2:9" s="10" customFormat="1" x14ac:dyDescent="0.25">
      <c r="B29" s="79" t="s">
        <v>85</v>
      </c>
      <c r="C29" s="85" t="s">
        <v>113</v>
      </c>
      <c r="D29" s="86">
        <v>1124097372</v>
      </c>
      <c r="E29" s="86">
        <v>903560586</v>
      </c>
      <c r="F29" s="86">
        <v>855059681.61000001</v>
      </c>
      <c r="G29" s="86">
        <v>353621583.87</v>
      </c>
      <c r="H29" s="86">
        <v>352887021.87</v>
      </c>
      <c r="I29" s="96">
        <v>0</v>
      </c>
    </row>
    <row r="30" spans="2:9" x14ac:dyDescent="0.25">
      <c r="B30" s="21" t="s">
        <v>39</v>
      </c>
      <c r="C30" s="85" t="s">
        <v>135</v>
      </c>
      <c r="D30" s="86">
        <v>1000000000</v>
      </c>
      <c r="E30" s="86">
        <v>874022500</v>
      </c>
      <c r="F30" s="86">
        <v>367253888.27999997</v>
      </c>
      <c r="G30" s="86">
        <v>3456.28</v>
      </c>
      <c r="H30" s="86">
        <v>3456.28</v>
      </c>
      <c r="I30" s="95">
        <v>0</v>
      </c>
    </row>
    <row r="31" spans="2:9" x14ac:dyDescent="0.25">
      <c r="B31" s="21" t="s">
        <v>86</v>
      </c>
      <c r="C31" s="85" t="s">
        <v>62</v>
      </c>
      <c r="D31" s="86">
        <v>3056837754</v>
      </c>
      <c r="E31" s="86">
        <v>2889816754</v>
      </c>
      <c r="F31" s="86">
        <v>2803288643.7600002</v>
      </c>
      <c r="G31" s="86">
        <v>1122928336.6099999</v>
      </c>
      <c r="H31" s="86">
        <v>1122928336.6099999</v>
      </c>
      <c r="I31" s="95">
        <v>0</v>
      </c>
    </row>
    <row r="32" spans="2:9" x14ac:dyDescent="0.25">
      <c r="B32" s="21" t="s">
        <v>131</v>
      </c>
      <c r="C32" s="85" t="s">
        <v>132</v>
      </c>
      <c r="D32" s="86">
        <v>907945356</v>
      </c>
      <c r="E32" s="86">
        <v>155684690</v>
      </c>
      <c r="F32" s="86">
        <v>153369578.81999999</v>
      </c>
      <c r="G32" s="86">
        <v>70383345.310000002</v>
      </c>
      <c r="H32" s="86">
        <v>70383345.310000002</v>
      </c>
      <c r="I32" s="95"/>
    </row>
    <row r="33" spans="2:9" x14ac:dyDescent="0.25">
      <c r="B33" s="21" t="s">
        <v>40</v>
      </c>
      <c r="C33" s="85" t="s">
        <v>136</v>
      </c>
      <c r="D33" s="86">
        <v>200000000</v>
      </c>
      <c r="E33" s="86">
        <v>144566687</v>
      </c>
      <c r="F33" s="86">
        <v>79901632.159999996</v>
      </c>
      <c r="G33" s="86">
        <v>31307507.16</v>
      </c>
      <c r="H33" s="86">
        <v>31307507.16</v>
      </c>
      <c r="I33" s="95">
        <v>0</v>
      </c>
    </row>
    <row r="34" spans="2:9" x14ac:dyDescent="0.25">
      <c r="B34" s="21" t="s">
        <v>41</v>
      </c>
      <c r="C34" s="85" t="s">
        <v>137</v>
      </c>
      <c r="D34" s="86">
        <v>58800000000</v>
      </c>
      <c r="E34" s="86">
        <v>15661483576.82</v>
      </c>
      <c r="F34" s="86">
        <v>15081840984.439999</v>
      </c>
      <c r="G34" s="86">
        <v>5746975170.1800003</v>
      </c>
      <c r="H34" s="86">
        <v>5733060593.1900005</v>
      </c>
      <c r="I34" s="95">
        <v>0</v>
      </c>
    </row>
    <row r="35" spans="2:9" x14ac:dyDescent="0.25">
      <c r="B35" s="21" t="s">
        <v>42</v>
      </c>
      <c r="C35" s="85" t="s">
        <v>138</v>
      </c>
      <c r="D35" s="86">
        <v>5000000000</v>
      </c>
      <c r="E35" s="86">
        <v>4885203812.79</v>
      </c>
      <c r="F35" s="86">
        <v>3239368730.8699999</v>
      </c>
      <c r="G35" s="86">
        <v>1937228815.8699999</v>
      </c>
      <c r="H35" s="86">
        <v>1927883791.8699999</v>
      </c>
      <c r="I35" s="95">
        <v>0</v>
      </c>
    </row>
    <row r="36" spans="2:9" x14ac:dyDescent="0.25">
      <c r="B36" s="21" t="s">
        <v>44</v>
      </c>
      <c r="C36" s="85" t="s">
        <v>139</v>
      </c>
      <c r="D36" s="86">
        <v>1000000000</v>
      </c>
      <c r="E36" s="86">
        <v>910769216</v>
      </c>
      <c r="F36" s="86">
        <v>910743684.58000004</v>
      </c>
      <c r="G36" s="86">
        <v>381087253.57999998</v>
      </c>
      <c r="H36" s="86">
        <v>381087253.57999998</v>
      </c>
      <c r="I36" s="95">
        <v>0</v>
      </c>
    </row>
    <row r="37" spans="2:9" x14ac:dyDescent="0.25">
      <c r="C37" s="1"/>
    </row>
    <row r="38" spans="2:9" x14ac:dyDescent="0.25">
      <c r="D38" s="41">
        <f>SUM(D2:D36)</f>
        <v>4505182025012</v>
      </c>
      <c r="E38" s="41">
        <f>+SUM(E2:E36)</f>
        <v>4346622525845.1001</v>
      </c>
      <c r="F38" s="41">
        <f>+SUM(F2:F36)</f>
        <v>4337557901816.0396</v>
      </c>
      <c r="G38" s="41">
        <f>+SUM(G2:G36)</f>
        <v>341258586627.65997</v>
      </c>
      <c r="H38" s="41">
        <f>+SUM(H2:H36)</f>
        <v>340907114779.66998</v>
      </c>
      <c r="I38" s="41">
        <f>+SUM(I2:I36)</f>
        <v>0</v>
      </c>
    </row>
  </sheetData>
  <printOptions horizontalCentered="1" verticalCentered="1"/>
  <pageMargins left="0.11811023622047245" right="0.11811023622047245" top="0.74803149606299213" bottom="0.74803149606299213" header="0.31496062992125984" footer="0.31496062992125984"/>
  <pageSetup paperSize="12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theme="5" tint="-0.249977111117893"/>
  </sheetPr>
  <dimension ref="A6:O68"/>
  <sheetViews>
    <sheetView showGridLines="0" showRowColHeaders="0" zoomScaleNormal="100" workbookViewId="0">
      <selection activeCell="I7" sqref="I7"/>
    </sheetView>
  </sheetViews>
  <sheetFormatPr baseColWidth="10" defaultRowHeight="15" outlineLevelRow="1" x14ac:dyDescent="0.25"/>
  <cols>
    <col min="2" max="2" width="31.140625" bestFit="1" customWidth="1"/>
    <col min="3" max="3" width="13.5703125" bestFit="1" customWidth="1"/>
    <col min="4" max="4" width="15" bestFit="1" customWidth="1"/>
    <col min="5" max="5" width="14.7109375" bestFit="1" customWidth="1"/>
    <col min="6" max="6" width="13.140625" bestFit="1" customWidth="1"/>
  </cols>
  <sheetData>
    <row r="6" spans="1:14" x14ac:dyDescent="0.25">
      <c r="B6" s="4" t="s">
        <v>5</v>
      </c>
      <c r="C6" t="s">
        <v>20</v>
      </c>
      <c r="D6" t="s">
        <v>43</v>
      </c>
      <c r="E6" t="s">
        <v>18</v>
      </c>
      <c r="F6" t="s">
        <v>19</v>
      </c>
    </row>
    <row r="7" spans="1:14" x14ac:dyDescent="0.25">
      <c r="B7" s="2" t="s">
        <v>26</v>
      </c>
      <c r="C7" s="23">
        <v>99785.985369999995</v>
      </c>
      <c r="D7" s="23">
        <v>39204.88682064</v>
      </c>
      <c r="E7" s="23">
        <v>32118.097123060001</v>
      </c>
      <c r="F7" s="23">
        <v>30994.108885060003</v>
      </c>
    </row>
    <row r="8" spans="1:14" x14ac:dyDescent="0.25">
      <c r="B8" s="2" t="s">
        <v>27</v>
      </c>
      <c r="C8" s="23">
        <v>1167604.3350470001</v>
      </c>
      <c r="D8" s="23">
        <v>680805.07137000002</v>
      </c>
      <c r="E8" s="23">
        <v>680805.07137000002</v>
      </c>
      <c r="F8" s="23">
        <v>680805.07137000002</v>
      </c>
    </row>
    <row r="9" spans="1:14" x14ac:dyDescent="0.25">
      <c r="B9" s="2" t="s">
        <v>28</v>
      </c>
      <c r="C9" s="23">
        <v>4505182.0250120005</v>
      </c>
      <c r="D9" s="23">
        <v>4337557.9018160393</v>
      </c>
      <c r="E9" s="23">
        <v>341258.58662765997</v>
      </c>
      <c r="F9" s="23">
        <v>340907.11477966997</v>
      </c>
    </row>
    <row r="10" spans="1:14" x14ac:dyDescent="0.25">
      <c r="B10" s="2" t="s">
        <v>6</v>
      </c>
      <c r="C10" s="23">
        <v>5772572.3454290004</v>
      </c>
      <c r="D10" s="23">
        <v>5057567.8600066788</v>
      </c>
      <c r="E10" s="23">
        <v>1054181.75512072</v>
      </c>
      <c r="F10" s="23">
        <v>1052706.2950347299</v>
      </c>
      <c r="H10" s="5"/>
      <c r="J10" s="5"/>
    </row>
    <row r="16" spans="1:14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5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5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5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7"/>
      <c r="O21" s="98"/>
    </row>
    <row r="22" spans="1:1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7"/>
    </row>
    <row r="23" spans="1:1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5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5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5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5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5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5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5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18"/>
      <c r="K39" s="18"/>
      <c r="L39" s="18"/>
      <c r="M39" s="18"/>
      <c r="N39" s="18"/>
    </row>
    <row r="40" spans="1:14" hidden="1" outlineLevel="1" x14ac:dyDescent="0.25">
      <c r="A40" s="35"/>
      <c r="B40" s="35"/>
      <c r="C40" s="35"/>
      <c r="D40" s="35"/>
      <c r="E40" s="35"/>
      <c r="F40" s="35"/>
      <c r="G40" s="35"/>
      <c r="H40" s="35"/>
      <c r="I40" s="35"/>
      <c r="J40" s="20"/>
      <c r="K40" s="20"/>
      <c r="L40" s="18"/>
      <c r="M40" s="18"/>
      <c r="N40" s="18"/>
    </row>
    <row r="41" spans="1:14" s="11" customFormat="1" hidden="1" outlineLevel="1" x14ac:dyDescent="0.25">
      <c r="A41" s="36"/>
      <c r="B41" s="99" t="s">
        <v>5</v>
      </c>
      <c r="C41" s="99" t="s">
        <v>20</v>
      </c>
      <c r="D41" s="99" t="s">
        <v>43</v>
      </c>
      <c r="E41" s="99" t="s">
        <v>18</v>
      </c>
      <c r="F41" s="99" t="s">
        <v>19</v>
      </c>
      <c r="G41" s="36"/>
      <c r="H41" s="36"/>
      <c r="I41" s="36"/>
      <c r="L41" s="27"/>
      <c r="M41" s="27"/>
      <c r="N41" s="27"/>
    </row>
    <row r="42" spans="1:14" s="11" customFormat="1" hidden="1" outlineLevel="1" x14ac:dyDescent="0.25">
      <c r="A42" s="36"/>
      <c r="B42" s="100" t="s">
        <v>26</v>
      </c>
      <c r="C42" s="101">
        <f>+GETPIVOTDATA("APROPIACION",$B$6,"DESCRIPCION","A-FUNCIONAMIENTO")</f>
        <v>99785.985369999995</v>
      </c>
      <c r="D42" s="102">
        <f>+GETPIVOTDATA("COMPROMISOS",$B$6,"DESCRIPCION","A-FUNCIONAMIENTO")/C42</f>
        <v>0.39288970966484732</v>
      </c>
      <c r="E42" s="102">
        <f>+GETPIVOTDATA(" OBLIGACIONES",$B$6,"DESCRIPCION","A-FUNCIONAMIENTO")/C42</f>
        <v>0.32186981973438622</v>
      </c>
      <c r="F42" s="102">
        <f>+GETPIVOTDATA(" PAGOS",$B$6,"DESCRIPCION","A-FUNCIONAMIENTO")/GETPIVOTDATA("APROPIACION",$B$6,"DESCRIPCION","A-FUNCIONAMIENTO")</f>
        <v>0.31060583077008108</v>
      </c>
      <c r="G42" s="36"/>
      <c r="H42" s="36"/>
      <c r="I42" s="36"/>
      <c r="L42" s="27"/>
      <c r="M42" s="27"/>
      <c r="N42" s="27"/>
    </row>
    <row r="43" spans="1:14" s="11" customFormat="1" hidden="1" outlineLevel="1" x14ac:dyDescent="0.25">
      <c r="A43" s="36"/>
      <c r="B43" s="100" t="s">
        <v>27</v>
      </c>
      <c r="C43" s="101">
        <f>+GETPIVOTDATA("APROPIACION",$B$6,"DESCRIPCION","B-SERVICIO DE LA DEUDA PÚBLICA")</f>
        <v>1167604.3350470001</v>
      </c>
      <c r="D43" s="102">
        <f>+GETPIVOTDATA("COMPROMISOS",$B$6,"DESCRIPCION","B-SERVICIO DE LA DEUDA PÚBLICA")/C43</f>
        <v>0.58307857459487356</v>
      </c>
      <c r="E43" s="102">
        <f>+GETPIVOTDATA(" OBLIGACIONES",$B$6,"DESCRIPCION","B-SERVICIO DE LA DEUDA PÚBLICA")/GETPIVOTDATA("APROPIACION",$B$6,"DESCRIPCION","B-SERVICIO DE LA DEUDA PÚBLICA")</f>
        <v>0.58307857459487356</v>
      </c>
      <c r="F43" s="102">
        <f>+GETPIVOTDATA(" PAGOS",$B$6,"DESCRIPCION","B-SERVICIO DE LA DEUDA PÚBLICA")/GETPIVOTDATA("APROPIACION",$B$6,"DESCRIPCION","B-SERVICIO DE LA DEUDA PÚBLICA")</f>
        <v>0.58307857459487356</v>
      </c>
      <c r="G43" s="36"/>
      <c r="H43" s="123"/>
      <c r="I43" s="36"/>
      <c r="L43" s="106"/>
      <c r="M43" s="106"/>
      <c r="N43" s="106"/>
    </row>
    <row r="44" spans="1:14" s="11" customFormat="1" hidden="1" outlineLevel="1" x14ac:dyDescent="0.25">
      <c r="A44" s="36"/>
      <c r="B44" s="100" t="s">
        <v>28</v>
      </c>
      <c r="C44" s="103">
        <f>+GETPIVOTDATA("APROPIACION",$B$6,"DESCRIPCION","C- INVERSION")</f>
        <v>4505182.0250120005</v>
      </c>
      <c r="D44" s="102">
        <f>+GETPIVOTDATA("COMPROMISOS",$B$6,"DESCRIPCION","C- INVERSION")/C44</f>
        <v>0.9627930409325659</v>
      </c>
      <c r="E44" s="102">
        <f>+GETPIVOTDATA(" OBLIGACIONES",$B$6,"DESCRIPCION","C- INVERSION")/GETPIVOTDATA("APROPIACION",$B$6,"DESCRIPCION","C- INVERSION")</f>
        <v>7.5748013006588996E-2</v>
      </c>
      <c r="F44" s="102">
        <f>+GETPIVOTDATA(" PAGOS",$B$6,"DESCRIPCION","C- INVERSION")/GETPIVOTDATA("APROPIACION",$B$6,"DESCRIPCION","C- INVERSION")</f>
        <v>7.5669997990538876E-2</v>
      </c>
      <c r="G44" s="36"/>
      <c r="H44" s="36"/>
      <c r="I44" s="36"/>
      <c r="L44" s="27"/>
      <c r="M44" s="27"/>
      <c r="N44" s="27"/>
    </row>
    <row r="45" spans="1:14" s="11" customFormat="1" hidden="1" outlineLevel="1" x14ac:dyDescent="0.25">
      <c r="A45" s="36"/>
      <c r="B45" s="104" t="s">
        <v>6</v>
      </c>
      <c r="C45" s="105">
        <f>+GETPIVOTDATA("APROPIACION",$B$6)</f>
        <v>5772572.3454290004</v>
      </c>
      <c r="D45" s="124">
        <f>+GETPIVOTDATA("COMPROMISOS",$B$6)/GETPIVOTDATA("APROPIACION",$B$6)</f>
        <v>0.87613763108772535</v>
      </c>
      <c r="E45" s="124">
        <f>+GETPIVOTDATA(" OBLIGACIONES",$B$6)/GETPIVOTDATA("APROPIACION",$B$6)</f>
        <v>0.1826190633982217</v>
      </c>
      <c r="F45" s="124">
        <f>+GETPIVOTDATA(" PAGOS",$B$6)/GETPIVOTDATA("APROPIACION",$B$6)</f>
        <v>0.1823634650275649</v>
      </c>
      <c r="G45" s="36"/>
      <c r="H45" s="36"/>
      <c r="I45" s="36"/>
      <c r="L45" s="27"/>
      <c r="M45" s="27"/>
      <c r="N45" s="27"/>
    </row>
    <row r="46" spans="1:14" s="11" customFormat="1" hidden="1" outlineLevel="1" x14ac:dyDescent="0.25">
      <c r="A46" s="36"/>
      <c r="B46" s="36"/>
      <c r="C46" s="36"/>
      <c r="D46" s="36"/>
      <c r="E46" s="36"/>
      <c r="F46" s="36"/>
      <c r="G46" s="36"/>
      <c r="H46" s="36"/>
      <c r="I46" s="36"/>
      <c r="L46" s="28"/>
      <c r="M46" s="28"/>
      <c r="N46" s="28"/>
    </row>
    <row r="47" spans="1:14" hidden="1" outlineLevel="1" x14ac:dyDescent="0.25">
      <c r="A47" s="35"/>
      <c r="B47" s="35"/>
      <c r="C47" s="35"/>
      <c r="D47" s="35"/>
      <c r="E47" s="35"/>
      <c r="F47" s="35"/>
      <c r="G47" s="35"/>
      <c r="H47" s="35"/>
      <c r="I47" s="35"/>
      <c r="J47" s="20"/>
      <c r="K47" s="20"/>
      <c r="L47" s="29"/>
      <c r="M47" s="29"/>
      <c r="N47" s="29"/>
    </row>
    <row r="48" spans="1:14" hidden="1" outlineLevel="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20"/>
      <c r="K48" s="20"/>
      <c r="L48" s="29"/>
      <c r="M48" s="29"/>
      <c r="N48" s="29"/>
    </row>
    <row r="49" spans="1:14" hidden="1" outlineLevel="1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0"/>
      <c r="K49" s="20"/>
      <c r="L49" s="29"/>
      <c r="M49" s="29"/>
      <c r="N49" s="29"/>
    </row>
    <row r="50" spans="1:14" hidden="1" outlineLevel="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20"/>
      <c r="K50" s="20"/>
      <c r="L50" s="29"/>
      <c r="M50" s="29"/>
      <c r="N50" s="29"/>
    </row>
    <row r="51" spans="1:14" hidden="1" outlineLevel="1" x14ac:dyDescent="0.25">
      <c r="A51" s="35"/>
      <c r="B51" s="35"/>
      <c r="C51" s="35"/>
      <c r="D51" s="35"/>
      <c r="E51" s="35"/>
      <c r="F51" s="35"/>
      <c r="G51" s="35"/>
      <c r="H51" s="35"/>
      <c r="I51" s="35"/>
      <c r="J51" s="20"/>
      <c r="K51" s="20"/>
      <c r="L51" s="29"/>
      <c r="M51" s="29"/>
      <c r="N51" s="29"/>
    </row>
    <row r="52" spans="1:14" hidden="1" outlineLevel="1" x14ac:dyDescent="0.25">
      <c r="A52" s="35"/>
      <c r="B52" s="35"/>
      <c r="C52" s="35"/>
      <c r="D52" s="35"/>
      <c r="E52" s="35"/>
      <c r="F52" s="35"/>
      <c r="G52" s="35"/>
      <c r="H52" s="35"/>
      <c r="I52" s="35"/>
      <c r="J52" s="20"/>
      <c r="K52" s="20"/>
      <c r="L52" s="29"/>
      <c r="M52" s="29"/>
      <c r="N52" s="29"/>
    </row>
    <row r="53" spans="1:14" hidden="1" outlineLevel="1" x14ac:dyDescent="0.25">
      <c r="A53" s="35"/>
      <c r="B53" s="35"/>
      <c r="C53" s="35"/>
      <c r="D53" s="35"/>
      <c r="E53" s="35"/>
      <c r="F53" s="35"/>
      <c r="G53" s="35"/>
      <c r="H53" s="35"/>
      <c r="I53" s="35"/>
      <c r="J53" s="20"/>
      <c r="K53" s="20"/>
      <c r="L53" s="29"/>
      <c r="M53" s="29"/>
      <c r="N53" s="29"/>
    </row>
    <row r="54" spans="1:14" hidden="1" outlineLevel="1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20"/>
      <c r="K54" s="20"/>
      <c r="L54" s="29"/>
      <c r="M54" s="29"/>
      <c r="N54" s="29"/>
    </row>
    <row r="55" spans="1:14" hidden="1" outlineLevel="1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20"/>
      <c r="K55" s="20"/>
      <c r="L55" s="29"/>
      <c r="M55" s="29"/>
      <c r="N55" s="29"/>
    </row>
    <row r="56" spans="1:14" hidden="1" outlineLevel="1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20"/>
      <c r="K56" s="20"/>
      <c r="L56" s="29"/>
      <c r="M56" s="29"/>
      <c r="N56" s="29"/>
    </row>
    <row r="57" spans="1:14" collapsed="1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25"/>
      <c r="K57" s="29"/>
      <c r="L57" s="29"/>
      <c r="M57" s="29"/>
      <c r="N57" s="29"/>
    </row>
    <row r="58" spans="1:14" x14ac:dyDescent="0.25">
      <c r="A58" s="35"/>
      <c r="B58" s="35"/>
      <c r="C58" s="35"/>
      <c r="D58" s="35"/>
      <c r="E58" s="35"/>
      <c r="F58" s="35"/>
      <c r="G58" s="35"/>
      <c r="H58" s="35"/>
      <c r="I58" s="35"/>
      <c r="J58" s="25"/>
      <c r="K58" s="29"/>
      <c r="L58" s="29"/>
      <c r="M58" s="29"/>
      <c r="N58" s="29"/>
    </row>
    <row r="59" spans="1:14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25"/>
      <c r="K59" s="29"/>
      <c r="L59" s="29"/>
      <c r="M59" s="29"/>
      <c r="N59" s="29"/>
    </row>
    <row r="60" spans="1:14" x14ac:dyDescent="0.25">
      <c r="A60" s="35"/>
      <c r="B60" s="35"/>
      <c r="C60" s="35"/>
      <c r="D60" s="35"/>
      <c r="E60" s="35"/>
      <c r="F60" s="35"/>
      <c r="G60" s="35"/>
      <c r="H60" s="35"/>
      <c r="I60" s="35"/>
      <c r="J60" s="26"/>
    </row>
    <row r="61" spans="1:14" x14ac:dyDescent="0.25">
      <c r="A61" s="35"/>
      <c r="B61" s="35"/>
      <c r="C61" s="35"/>
      <c r="D61" s="35"/>
      <c r="E61" s="35"/>
      <c r="F61" s="35"/>
      <c r="G61" s="35"/>
      <c r="H61" s="35"/>
      <c r="I61" s="35"/>
      <c r="J61" s="20"/>
    </row>
    <row r="62" spans="1:14" x14ac:dyDescent="0.25">
      <c r="A62" s="35"/>
      <c r="B62" s="35"/>
      <c r="C62" s="35"/>
      <c r="D62" s="35"/>
      <c r="E62" s="35"/>
      <c r="F62" s="35"/>
      <c r="G62" s="35"/>
      <c r="H62" s="35"/>
      <c r="I62" s="35"/>
    </row>
    <row r="63" spans="1:14" x14ac:dyDescent="0.25">
      <c r="A63" s="35"/>
      <c r="B63" s="35"/>
      <c r="C63" s="35"/>
      <c r="D63" s="35"/>
      <c r="E63" s="35"/>
      <c r="F63" s="35"/>
      <c r="G63" s="35"/>
      <c r="H63" s="35"/>
      <c r="I63" s="35"/>
    </row>
    <row r="64" spans="1:14" x14ac:dyDescent="0.25">
      <c r="A64" s="35"/>
      <c r="B64" s="35"/>
      <c r="C64" s="35"/>
      <c r="D64" s="35"/>
      <c r="E64" s="35"/>
      <c r="F64" s="35"/>
      <c r="G64" s="35"/>
      <c r="H64" s="35"/>
      <c r="I64" s="35"/>
    </row>
    <row r="65" spans="1:9" x14ac:dyDescent="0.25">
      <c r="A65" s="35"/>
      <c r="B65" s="35"/>
      <c r="C65" s="35"/>
      <c r="D65" s="35"/>
      <c r="E65" s="35"/>
      <c r="F65" s="35"/>
      <c r="G65" s="35"/>
      <c r="H65" s="35"/>
      <c r="I65" s="35"/>
    </row>
    <row r="66" spans="1:9" x14ac:dyDescent="0.25">
      <c r="A66" s="35"/>
      <c r="B66" s="35"/>
      <c r="C66" s="35"/>
      <c r="D66" s="35"/>
      <c r="E66" s="35"/>
      <c r="F66" s="35"/>
      <c r="G66" s="35"/>
      <c r="H66" s="35"/>
      <c r="I66" s="35"/>
    </row>
    <row r="67" spans="1:9" x14ac:dyDescent="0.25">
      <c r="A67" s="35"/>
      <c r="B67" s="35"/>
      <c r="C67" s="35"/>
      <c r="D67" s="35"/>
      <c r="E67" s="35"/>
      <c r="F67" s="35"/>
      <c r="G67" s="35"/>
      <c r="H67" s="35"/>
      <c r="I67" s="35"/>
    </row>
    <row r="68" spans="1:9" x14ac:dyDescent="0.25">
      <c r="A68" s="14"/>
      <c r="B68" s="14"/>
      <c r="C68" s="14"/>
      <c r="D68" s="14"/>
      <c r="E68" s="14"/>
      <c r="F68" s="14"/>
      <c r="G68" s="14"/>
      <c r="H68" s="14"/>
      <c r="I68" s="14"/>
    </row>
  </sheetData>
  <pageMargins left="0.7" right="0.7" top="0.75" bottom="0.75" header="0.3" footer="0.3"/>
  <pageSetup orientation="portrait" horizontalDpi="4294967293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tabColor theme="5" tint="-0.249977111117893"/>
    <pageSetUpPr fitToPage="1"/>
  </sheetPr>
  <dimension ref="A6:K89"/>
  <sheetViews>
    <sheetView showGridLines="0" showRowColHeaders="0" zoomScale="99" zoomScaleNormal="99" workbookViewId="0">
      <selection activeCell="G32" sqref="G32"/>
    </sheetView>
  </sheetViews>
  <sheetFormatPr baseColWidth="10" defaultRowHeight="15" outlineLevelRow="1" x14ac:dyDescent="0.25"/>
  <cols>
    <col min="1" max="1" width="7.42578125" customWidth="1"/>
    <col min="2" max="2" width="48.140625" bestFit="1" customWidth="1"/>
    <col min="3" max="3" width="14.140625" bestFit="1" customWidth="1"/>
    <col min="4" max="4" width="15.5703125" bestFit="1" customWidth="1"/>
    <col min="5" max="5" width="14.85546875" bestFit="1" customWidth="1"/>
    <col min="6" max="6" width="14.5703125" bestFit="1" customWidth="1"/>
  </cols>
  <sheetData>
    <row r="6" spans="2:6" ht="30" x14ac:dyDescent="0.25">
      <c r="B6" s="4" t="s">
        <v>5</v>
      </c>
      <c r="C6" s="16" t="s">
        <v>21</v>
      </c>
      <c r="D6" s="16" t="s">
        <v>12</v>
      </c>
      <c r="E6" s="16" t="s">
        <v>13</v>
      </c>
      <c r="F6" s="16" t="s">
        <v>17</v>
      </c>
    </row>
    <row r="7" spans="2:6" x14ac:dyDescent="0.25">
      <c r="B7" s="2" t="s">
        <v>29</v>
      </c>
      <c r="C7" s="23">
        <v>51464.345000000001</v>
      </c>
      <c r="D7" s="23">
        <v>24057.77067229</v>
      </c>
      <c r="E7" s="23">
        <v>24057.77067229</v>
      </c>
      <c r="F7" s="23">
        <v>22936.149588290002</v>
      </c>
    </row>
    <row r="8" spans="2:6" x14ac:dyDescent="0.25">
      <c r="B8" s="2" t="s">
        <v>30</v>
      </c>
      <c r="C8" s="23">
        <v>19419.071</v>
      </c>
      <c r="D8" s="23">
        <v>15061.75765831</v>
      </c>
      <c r="E8" s="23">
        <v>7974.9679607300004</v>
      </c>
      <c r="F8" s="23">
        <v>7972.6008067300008</v>
      </c>
    </row>
    <row r="9" spans="2:6" x14ac:dyDescent="0.25">
      <c r="B9" s="2" t="s">
        <v>31</v>
      </c>
      <c r="C9" s="23">
        <v>14851.09737</v>
      </c>
      <c r="D9" s="23">
        <v>85.358490039999992</v>
      </c>
      <c r="E9" s="23">
        <v>85.358490039999992</v>
      </c>
      <c r="F9" s="23">
        <v>85.358490039999992</v>
      </c>
    </row>
    <row r="10" spans="2:6" ht="30" x14ac:dyDescent="0.25">
      <c r="B10" s="12" t="s">
        <v>32</v>
      </c>
      <c r="C10" s="23">
        <v>14051.472</v>
      </c>
      <c r="D10" s="23">
        <v>0</v>
      </c>
      <c r="E10" s="23">
        <v>0</v>
      </c>
      <c r="F10" s="23">
        <v>0</v>
      </c>
    </row>
    <row r="11" spans="2:6" x14ac:dyDescent="0.25">
      <c r="B11" s="2" t="s">
        <v>6</v>
      </c>
      <c r="C11" s="23">
        <v>99785.985369999995</v>
      </c>
      <c r="D11" s="23">
        <v>39204.88682064</v>
      </c>
      <c r="E11" s="23">
        <v>32118.097123060001</v>
      </c>
      <c r="F11" s="23">
        <v>30994.108885060003</v>
      </c>
    </row>
    <row r="16" spans="2:6" x14ac:dyDescent="0.25">
      <c r="B16" s="15"/>
      <c r="C16" s="15"/>
      <c r="D16" s="15"/>
      <c r="E16" s="15"/>
      <c r="F16" s="15"/>
    </row>
    <row r="17" spans="2:6" x14ac:dyDescent="0.25">
      <c r="B17" s="15"/>
      <c r="C17" s="15"/>
      <c r="D17" s="15"/>
      <c r="E17" s="15"/>
      <c r="F17" s="15"/>
    </row>
    <row r="18" spans="2:6" x14ac:dyDescent="0.25">
      <c r="B18" s="15"/>
      <c r="C18" s="15"/>
      <c r="D18" s="15"/>
      <c r="E18" s="15"/>
      <c r="F18" s="15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x14ac:dyDescent="0.25">
      <c r="B22" s="15"/>
      <c r="C22" s="15"/>
      <c r="D22" s="15"/>
      <c r="E22" s="15"/>
      <c r="F22" s="15"/>
    </row>
    <row r="23" spans="2:6" x14ac:dyDescent="0.25">
      <c r="B23" s="15"/>
      <c r="C23" s="15"/>
      <c r="D23" s="15"/>
      <c r="E23" s="15"/>
      <c r="F23" s="15"/>
    </row>
    <row r="24" spans="2:6" x14ac:dyDescent="0.25">
      <c r="B24" s="15"/>
      <c r="C24" s="15"/>
      <c r="D24" s="15"/>
      <c r="E24" s="15"/>
      <c r="F24" s="15"/>
    </row>
    <row r="25" spans="2:6" x14ac:dyDescent="0.25">
      <c r="B25" s="15"/>
      <c r="C25" s="15"/>
      <c r="D25" s="15"/>
      <c r="E25" s="15"/>
      <c r="F25" s="15"/>
    </row>
    <row r="26" spans="2:6" x14ac:dyDescent="0.25">
      <c r="B26" s="15"/>
      <c r="C26" s="15"/>
      <c r="D26" s="15"/>
      <c r="E26" s="15"/>
      <c r="F26" s="15"/>
    </row>
    <row r="27" spans="2:6" x14ac:dyDescent="0.25">
      <c r="B27" s="15"/>
      <c r="C27" s="15"/>
      <c r="D27" s="15"/>
      <c r="E27" s="15"/>
      <c r="F27" s="15"/>
    </row>
    <row r="28" spans="2:6" x14ac:dyDescent="0.25">
      <c r="B28" s="15"/>
      <c r="C28" s="15"/>
      <c r="D28" s="15"/>
      <c r="E28" s="15"/>
      <c r="F28" s="15"/>
    </row>
    <row r="29" spans="2:6" x14ac:dyDescent="0.25">
      <c r="B29" s="15"/>
      <c r="C29" s="15"/>
      <c r="D29" s="15"/>
      <c r="E29" s="15"/>
      <c r="F29" s="15"/>
    </row>
    <row r="30" spans="2:6" x14ac:dyDescent="0.25">
      <c r="B30" s="15"/>
      <c r="C30" s="15"/>
      <c r="D30" s="15"/>
      <c r="E30" s="15"/>
      <c r="F30" s="15"/>
    </row>
    <row r="31" spans="2:6" x14ac:dyDescent="0.25">
      <c r="B31" s="15"/>
      <c r="C31" s="15"/>
      <c r="D31" s="15"/>
      <c r="E31" s="15"/>
      <c r="F31" s="15"/>
    </row>
    <row r="32" spans="2:6" x14ac:dyDescent="0.25">
      <c r="B32" s="15"/>
      <c r="C32" s="15"/>
      <c r="D32" s="15"/>
      <c r="E32" s="15"/>
      <c r="F32" s="15"/>
    </row>
    <row r="33" spans="1:11" x14ac:dyDescent="0.25">
      <c r="B33" s="15"/>
      <c r="C33" s="15"/>
      <c r="D33" s="15"/>
      <c r="E33" s="15"/>
      <c r="F33" s="15"/>
    </row>
    <row r="34" spans="1:11" x14ac:dyDescent="0.25">
      <c r="B34" s="15"/>
      <c r="C34" s="15"/>
      <c r="D34" s="15"/>
      <c r="E34" s="15"/>
      <c r="F34" s="15"/>
    </row>
    <row r="35" spans="1:11" x14ac:dyDescent="0.25">
      <c r="B35" s="15"/>
      <c r="C35" s="15"/>
      <c r="D35" s="15"/>
      <c r="E35" s="15"/>
      <c r="F35" s="15"/>
    </row>
    <row r="36" spans="1:11" x14ac:dyDescent="0.25">
      <c r="B36" s="15"/>
      <c r="C36" s="15"/>
      <c r="D36" s="15"/>
      <c r="E36" s="15"/>
      <c r="F36" s="15"/>
    </row>
    <row r="37" spans="1:11" x14ac:dyDescent="0.25">
      <c r="B37" s="15"/>
      <c r="C37" s="15"/>
      <c r="D37" s="15"/>
      <c r="E37" s="15"/>
      <c r="F37" s="15"/>
    </row>
    <row r="38" spans="1:11" x14ac:dyDescent="0.25">
      <c r="B38" s="15"/>
      <c r="C38" s="15"/>
      <c r="D38" s="15"/>
      <c r="E38" s="15"/>
      <c r="F38" s="15"/>
    </row>
    <row r="39" spans="1:11" x14ac:dyDescent="0.25">
      <c r="B39" s="15"/>
      <c r="C39" s="15"/>
      <c r="D39" s="15"/>
      <c r="E39" s="15"/>
      <c r="F39" s="15"/>
    </row>
    <row r="40" spans="1:11" x14ac:dyDescent="0.25">
      <c r="B40" s="15"/>
      <c r="C40" s="15"/>
      <c r="D40" s="15"/>
      <c r="E40" s="15"/>
      <c r="F40" s="15"/>
    </row>
    <row r="41" spans="1:11" x14ac:dyDescent="0.25">
      <c r="B41" s="15"/>
      <c r="C41" s="15"/>
      <c r="D41" s="15"/>
      <c r="E41" s="15"/>
      <c r="F41" s="15"/>
    </row>
    <row r="42" spans="1:11" x14ac:dyDescent="0.25">
      <c r="A42" s="14"/>
      <c r="B42" s="20"/>
      <c r="C42" s="20"/>
      <c r="D42" s="20"/>
      <c r="E42" s="20"/>
      <c r="F42" s="19"/>
      <c r="G42" s="19"/>
      <c r="H42" s="10"/>
    </row>
    <row r="43" spans="1:11" x14ac:dyDescent="0.25">
      <c r="A43" s="14"/>
      <c r="B43" s="20" t="s">
        <v>5</v>
      </c>
      <c r="C43" s="20" t="s">
        <v>21</v>
      </c>
      <c r="D43" s="20" t="s">
        <v>12</v>
      </c>
      <c r="E43" s="20" t="s">
        <v>13</v>
      </c>
      <c r="F43" s="20" t="s">
        <v>17</v>
      </c>
      <c r="G43" s="20"/>
      <c r="H43" s="10"/>
    </row>
    <row r="44" spans="1:11" hidden="1" outlineLevel="1" x14ac:dyDescent="0.25">
      <c r="A44" s="35"/>
      <c r="B44" s="107" t="s">
        <v>29</v>
      </c>
      <c r="C44" s="107">
        <f>+GETPIVOTDATA(" APROPIACION
 VIGENTE",$B$6,"DESCRIPCION","A-01 -GASTOS DE PERSONAL")</f>
        <v>51464.345000000001</v>
      </c>
      <c r="D44" s="108">
        <f>+GETPIVOTDATA(" COMPROMISOS
 ACUMULADOS",$B$6,"DESCRIPCION","A-01 -GASTOS DE PERSONAL")/GETPIVOTDATA(" APROPIACION
 VIGENTE",$B$6,"DESCRIPCION","A-01 -GASTOS DE PERSONAL")</f>
        <v>0.4674648180655947</v>
      </c>
      <c r="E44" s="108">
        <f>+GETPIVOTDATA(" OBLIGACIONES
 ACUMULADAS",$B$6,"DESCRIPCION","A-01 -GASTOS DE PERSONAL")/GETPIVOTDATA(" APROPIACION
 VIGENTE",$B$6,"DESCRIPCION","A-01 -GASTOS DE PERSONAL")</f>
        <v>0.4674648180655947</v>
      </c>
      <c r="F44" s="108">
        <f>+GETPIVOTDATA(" PAGOS
 ACUMULADOS",$B$6,"DESCRIPCION","A-01 -GASTOS DE PERSONAL")/GETPIVOTDATA(" APROPIACION
 VIGENTE",$B$6,"DESCRIPCION","A-01 -GASTOS DE PERSONAL")</f>
        <v>0.44567067915252784</v>
      </c>
      <c r="G44" s="15"/>
      <c r="H44" s="15"/>
      <c r="I44" s="15"/>
      <c r="J44" s="15"/>
      <c r="K44" s="15"/>
    </row>
    <row r="45" spans="1:11" hidden="1" outlineLevel="1" x14ac:dyDescent="0.25">
      <c r="A45" s="35"/>
      <c r="B45" s="107" t="s">
        <v>30</v>
      </c>
      <c r="C45" s="107">
        <f>+GETPIVOTDATA(" APROPIACION
 VIGENTE",$B$6,"DESCRIPCION","A-02 -ADQUISICIÓN DE BIENES  Y SERVICIOS")</f>
        <v>19419.071</v>
      </c>
      <c r="D45" s="108">
        <f>+GETPIVOTDATA(" COMPROMISOS
 ACUMULADOS",$B$6,"DESCRIPCION","A-02 -ADQUISICIÓN DE BIENES  Y SERVICIOS")/GETPIVOTDATA(" APROPIACION
 VIGENTE",$B$6,"DESCRIPCION","A-02 -ADQUISICIÓN DE BIENES  Y SERVICIOS")</f>
        <v>0.77561679744154599</v>
      </c>
      <c r="E45" s="108">
        <f>+GETPIVOTDATA(" OBLIGACIONES
 ACUMULADAS",$B$6,"DESCRIPCION","A-02 -ADQUISICIÓN DE BIENES  Y SERVICIOS")/GETPIVOTDATA(" APROPIACION
 VIGENTE",$B$6,"DESCRIPCION","A-02 -ADQUISICIÓN DE BIENES  Y SERVICIOS")</f>
        <v>0.41067711018359221</v>
      </c>
      <c r="F45" s="108">
        <f>+GETPIVOTDATA(" PAGOS
 ACUMULADOS",$B$6,"DESCRIPCION","A-02 -ADQUISICIÓN DE BIENES  Y SERVICIOS")/GETPIVOTDATA(" APROPIACION
 VIGENTE",$B$6,"DESCRIPCION","A-02 -ADQUISICIÓN DE BIENES  Y SERVICIOS")</f>
        <v>0.4105552117673395</v>
      </c>
      <c r="G45" s="15"/>
      <c r="H45" s="15"/>
      <c r="I45" s="15"/>
      <c r="J45" s="15"/>
      <c r="K45" s="15"/>
    </row>
    <row r="46" spans="1:11" hidden="1" outlineLevel="1" x14ac:dyDescent="0.25">
      <c r="A46" s="35"/>
      <c r="B46" s="107" t="s">
        <v>31</v>
      </c>
      <c r="C46" s="107">
        <f>+GETPIVOTDATA(" APROPIACION
 VIGENTE",$B$6,"DESCRIPCION","A-03-TRANSFERENCIAS CORRIENTES")</f>
        <v>14851.09737</v>
      </c>
      <c r="D46" s="108">
        <f>+GETPIVOTDATA(" COMPROMISOS
 ACUMULADOS",$B$6,"DESCRIPCION","A-03-TRANSFERENCIAS CORRIENTES")/GETPIVOTDATA(" APROPIACION
 VIGENTE",$B$6,"DESCRIPCION","A-03-TRANSFERENCIAS CORRIENTES")</f>
        <v>5.747621735510848E-3</v>
      </c>
      <c r="E46" s="108">
        <f>+GETPIVOTDATA(" OBLIGACIONES
 ACUMULADAS",$B$6,"DESCRIPCION","A-03-TRANSFERENCIAS CORRIENTES")/GETPIVOTDATA(" APROPIACION
 VIGENTE",$B$6,"DESCRIPCION","A-03-TRANSFERENCIAS CORRIENTES")</f>
        <v>5.747621735510848E-3</v>
      </c>
      <c r="F46" s="108">
        <f>+GETPIVOTDATA(" PAGOS
 ACUMULADOS",$B$6,"DESCRIPCION","A-03-TRANSFERENCIAS CORRIENTES")/GETPIVOTDATA(" APROPIACION
 VIGENTE",$B$6,"DESCRIPCION","A-03-TRANSFERENCIAS CORRIENTES")</f>
        <v>5.747621735510848E-3</v>
      </c>
      <c r="G46" s="15"/>
      <c r="H46" s="15"/>
      <c r="I46" s="15"/>
      <c r="J46" s="15"/>
      <c r="K46" s="15"/>
    </row>
    <row r="47" spans="1:11" hidden="1" outlineLevel="1" x14ac:dyDescent="0.25">
      <c r="A47" s="35"/>
      <c r="B47" s="107" t="s">
        <v>32</v>
      </c>
      <c r="C47" s="107">
        <f>+GETPIVOTDATA(" APROPIACION
 VIGENTE",$B$6,"DESCRIPCION","A-08-GASTOS POR TRIBUTOS, MULTAS, SANCIONES E INTERESES DE MORA")</f>
        <v>14051.472</v>
      </c>
      <c r="D47" s="108">
        <f>+GETPIVOTDATA(" COMPROMISOS
 ACUMULADOS",$B$6,"DESCRIPCION","A-08-GASTOS POR TRIBUTOS, MULTAS, SANCIONES E INTERESES DE MORA")/GETPIVOTDATA(" APROPIACION
 VIGENTE",$B$6,"DESCRIPCION","A-08-GASTOS POR TRIBUTOS, MULTAS, SANCIONES E INTERESES DE MORA")</f>
        <v>0</v>
      </c>
      <c r="E47" s="108">
        <f>+GETPIVOTDATA(" OBLIGACIONES
 ACUMULADAS",$B$6,"DESCRIPCION","A-08-GASTOS POR TRIBUTOS, MULTAS, SANCIONES E INTERESES DE MORA")/GETPIVOTDATA(" APROPIACION
 VIGENTE",$B$6,"DESCRIPCION","A-08-GASTOS POR TRIBUTOS, MULTAS, SANCIONES E INTERESES DE MORA")</f>
        <v>0</v>
      </c>
      <c r="F47" s="108">
        <f>+GETPIVOTDATA(" PAGOS
 ACUMULADOS",$B$6,"DESCRIPCION","A-08-GASTOS POR TRIBUTOS, MULTAS, SANCIONES E INTERESES DE MORA")/GETPIVOTDATA(" APROPIACION
 VIGENTE",$B$6,"DESCRIPCION","A-08-GASTOS POR TRIBUTOS, MULTAS, SANCIONES E INTERESES DE MORA")</f>
        <v>0</v>
      </c>
      <c r="G47" s="15"/>
      <c r="H47" s="15"/>
      <c r="I47" s="15"/>
      <c r="J47" s="15"/>
      <c r="K47" s="15"/>
    </row>
    <row r="48" spans="1:11" hidden="1" outlineLevel="1" x14ac:dyDescent="0.25">
      <c r="A48" s="35"/>
      <c r="B48" s="109" t="s">
        <v>6</v>
      </c>
      <c r="C48" s="109">
        <f>+GETPIVOTDATA(" APROPIACION
 VIGENTE",$B$6)</f>
        <v>99785.985369999995</v>
      </c>
      <c r="D48" s="122">
        <f>+GETPIVOTDATA(" COMPROMISOS
 ACUMULADOS",$B$6)/GETPIVOTDATA(" APROPIACION
 VIGENTE",$B$6)</f>
        <v>0.39288970966484732</v>
      </c>
      <c r="E48" s="122">
        <f>+GETPIVOTDATA(" OBLIGACIONES
 ACUMULADAS",$B$6)/GETPIVOTDATA(" APROPIACION
 VIGENTE",$B$6)</f>
        <v>0.32186981973438622</v>
      </c>
      <c r="F48" s="122">
        <f>+GETPIVOTDATA(" PAGOS
 ACUMULADOS",$B$6)/GETPIVOTDATA(" APROPIACION
 VIGENTE",$B$6)</f>
        <v>0.31060583077008108</v>
      </c>
      <c r="G48" s="110"/>
      <c r="H48" s="15"/>
      <c r="I48" s="15"/>
      <c r="J48" s="15"/>
      <c r="K48" s="15"/>
    </row>
    <row r="49" spans="1:11" collapsed="1" x14ac:dyDescent="0.25">
      <c r="A49" s="35"/>
      <c r="B49" s="35"/>
      <c r="C49" s="35"/>
      <c r="D49" s="35"/>
      <c r="E49" s="35"/>
      <c r="F49" s="25"/>
      <c r="G49" s="25"/>
      <c r="H49" s="25"/>
      <c r="I49" s="25"/>
      <c r="J49" s="25"/>
      <c r="K49" s="14"/>
    </row>
    <row r="50" spans="1:11" x14ac:dyDescent="0.25">
      <c r="A50" s="35"/>
      <c r="B50" s="35"/>
      <c r="C50" s="35"/>
      <c r="D50" s="35"/>
      <c r="E50" s="35"/>
      <c r="F50" s="25"/>
      <c r="G50" s="25"/>
      <c r="H50" s="25"/>
      <c r="I50" s="25"/>
      <c r="J50" s="25"/>
      <c r="K50" s="14"/>
    </row>
    <row r="51" spans="1:11" x14ac:dyDescent="0.25">
      <c r="A51" s="14"/>
      <c r="B51" s="25"/>
      <c r="C51" s="25"/>
      <c r="D51" s="25"/>
      <c r="E51" s="25"/>
      <c r="F51" s="25"/>
      <c r="G51" s="25"/>
      <c r="H51" s="25"/>
      <c r="I51" s="25"/>
      <c r="J51" s="25"/>
      <c r="K51" s="14"/>
    </row>
    <row r="52" spans="1:11" x14ac:dyDescent="0.25">
      <c r="A52" s="14"/>
      <c r="B52" s="25"/>
      <c r="C52" s="25"/>
      <c r="D52" s="25"/>
      <c r="E52" s="25"/>
      <c r="F52" s="25"/>
      <c r="G52" s="25"/>
      <c r="H52" s="25"/>
      <c r="I52" s="25"/>
      <c r="J52" s="25"/>
      <c r="K52" s="14"/>
    </row>
    <row r="53" spans="1:11" x14ac:dyDescent="0.25">
      <c r="A53" s="10"/>
      <c r="B53" s="25"/>
      <c r="C53" s="25"/>
      <c r="D53" s="25"/>
      <c r="E53" s="25"/>
      <c r="F53" s="25"/>
      <c r="G53" s="25"/>
      <c r="H53" s="25"/>
      <c r="I53" s="25"/>
      <c r="J53" s="25"/>
      <c r="K53" s="14"/>
    </row>
    <row r="54" spans="1:1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14"/>
    </row>
    <row r="55" spans="1:11" x14ac:dyDescent="0.25">
      <c r="B55" s="25"/>
      <c r="C55" s="25"/>
      <c r="D55" s="25"/>
      <c r="E55" s="25"/>
      <c r="F55" s="25"/>
      <c r="G55" s="25"/>
      <c r="H55" s="25"/>
      <c r="I55" s="25"/>
      <c r="J55" s="25"/>
      <c r="K55" s="14"/>
    </row>
    <row r="56" spans="1:11" x14ac:dyDescent="0.25">
      <c r="B56" s="25"/>
      <c r="C56" s="25"/>
      <c r="D56" s="25"/>
      <c r="E56" s="25"/>
      <c r="F56" s="25"/>
      <c r="G56" s="25"/>
      <c r="H56" s="25"/>
      <c r="I56" s="25"/>
      <c r="J56" s="25"/>
      <c r="K56" s="14"/>
    </row>
    <row r="57" spans="1:11" x14ac:dyDescent="0.25">
      <c r="B57" s="25"/>
      <c r="C57" s="25"/>
      <c r="D57" s="25"/>
      <c r="E57" s="25"/>
      <c r="F57" s="25"/>
      <c r="G57" s="25"/>
      <c r="H57" s="25"/>
      <c r="I57" s="25"/>
      <c r="J57" s="25"/>
      <c r="K57" s="14"/>
    </row>
    <row r="58" spans="1:11" x14ac:dyDescent="0.25">
      <c r="B58" s="25"/>
      <c r="C58" s="25"/>
      <c r="D58" s="25"/>
      <c r="E58" s="25"/>
      <c r="F58" s="25"/>
      <c r="G58" s="25"/>
      <c r="H58" s="25"/>
      <c r="I58" s="25"/>
      <c r="J58" s="25"/>
      <c r="K58" s="14"/>
    </row>
    <row r="59" spans="1:11" x14ac:dyDescent="0.25">
      <c r="B59" s="25"/>
      <c r="C59" s="25"/>
      <c r="D59" s="25"/>
      <c r="E59" s="25"/>
      <c r="F59" s="25"/>
      <c r="G59" s="25"/>
      <c r="H59" s="25"/>
      <c r="I59" s="25"/>
      <c r="J59" s="25"/>
      <c r="K59" s="14"/>
    </row>
    <row r="60" spans="1:11" x14ac:dyDescent="0.25">
      <c r="B60" s="25"/>
      <c r="C60" s="25"/>
      <c r="D60" s="25"/>
      <c r="E60" s="25"/>
      <c r="F60" s="25"/>
      <c r="G60" s="25"/>
      <c r="H60" s="25"/>
      <c r="I60" s="25"/>
      <c r="J60" s="25"/>
      <c r="K60" s="14"/>
    </row>
    <row r="61" spans="1:11" x14ac:dyDescent="0.2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x14ac:dyDescent="0.25">
      <c r="B63" s="14"/>
      <c r="C63" s="14"/>
      <c r="D63" s="14"/>
      <c r="E63" s="14"/>
      <c r="F63" s="14"/>
      <c r="G63" s="14"/>
      <c r="H63" s="14"/>
      <c r="I63" s="14"/>
      <c r="J63" s="14"/>
    </row>
    <row r="64" spans="1:11" x14ac:dyDescent="0.25">
      <c r="B64" s="14"/>
      <c r="C64" s="14"/>
      <c r="D64" s="14"/>
      <c r="E64" s="14"/>
      <c r="F64" s="14"/>
      <c r="G64" s="14"/>
      <c r="H64" s="14"/>
      <c r="I64" s="14"/>
      <c r="J64" s="14"/>
    </row>
    <row r="65" spans="2:10" x14ac:dyDescent="0.25">
      <c r="B65" s="14"/>
      <c r="C65" s="14"/>
      <c r="D65" s="14"/>
      <c r="E65" s="14"/>
      <c r="F65" s="14"/>
      <c r="G65" s="14"/>
      <c r="H65" s="14"/>
      <c r="I65" s="14"/>
      <c r="J65" s="14"/>
    </row>
    <row r="66" spans="2:10" x14ac:dyDescent="0.25">
      <c r="B66" s="14"/>
      <c r="C66" s="14"/>
      <c r="D66" s="14"/>
      <c r="E66" s="14"/>
      <c r="F66" s="14"/>
      <c r="G66" s="14"/>
      <c r="H66" s="14"/>
      <c r="I66" s="14"/>
      <c r="J66" s="14"/>
    </row>
    <row r="67" spans="2:10" x14ac:dyDescent="0.25">
      <c r="B67" s="14"/>
      <c r="C67" s="14"/>
      <c r="D67" s="14"/>
      <c r="E67" s="14"/>
      <c r="F67" s="14"/>
      <c r="G67" s="14"/>
      <c r="H67" s="14"/>
      <c r="I67" s="14"/>
      <c r="J67" s="14"/>
    </row>
    <row r="68" spans="2:10" x14ac:dyDescent="0.25">
      <c r="B68" s="14"/>
      <c r="C68" s="14"/>
      <c r="D68" s="14"/>
      <c r="E68" s="14"/>
      <c r="F68" s="14"/>
      <c r="G68" s="14"/>
      <c r="H68" s="14"/>
      <c r="I68" s="14"/>
      <c r="J68" s="14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x14ac:dyDescent="0.25">
      <c r="B70" s="14"/>
      <c r="C70" s="14"/>
      <c r="D70" s="14"/>
      <c r="E70" s="14"/>
      <c r="F70" s="14"/>
      <c r="G70" s="14"/>
      <c r="H70" s="14"/>
      <c r="I70" s="14"/>
      <c r="J70" s="14"/>
    </row>
    <row r="71" spans="2:10" x14ac:dyDescent="0.25">
      <c r="B71" s="14"/>
      <c r="C71" s="14"/>
      <c r="D71" s="14"/>
      <c r="E71" s="14"/>
      <c r="F71" s="14"/>
      <c r="G71" s="14"/>
      <c r="H71" s="14"/>
      <c r="I71" s="14"/>
      <c r="J71" s="14"/>
    </row>
    <row r="72" spans="2:10" x14ac:dyDescent="0.25">
      <c r="B72" s="14"/>
      <c r="C72" s="14"/>
      <c r="D72" s="14"/>
      <c r="E72" s="14"/>
      <c r="F72" s="14"/>
      <c r="G72" s="14"/>
      <c r="H72" s="14"/>
      <c r="I72" s="14"/>
      <c r="J72" s="14"/>
    </row>
    <row r="73" spans="2:10" x14ac:dyDescent="0.25">
      <c r="B73" s="14"/>
      <c r="C73" s="14"/>
      <c r="D73" s="14"/>
      <c r="E73" s="14"/>
      <c r="F73" s="14"/>
      <c r="G73" s="14"/>
      <c r="H73" s="14"/>
      <c r="I73" s="14"/>
      <c r="J73" s="14"/>
    </row>
    <row r="74" spans="2:10" x14ac:dyDescent="0.25">
      <c r="B74" s="14"/>
      <c r="C74" s="14"/>
      <c r="D74" s="14"/>
      <c r="E74" s="14"/>
      <c r="F74" s="14"/>
      <c r="G74" s="14"/>
      <c r="H74" s="14"/>
      <c r="I74" s="14"/>
      <c r="J74" s="14"/>
    </row>
    <row r="75" spans="2:10" x14ac:dyDescent="0.25">
      <c r="B75" s="14"/>
      <c r="C75" s="14"/>
      <c r="D75" s="14"/>
      <c r="E75" s="14"/>
      <c r="F75" s="14"/>
      <c r="G75" s="14"/>
      <c r="H75" s="14"/>
      <c r="I75" s="14"/>
      <c r="J75" s="14"/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x14ac:dyDescent="0.25">
      <c r="B77" s="14"/>
      <c r="C77" s="14"/>
      <c r="D77" s="14"/>
      <c r="E77" s="14"/>
      <c r="F77" s="14"/>
      <c r="G77" s="14"/>
      <c r="H77" s="14"/>
      <c r="I77" s="14"/>
      <c r="J77" s="14"/>
    </row>
    <row r="78" spans="2:10" x14ac:dyDescent="0.25">
      <c r="B78" s="14"/>
      <c r="C78" s="14"/>
      <c r="D78" s="14"/>
      <c r="E78" s="14"/>
      <c r="F78" s="14"/>
      <c r="G78" s="14"/>
      <c r="H78" s="14"/>
      <c r="I78" s="14"/>
      <c r="J78" s="14"/>
    </row>
    <row r="79" spans="2:10" x14ac:dyDescent="0.25">
      <c r="B79" s="14"/>
      <c r="C79" s="14"/>
      <c r="D79" s="14"/>
      <c r="E79" s="14"/>
      <c r="F79" s="14"/>
      <c r="G79" s="14"/>
      <c r="H79" s="14"/>
      <c r="I79" s="14"/>
      <c r="J79" s="14"/>
    </row>
    <row r="80" spans="2:10" x14ac:dyDescent="0.25">
      <c r="B80" s="14"/>
      <c r="C80" s="14"/>
      <c r="D80" s="14"/>
      <c r="E80" s="14"/>
      <c r="F80" s="14"/>
      <c r="G80" s="14"/>
      <c r="H80" s="14"/>
      <c r="I80" s="14"/>
      <c r="J80" s="14"/>
    </row>
    <row r="81" spans="2:10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x14ac:dyDescent="0.25">
      <c r="B82" s="14"/>
      <c r="C82" s="14"/>
      <c r="D82" s="14"/>
      <c r="E82" s="14"/>
      <c r="F82" s="14"/>
      <c r="G82" s="14"/>
      <c r="H82" s="14"/>
      <c r="I82" s="14"/>
      <c r="J82" s="14"/>
    </row>
    <row r="83" spans="2:10" x14ac:dyDescent="0.25">
      <c r="B83" s="14"/>
      <c r="C83" s="14"/>
      <c r="D83" s="14"/>
      <c r="E83" s="14"/>
      <c r="F83" s="14"/>
      <c r="G83" s="14"/>
      <c r="H83" s="14"/>
      <c r="I83" s="14"/>
      <c r="J83" s="14"/>
    </row>
    <row r="84" spans="2:10" x14ac:dyDescent="0.25">
      <c r="B84" s="14"/>
      <c r="C84" s="14"/>
      <c r="D84" s="14"/>
      <c r="E84" s="14"/>
      <c r="F84" s="14"/>
      <c r="G84" s="14"/>
      <c r="H84" s="14"/>
      <c r="I84" s="14"/>
      <c r="J84" s="14"/>
    </row>
    <row r="85" spans="2:10" x14ac:dyDescent="0.25">
      <c r="B85" s="14"/>
      <c r="C85" s="14"/>
      <c r="D85" s="14"/>
      <c r="E85" s="14"/>
      <c r="F85" s="14"/>
      <c r="G85" s="14"/>
      <c r="H85" s="14"/>
      <c r="I85" s="14"/>
      <c r="J85" s="14"/>
    </row>
    <row r="86" spans="2:10" x14ac:dyDescent="0.25">
      <c r="B86" s="14"/>
      <c r="C86" s="14"/>
      <c r="D86" s="14"/>
      <c r="E86" s="14"/>
      <c r="F86" s="14"/>
      <c r="G86" s="14"/>
      <c r="H86" s="14"/>
      <c r="I86" s="14"/>
      <c r="J86" s="14"/>
    </row>
    <row r="87" spans="2:10" x14ac:dyDescent="0.25">
      <c r="B87" s="14"/>
      <c r="C87" s="14"/>
      <c r="D87" s="14"/>
      <c r="E87" s="14"/>
      <c r="F87" s="14"/>
      <c r="G87" s="14"/>
      <c r="H87" s="14"/>
      <c r="I87" s="14"/>
      <c r="J87" s="14"/>
    </row>
    <row r="88" spans="2:10" x14ac:dyDescent="0.25">
      <c r="B88" s="14"/>
      <c r="C88" s="14"/>
      <c r="D88" s="14"/>
      <c r="E88" s="14"/>
      <c r="F88" s="14"/>
      <c r="G88" s="14"/>
      <c r="H88" s="14"/>
      <c r="I88" s="14"/>
      <c r="J88" s="14"/>
    </row>
    <row r="89" spans="2:10" x14ac:dyDescent="0.25">
      <c r="B89" s="14"/>
      <c r="C89" s="14"/>
      <c r="D89" s="14"/>
      <c r="E89" s="14"/>
      <c r="F89" s="14"/>
      <c r="G89" s="14"/>
      <c r="H89" s="14"/>
      <c r="I89" s="14"/>
      <c r="J89" s="14"/>
    </row>
  </sheetData>
  <pageMargins left="0.70866141732283472" right="0.70866141732283472" top="0.74803149606299213" bottom="0.74803149606299213" header="0.31496062992125984" footer="0.31496062992125984"/>
  <pageSetup scale="59" orientation="landscape" horizontalDpi="4294967293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>
    <tabColor theme="5" tint="-0.249977111117893"/>
    <pageSetUpPr fitToPage="1"/>
  </sheetPr>
  <dimension ref="B6:F40"/>
  <sheetViews>
    <sheetView showGridLines="0" showRowColHeaders="0" workbookViewId="0">
      <selection activeCell="A21" sqref="A21"/>
    </sheetView>
  </sheetViews>
  <sheetFormatPr baseColWidth="10" defaultRowHeight="15" x14ac:dyDescent="0.25"/>
  <cols>
    <col min="1" max="1" width="13.140625" customWidth="1"/>
    <col min="2" max="2" width="31.28515625" bestFit="1" customWidth="1"/>
    <col min="3" max="3" width="31.5703125" bestFit="1" customWidth="1"/>
    <col min="4" max="4" width="30.5703125" bestFit="1" customWidth="1"/>
    <col min="5" max="6" width="22.5703125" bestFit="1" customWidth="1"/>
  </cols>
  <sheetData>
    <row r="6" spans="2:6" x14ac:dyDescent="0.25">
      <c r="B6" s="9" t="s">
        <v>1</v>
      </c>
      <c r="C6" s="8" t="s">
        <v>157</v>
      </c>
    </row>
    <row r="8" spans="2:6" x14ac:dyDescent="0.25">
      <c r="B8" t="s">
        <v>156</v>
      </c>
      <c r="C8" t="s">
        <v>15</v>
      </c>
      <c r="D8" t="s">
        <v>16</v>
      </c>
      <c r="E8" t="s">
        <v>17</v>
      </c>
    </row>
    <row r="9" spans="2:6" x14ac:dyDescent="0.25">
      <c r="B9" s="24">
        <v>4505182025012</v>
      </c>
      <c r="C9" s="24">
        <v>4337557901816.0396</v>
      </c>
      <c r="D9" s="24">
        <v>341258586627.65997</v>
      </c>
      <c r="E9" s="24">
        <v>340907114779.66998</v>
      </c>
    </row>
    <row r="11" spans="2:6" x14ac:dyDescent="0.25">
      <c r="B11" s="17"/>
      <c r="F11" s="1"/>
    </row>
    <row r="15" spans="2:6" x14ac:dyDescent="0.25">
      <c r="E15" s="5"/>
    </row>
    <row r="36" spans="2:4" x14ac:dyDescent="0.25">
      <c r="B36" s="125" t="str">
        <f>+CONCATENATE("PROYECTO","  ",C6)</f>
        <v>PROYECTO  (Todas)</v>
      </c>
      <c r="C36" s="125"/>
      <c r="D36" s="125"/>
    </row>
    <row r="37" spans="2:4" ht="52.5" customHeight="1" x14ac:dyDescent="0.25">
      <c r="B37" s="125"/>
      <c r="C37" s="125"/>
      <c r="D37" s="125"/>
    </row>
    <row r="38" spans="2:4" x14ac:dyDescent="0.25">
      <c r="D38" s="6"/>
    </row>
    <row r="40" spans="2:4" x14ac:dyDescent="0.25">
      <c r="B40" s="7"/>
    </row>
  </sheetData>
  <sheetProtection autoFilter="0" pivotTables="0"/>
  <mergeCells count="1">
    <mergeCell ref="B36:D37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B1:G17"/>
  <sheetViews>
    <sheetView workbookViewId="0">
      <selection activeCell="F4" sqref="F4"/>
    </sheetView>
  </sheetViews>
  <sheetFormatPr baseColWidth="10" defaultRowHeight="15" x14ac:dyDescent="0.25"/>
  <cols>
    <col min="2" max="2" width="24.28515625" customWidth="1"/>
    <col min="3" max="3" width="26.7109375" bestFit="1" customWidth="1"/>
    <col min="4" max="4" width="35" customWidth="1"/>
    <col min="5" max="5" width="23" bestFit="1" customWidth="1"/>
    <col min="6" max="6" width="18" bestFit="1" customWidth="1"/>
    <col min="7" max="7" width="17.85546875" bestFit="1" customWidth="1"/>
    <col min="8" max="8" width="18" bestFit="1" customWidth="1"/>
    <col min="9" max="10" width="17.85546875" bestFit="1" customWidth="1"/>
  </cols>
  <sheetData>
    <row r="1" spans="2:7" ht="15.75" thickBot="1" x14ac:dyDescent="0.3"/>
    <row r="2" spans="2:7" ht="63.75" thickBot="1" x14ac:dyDescent="0.3">
      <c r="B2" s="42" t="s">
        <v>87</v>
      </c>
      <c r="C2" s="43" t="s">
        <v>88</v>
      </c>
      <c r="D2" s="44" t="s">
        <v>89</v>
      </c>
      <c r="E2" s="45" t="s">
        <v>90</v>
      </c>
    </row>
    <row r="3" spans="2:7" ht="16.5" thickBot="1" x14ac:dyDescent="0.3">
      <c r="B3" s="50" t="s">
        <v>26</v>
      </c>
      <c r="C3" s="51">
        <f>2249648633.2/1000000</f>
        <v>2249.6486331999999</v>
      </c>
      <c r="D3" s="52">
        <v>0</v>
      </c>
      <c r="E3" s="53">
        <f>2203835372.55/1000000</f>
        <v>2203.8353725500001</v>
      </c>
      <c r="F3" s="68"/>
      <c r="G3" s="55"/>
    </row>
    <row r="4" spans="2:7" ht="19.5" thickBot="1" x14ac:dyDescent="0.3">
      <c r="B4" s="46" t="s">
        <v>128</v>
      </c>
      <c r="C4" s="47">
        <f>53197266014.59/1000000</f>
        <v>53197.266014589994</v>
      </c>
      <c r="D4" s="48">
        <f>0/1000000</f>
        <v>0</v>
      </c>
      <c r="E4" s="49">
        <f>36722060809.52/1000000</f>
        <v>36722.060809519993</v>
      </c>
      <c r="F4" s="70"/>
      <c r="G4" s="68"/>
    </row>
    <row r="6" spans="2:7" x14ac:dyDescent="0.25">
      <c r="C6" s="54"/>
      <c r="D6" s="54"/>
      <c r="E6" s="54"/>
    </row>
    <row r="7" spans="2:7" ht="15.75" thickBot="1" x14ac:dyDescent="0.3">
      <c r="E7" s="41"/>
    </row>
    <row r="8" spans="2:7" ht="63.75" thickBot="1" x14ac:dyDescent="0.3">
      <c r="B8" s="42" t="s">
        <v>87</v>
      </c>
      <c r="C8" s="53" t="s">
        <v>99</v>
      </c>
      <c r="E8" s="41"/>
    </row>
    <row r="9" spans="2:7" ht="19.5" thickBot="1" x14ac:dyDescent="0.3">
      <c r="B9" s="50" t="s">
        <v>26</v>
      </c>
      <c r="C9" s="49">
        <f>2249648633.2/1000000</f>
        <v>2249.6486331999999</v>
      </c>
      <c r="E9" s="55"/>
    </row>
    <row r="10" spans="2:7" ht="19.5" thickBot="1" x14ac:dyDescent="0.3">
      <c r="B10" s="46" t="s">
        <v>91</v>
      </c>
      <c r="C10" s="45">
        <f>53197266014.59/1000000</f>
        <v>53197.266014589994</v>
      </c>
      <c r="D10" s="64"/>
      <c r="E10" s="55"/>
    </row>
    <row r="12" spans="2:7" x14ac:dyDescent="0.25">
      <c r="C12" s="64"/>
      <c r="D12" s="64"/>
      <c r="E12" s="64"/>
      <c r="F12" s="68"/>
      <c r="G12" s="69"/>
    </row>
    <row r="13" spans="2:7" x14ac:dyDescent="0.25">
      <c r="C13" s="41"/>
    </row>
    <row r="14" spans="2:7" x14ac:dyDescent="0.25">
      <c r="C14" s="41"/>
    </row>
    <row r="16" spans="2:7" x14ac:dyDescent="0.25">
      <c r="C16" s="41"/>
    </row>
    <row r="17" spans="3:3" x14ac:dyDescent="0.25">
      <c r="C17" s="41"/>
    </row>
  </sheetData>
  <pageMargins left="0.70866141732283472" right="0.70866141732283472" top="0.74803149606299213" bottom="0.74803149606299213" header="0.31496062992125984" footer="0.31496062992125984"/>
  <pageSetup paperSize="1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theme="5" tint="-0.249977111117893"/>
    <pageSetUpPr fitToPage="1"/>
  </sheetPr>
  <dimension ref="B7:F12"/>
  <sheetViews>
    <sheetView showGridLines="0" showRowColHeaders="0" zoomScaleNormal="100" workbookViewId="0">
      <selection activeCell="C9" sqref="C9:C11"/>
    </sheetView>
  </sheetViews>
  <sheetFormatPr baseColWidth="10" defaultRowHeight="15" x14ac:dyDescent="0.25"/>
  <cols>
    <col min="2" max="2" width="21.42578125" customWidth="1"/>
    <col min="3" max="3" width="18.7109375" customWidth="1"/>
  </cols>
  <sheetData>
    <row r="7" spans="2:6" x14ac:dyDescent="0.25">
      <c r="B7" s="2"/>
      <c r="C7" s="23"/>
    </row>
    <row r="8" spans="2:6" x14ac:dyDescent="0.25">
      <c r="B8" s="59" t="s">
        <v>5</v>
      </c>
      <c r="C8" s="55" t="s">
        <v>100</v>
      </c>
    </row>
    <row r="9" spans="2:6" x14ac:dyDescent="0.25">
      <c r="B9" s="56" t="s">
        <v>26</v>
      </c>
      <c r="C9" s="55">
        <v>2249.6486331999999</v>
      </c>
    </row>
    <row r="10" spans="2:6" x14ac:dyDescent="0.25">
      <c r="B10" s="56" t="s">
        <v>91</v>
      </c>
      <c r="C10" s="55">
        <v>53197.266014589994</v>
      </c>
    </row>
    <row r="11" spans="2:6" x14ac:dyDescent="0.25">
      <c r="B11" s="56" t="s">
        <v>6</v>
      </c>
      <c r="C11" s="55">
        <v>55446.914647789992</v>
      </c>
      <c r="D11" s="63" t="s">
        <v>103</v>
      </c>
    </row>
    <row r="12" spans="2:6" x14ac:dyDescent="0.25">
      <c r="F12" s="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3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0" ma:contentTypeDescription="Crear nuevo documento." ma:contentTypeScope="" ma:versionID="6ad9a61999b7c12e7f6bc018e32744c0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aad4df78d1b7c821a7c252d964c7c1f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A3A7B3-6529-4A35-9B59-E945B2D657A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AFD593-131C-4F54-B04A-0B35293B06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887A31-34A5-45FE-AECA-A16C6550B9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Menú</vt:lpstr>
      <vt:lpstr>Participación Apropiación </vt:lpstr>
      <vt:lpstr>Resumen Eje Egreso</vt:lpstr>
      <vt:lpstr>INVERSIÓN</vt:lpstr>
      <vt:lpstr>APR VS RP  Y OBLIGACIÓN Y PAGO</vt:lpstr>
      <vt:lpstr>APR,RP´S,OBL Y PAGO FUNCIONAMIE</vt:lpstr>
      <vt:lpstr>INVERSIÓN APR VS RP Y OBLI</vt:lpstr>
      <vt:lpstr>Reservas Presupuestales</vt:lpstr>
      <vt:lpstr>Participación por Concepto</vt:lpstr>
      <vt:lpstr>EJECUCIÓN  RESERVA</vt:lpstr>
      <vt:lpstr>CXP</vt:lpstr>
      <vt:lpstr>PART. CUENTA X PAGAR CONCEPTO </vt:lpstr>
      <vt:lpstr>EJECUCIÓN CUENTA POR PAGAR 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Larri Javier Rodriguez Escobar</dc:creator>
  <cp:lastModifiedBy>Aura Simona Orozco Mindiola</cp:lastModifiedBy>
  <cp:lastPrinted>2022-07-18T14:11:10Z</cp:lastPrinted>
  <dcterms:created xsi:type="dcterms:W3CDTF">2018-03-13T13:24:17Z</dcterms:created>
  <dcterms:modified xsi:type="dcterms:W3CDTF">2022-08-05T16:37:01Z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</Properties>
</file>