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8.xml" ContentType="application/vnd.openxmlformats-officedocument.spreadsheetml.pivotTab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sorozco_ani_gov_co/Documents/PRESUPUESTO/EJECUCIONES PRESUPUESTO/ejecuciones excell2022 publicar/graficas lili/"/>
    </mc:Choice>
  </mc:AlternateContent>
  <xr:revisionPtr revIDLastSave="0" documentId="13_ncr:1_{CBEEA1DC-E4D1-453E-AE8B-4C8C8662CA7F}" xr6:coauthVersionLast="47" xr6:coauthVersionMax="47" xr10:uidLastSave="{00000000-0000-0000-0000-000000000000}"/>
  <bookViews>
    <workbookView xWindow="-120" yWindow="-120" windowWidth="20730" windowHeight="11160" tabRatio="0" firstSheet="1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state="hidden" r:id="rId4"/>
    <sheet name="INVERSIÓN" sheetId="4" state="hidden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state="hidden" r:id="rId9"/>
    <sheet name="Participación por Concepto" sheetId="12" r:id="rId10"/>
    <sheet name="EJECUCIÓN  RESERVA" sheetId="10" r:id="rId11"/>
    <sheet name="CXP" sheetId="13" state="hidden" r:id="rId12"/>
    <sheet name="PART. CUENTA X PAGAR CONCEPTO " sheetId="17" r:id="rId13"/>
    <sheet name="EJECUCIÓN CUENTA POR PAGAR " sheetId="19" r:id="rId14"/>
  </sheets>
  <calcPr calcId="191029"/>
  <pivotCaches>
    <pivotCache cacheId="47" r:id="rId15"/>
    <pivotCache cacheId="48" r:id="rId16"/>
    <pivotCache cacheId="49" r:id="rId17"/>
    <pivotCache cacheId="50" r:id="rId18"/>
    <pivotCache cacheId="51" r:id="rId19"/>
    <pivotCache cacheId="52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3" l="1"/>
  <c r="C9" i="13"/>
  <c r="E4" i="13"/>
  <c r="D4" i="13"/>
  <c r="C4" i="13"/>
  <c r="E3" i="13"/>
  <c r="C3" i="13"/>
  <c r="C10" i="9"/>
  <c r="C9" i="9"/>
  <c r="E4" i="9"/>
  <c r="D4" i="9"/>
  <c r="C4" i="9"/>
  <c r="E3" i="9"/>
  <c r="C3" i="9"/>
  <c r="I38" i="4"/>
  <c r="H38" i="4"/>
  <c r="G38" i="4"/>
  <c r="F38" i="4"/>
  <c r="E38" i="4"/>
  <c r="D38" i="4"/>
  <c r="G20" i="1"/>
  <c r="F20" i="1"/>
  <c r="E20" i="1"/>
  <c r="D20" i="1"/>
  <c r="C20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B36" i="7" l="1"/>
  <c r="E46" i="19"/>
  <c r="E47" i="10"/>
  <c r="C45" i="10"/>
  <c r="D48" i="19"/>
  <c r="E46" i="10"/>
  <c r="C47" i="19"/>
  <c r="E47" i="19"/>
  <c r="C46" i="10"/>
  <c r="D47" i="19"/>
  <c r="E45" i="10"/>
  <c r="J51" i="10"/>
  <c r="D46" i="19"/>
  <c r="D46" i="10"/>
  <c r="E48" i="19"/>
  <c r="D45" i="10"/>
  <c r="C46" i="19"/>
  <c r="E43" i="3"/>
  <c r="C48" i="5"/>
  <c r="F43" i="3"/>
  <c r="E48" i="5"/>
  <c r="C46" i="5"/>
  <c r="D47" i="5"/>
  <c r="C44" i="3"/>
  <c r="F46" i="5"/>
  <c r="C47" i="5"/>
  <c r="F45" i="3"/>
  <c r="D46" i="5"/>
  <c r="C44" i="5"/>
  <c r="E44" i="3"/>
  <c r="D48" i="5"/>
  <c r="F44" i="5"/>
  <c r="E46" i="5"/>
  <c r="F44" i="3"/>
  <c r="C43" i="3"/>
  <c r="E44" i="5"/>
  <c r="F48" i="5"/>
  <c r="D44" i="5"/>
  <c r="F45" i="5"/>
  <c r="E45" i="3"/>
  <c r="F42" i="3"/>
  <c r="F47" i="5"/>
  <c r="C45" i="3"/>
  <c r="E45" i="5"/>
  <c r="C45" i="5"/>
  <c r="D45" i="5"/>
  <c r="D45" i="3"/>
  <c r="C42" i="3"/>
  <c r="D42" i="3" s="1"/>
  <c r="E47" i="5"/>
  <c r="C48" i="19" l="1"/>
  <c r="D47" i="10"/>
  <c r="C47" i="10"/>
  <c r="D44" i="3"/>
  <c r="D43" i="3"/>
  <c r="E42" i="3"/>
</calcChain>
</file>

<file path=xl/sharedStrings.xml><?xml version="1.0" encoding="utf-8"?>
<sst xmlns="http://schemas.openxmlformats.org/spreadsheetml/2006/main" count="244" uniqueCount="159">
  <si>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</si>
  <si>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</si>
  <si>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</si>
  <si>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</si>
  <si>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</si>
  <si>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</si>
  <si>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</si>
  <si>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</si>
  <si>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</si>
  <si>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</si>
  <si>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</si>
  <si>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</si>
  <si>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</si>
  <si>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</si>
  <si>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</si>
  <si>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</si>
  <si>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</si>
  <si>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</si>
  <si>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</si>
  <si>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</si>
  <si>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</si>
  <si>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</si>
  <si>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</si>
  <si>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</si>
  <si>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</si>
  <si>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</si>
  <si>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</si>
  <si>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</si>
  <si>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</si>
  <si>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</si>
  <si>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</si>
  <si>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</si>
  <si>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</si>
  <si>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</si>
  <si>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</si>
  <si>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</si>
  <si>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</si>
  <si>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</si>
  <si>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</si>
  <si>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</si>
  <si>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</si>
  <si>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</si>
  <si>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</si>
  <si>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</si>
  <si>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</si>
  <si>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</si>
  <si>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</si>
  <si>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</si>
  <si>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</si>
  <si>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</si>
  <si>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</si>
  <si>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</si>
  <si>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</si>
  <si>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</si>
  <si>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</si>
  <si>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</si>
  <si>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</si>
  <si>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</si>
  <si>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</si>
  <si>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</si>
  <si>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</si>
  <si>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</si>
  <si>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</si>
  <si>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</si>
  <si>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</si>
  <si>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</si>
  <si>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</si>
  <si>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</si>
  <si>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</si>
  <si>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</si>
  <si>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</si>
  <si>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</si>
  <si>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</si>
  <si>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</si>
  <si>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</si>
  <si>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</si>
  <si>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</si>
  <si>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</si>
  <si>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</si>
  <si>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</si>
  <si>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</si>
  <si>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</si>
  <si>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</si>
  <si>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</si>
  <si>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</si>
  <si>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</si>
  <si>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</si>
  <si>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</si>
  <si>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</si>
  <si>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</si>
  <si>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</si>
  <si>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</si>
  <si>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</si>
  <si>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</si>
  <si>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</si>
  <si>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</si>
  <si>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Ejecución Presupuesto de Gastos</t>
  </si>
  <si>
    <t>Ejecución Reserva Presupuestal Constituida</t>
  </si>
  <si>
    <t>Porcentaje Participación de la Reserva por Concepto de Gasto</t>
  </si>
  <si>
    <t>Reservas Vigente</t>
  </si>
  <si>
    <t>Reservas Vigentes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</si>
  <si>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</si>
  <si>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</si>
  <si>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</si>
  <si>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</si>
  <si>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</si>
  <si>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</si>
  <si>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</si>
  <si>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</si>
  <si>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</si>
  <si>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</si>
  <si>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</si>
  <si>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</si>
  <si>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</si>
  <si>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</si>
  <si>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</si>
  <si>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</si>
  <si>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</si>
  <si>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</si>
  <si>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</si>
  <si>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</si>
  <si>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</si>
  <si>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</si>
  <si>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</si>
  <si>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</si>
  <si>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</si>
  <si>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</si>
  <si>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</si>
  <si>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</si>
  <si>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</si>
  <si>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</si>
  <si>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</si>
  <si>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</si>
  <si>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</si>
  <si>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</si>
  <si>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</si>
  <si>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</si>
  <si>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</si>
  <si>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</si>
  <si>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</si>
  <si>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</si>
  <si>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</si>
  <si>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>CXP VIGENTE</t>
  </si>
  <si>
    <t>Ejecución Cuenta por Pagar Constituida</t>
  </si>
  <si>
    <t>Porcentaje Participación de la Cuenta por Pagar por Concepto de Gasto</t>
  </si>
  <si>
    <t>Ejecución de la Cuenta por Pagar Constituida</t>
  </si>
  <si>
    <t xml:space="preserve">  </t>
  </si>
  <si>
    <t>CUENTA X PAGAR VIGENTE</t>
  </si>
  <si>
    <t>Suma de CXP CONSTITUIDAS
(1)</t>
  </si>
  <si>
    <t>Suma de CANCELACIONES CXP
 (2)</t>
  </si>
  <si>
    <t>Suma de TOTAL PAGOS
ACUMULADOS
(5)</t>
  </si>
  <si>
    <t>CXP CONSTITUIDAS</t>
  </si>
  <si>
    <t>CANCELACIONES CXP</t>
  </si>
  <si>
    <t>TOTAL PAGOS</t>
  </si>
  <si>
    <t>Ejecución Acumulada Cuentas por Pagar</t>
  </si>
  <si>
    <t>Ejecución  Cuentas por Pagar por Concepto</t>
  </si>
  <si>
    <t>Suma de APROPIACION
 VIGENTE</t>
  </si>
  <si>
    <t>(Todas)</t>
  </si>
  <si>
    <t>Ejecución  Presupuestal Acumulada al 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</si>
</sst>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  <numFmt numFmtId="169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 applyBorder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Fill="1"/>
    <xf numFmtId="0" fontId="0" fillId="2" borderId="0" xfId="0" applyFont="1" applyFill="1"/>
    <xf numFmtId="0" fontId="6" fillId="2" borderId="0" xfId="0" applyFont="1" applyFill="1"/>
    <xf numFmtId="0" fontId="14" fillId="0" borderId="3" xfId="0" applyFont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0" fillId="0" borderId="0" xfId="0" applyFont="1" applyFill="1"/>
    <xf numFmtId="0" fontId="16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7" fillId="4" borderId="1" xfId="0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8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9" fontId="16" fillId="0" borderId="0" xfId="13" applyFont="1" applyFill="1" applyBorder="1"/>
    <xf numFmtId="10" fontId="16" fillId="0" borderId="0" xfId="13" applyNumberFormat="1" applyFont="1" applyFill="1" applyBorder="1"/>
    <xf numFmtId="0" fontId="18" fillId="0" borderId="0" xfId="0" applyFont="1" applyFill="1" applyBorder="1" applyAlignment="1">
      <alignment horizontal="left"/>
    </xf>
    <xf numFmtId="41" fontId="18" fillId="0" borderId="0" xfId="0" applyNumberFormat="1" applyFont="1" applyFill="1" applyBorder="1"/>
    <xf numFmtId="9" fontId="18" fillId="0" borderId="0" xfId="13" applyFont="1" applyFill="1" applyBorder="1"/>
    <xf numFmtId="167" fontId="18" fillId="0" borderId="0" xfId="13" applyNumberFormat="1" applyFont="1" applyFill="1" applyBorder="1"/>
    <xf numFmtId="43" fontId="0" fillId="0" borderId="0" xfId="16" applyFont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3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164" fontId="19" fillId="2" borderId="6" xfId="3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4" fontId="20" fillId="2" borderId="5" xfId="3" applyFont="1" applyFill="1" applyBorder="1" applyAlignment="1">
      <alignment horizontal="right" vertical="center"/>
    </xf>
    <xf numFmtId="4" fontId="20" fillId="2" borderId="5" xfId="3" applyNumberFormat="1" applyFont="1" applyFill="1" applyBorder="1" applyAlignment="1">
      <alignment horizontal="right" vertical="center"/>
    </xf>
    <xf numFmtId="4" fontId="20" fillId="2" borderId="6" xfId="3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vertical="center" wrapText="1"/>
    </xf>
    <xf numFmtId="164" fontId="19" fillId="2" borderId="7" xfId="3" applyFont="1" applyFill="1" applyBorder="1" applyAlignment="1">
      <alignment horizontal="right" vertical="center"/>
    </xf>
    <xf numFmtId="4" fontId="19" fillId="2" borderId="7" xfId="3" applyNumberFormat="1" applyFont="1" applyFill="1" applyBorder="1" applyAlignment="1">
      <alignment horizontal="right" vertical="center"/>
    </xf>
    <xf numFmtId="4" fontId="19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pivotButton="1" applyNumberFormat="1"/>
    <xf numFmtId="0" fontId="9" fillId="5" borderId="0" xfId="14" applyFont="1" applyFill="1" applyBorder="1"/>
    <xf numFmtId="0" fontId="9" fillId="0" borderId="0" xfId="14" applyFont="1" applyFill="1" applyBorder="1"/>
    <xf numFmtId="0" fontId="8" fillId="6" borderId="0" xfId="0" applyFont="1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4" fillId="0" borderId="0" xfId="0" applyFont="1"/>
    <xf numFmtId="0" fontId="24" fillId="0" borderId="0" xfId="0" applyFont="1" applyFill="1"/>
    <xf numFmtId="9" fontId="0" fillId="0" borderId="0" xfId="13" applyFont="1"/>
    <xf numFmtId="167" fontId="0" fillId="0" borderId="0" xfId="13" applyNumberFormat="1" applyFont="1"/>
    <xf numFmtId="10" fontId="0" fillId="0" borderId="0" xfId="13" applyNumberFormat="1" applyFont="1"/>
    <xf numFmtId="0" fontId="25" fillId="7" borderId="9" xfId="4" applyFont="1" applyFill="1" applyBorder="1" applyAlignment="1">
      <alignment horizontal="center" vertical="center" wrapText="1"/>
    </xf>
    <xf numFmtId="0" fontId="20" fillId="8" borderId="5" xfId="17" applyFont="1" applyFill="1" applyBorder="1" applyAlignment="1">
      <alignment vertical="center" wrapText="1"/>
    </xf>
    <xf numFmtId="0" fontId="19" fillId="2" borderId="10" xfId="17" applyFont="1" applyFill="1" applyBorder="1" applyAlignment="1">
      <alignment vertical="center" wrapText="1"/>
    </xf>
    <xf numFmtId="164" fontId="25" fillId="7" borderId="9" xfId="5" applyFont="1" applyFill="1" applyBorder="1" applyAlignment="1">
      <alignment horizontal="center" vertical="center" wrapText="1"/>
    </xf>
    <xf numFmtId="164" fontId="25" fillId="7" borderId="11" xfId="5" applyFont="1" applyFill="1" applyBorder="1" applyAlignment="1">
      <alignment horizontal="center" vertical="center" wrapText="1"/>
    </xf>
    <xf numFmtId="39" fontId="20" fillId="8" borderId="5" xfId="18" applyNumberFormat="1" applyFont="1" applyFill="1" applyBorder="1" applyAlignment="1">
      <alignment horizontal="right" vertical="center"/>
    </xf>
    <xf numFmtId="39" fontId="20" fillId="8" borderId="6" xfId="18" applyNumberFormat="1" applyFont="1" applyFill="1" applyBorder="1" applyAlignment="1">
      <alignment horizontal="right" vertical="center"/>
    </xf>
    <xf numFmtId="0" fontId="19" fillId="2" borderId="1" xfId="17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justify" wrapText="1"/>
    </xf>
    <xf numFmtId="4" fontId="26" fillId="2" borderId="10" xfId="17" applyNumberFormat="1" applyFont="1" applyFill="1" applyBorder="1" applyAlignment="1">
      <alignment vertical="center" wrapText="1"/>
    </xf>
    <xf numFmtId="4" fontId="26" fillId="2" borderId="12" xfId="17" applyNumberFormat="1" applyFont="1" applyFill="1" applyBorder="1" applyAlignment="1">
      <alignment vertical="center" wrapText="1"/>
    </xf>
    <xf numFmtId="4" fontId="27" fillId="2" borderId="1" xfId="17" applyNumberFormat="1" applyFont="1" applyFill="1" applyBorder="1" applyAlignment="1">
      <alignment horizontal="right" vertical="center" wrapText="1" readingOrder="1"/>
    </xf>
    <xf numFmtId="4" fontId="27" fillId="2" borderId="13" xfId="17" applyNumberFormat="1" applyFont="1" applyFill="1" applyBorder="1" applyAlignment="1">
      <alignment horizontal="right" vertical="center" wrapText="1" readingOrder="1"/>
    </xf>
    <xf numFmtId="168" fontId="0" fillId="0" borderId="0" xfId="1" applyNumberFormat="1" applyFont="1"/>
    <xf numFmtId="4" fontId="0" fillId="0" borderId="1" xfId="0" applyNumberFormat="1" applyBorder="1"/>
    <xf numFmtId="0" fontId="28" fillId="0" borderId="0" xfId="0" applyFont="1"/>
    <xf numFmtId="0" fontId="8" fillId="0" borderId="0" xfId="0" applyFont="1"/>
    <xf numFmtId="9" fontId="11" fillId="0" borderId="0" xfId="13" applyFont="1" applyFill="1"/>
    <xf numFmtId="167" fontId="11" fillId="0" borderId="0" xfId="13" applyNumberFormat="1" applyFont="1" applyFill="1"/>
    <xf numFmtId="10" fontId="11" fillId="0" borderId="0" xfId="13" applyNumberFormat="1" applyFont="1" applyFill="1"/>
    <xf numFmtId="43" fontId="13" fillId="0" borderId="2" xfId="16" applyFont="1" applyBorder="1"/>
    <xf numFmtId="43" fontId="15" fillId="2" borderId="4" xfId="16" applyFont="1" applyFill="1" applyBorder="1"/>
    <xf numFmtId="43" fontId="15" fillId="0" borderId="4" xfId="16" applyFont="1" applyBorder="1"/>
    <xf numFmtId="0" fontId="16" fillId="2" borderId="0" xfId="0" applyFont="1" applyFill="1" applyBorder="1"/>
    <xf numFmtId="0" fontId="11" fillId="2" borderId="0" xfId="0" applyFont="1" applyFill="1" applyBorder="1"/>
    <xf numFmtId="0" fontId="11" fillId="0" borderId="0" xfId="0" applyFont="1" applyFill="1" applyBorder="1"/>
    <xf numFmtId="0" fontId="11" fillId="2" borderId="0" xfId="0" applyFont="1" applyFill="1"/>
    <xf numFmtId="0" fontId="11" fillId="0" borderId="0" xfId="0" applyFont="1"/>
    <xf numFmtId="10" fontId="11" fillId="0" borderId="0" xfId="0" applyNumberFormat="1" applyFont="1" applyFill="1"/>
    <xf numFmtId="0" fontId="30" fillId="0" borderId="0" xfId="0" applyFont="1" applyFill="1" applyBorder="1" applyAlignment="1">
      <alignment horizontal="left"/>
    </xf>
    <xf numFmtId="41" fontId="30" fillId="0" borderId="0" xfId="0" applyNumberFormat="1" applyFont="1" applyFill="1" applyBorder="1"/>
    <xf numFmtId="10" fontId="30" fillId="0" borderId="0" xfId="13" applyNumberFormat="1" applyFont="1" applyFill="1" applyBorder="1"/>
    <xf numFmtId="167" fontId="30" fillId="0" borderId="0" xfId="13" applyNumberFormat="1" applyFont="1" applyFill="1" applyBorder="1"/>
    <xf numFmtId="9" fontId="30" fillId="0" borderId="0" xfId="13" applyFont="1" applyFill="1" applyBorder="1"/>
    <xf numFmtId="41" fontId="30" fillId="0" borderId="0" xfId="1" applyFont="1" applyFill="1" applyBorder="1"/>
    <xf numFmtId="0" fontId="30" fillId="0" borderId="0" xfId="0" applyFont="1" applyFill="1"/>
    <xf numFmtId="10" fontId="30" fillId="0" borderId="0" xfId="13" applyNumberFormat="1" applyFont="1" applyFill="1"/>
    <xf numFmtId="0" fontId="31" fillId="0" borderId="0" xfId="0" applyFont="1" applyFill="1"/>
    <xf numFmtId="0" fontId="29" fillId="0" borderId="0" xfId="0" applyFont="1" applyFill="1"/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41" fontId="32" fillId="0" borderId="0" xfId="0" applyNumberFormat="1" applyFont="1" applyFill="1" applyBorder="1"/>
    <xf numFmtId="168" fontId="30" fillId="0" borderId="0" xfId="0" applyNumberFormat="1" applyFont="1" applyFill="1" applyBorder="1"/>
    <xf numFmtId="168" fontId="30" fillId="0" borderId="0" xfId="1" applyNumberFormat="1" applyFont="1" applyFill="1" applyBorder="1"/>
    <xf numFmtId="10" fontId="32" fillId="0" borderId="0" xfId="13" applyNumberFormat="1" applyFont="1" applyFill="1" applyBorder="1"/>
    <xf numFmtId="10" fontId="32" fillId="0" borderId="0" xfId="13" applyNumberFormat="1" applyFont="1" applyFill="1"/>
    <xf numFmtId="43" fontId="13" fillId="0" borderId="2" xfId="16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3" fontId="21" fillId="0" borderId="0" xfId="0" applyNumberFormat="1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64">
    <dxf>
      <numFmt numFmtId="35" formatCode="_-* #,##0.00_-;\-* #,##0.00_-;_-* &quot;-&quot;??_-;_-@_-"/>
    </dxf>
    <dxf>
      <numFmt numFmtId="169" formatCode="0.0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marzo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9C1-47E6-9063-61FAD12C23D5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E9C1-47E6-9063-61FAD12C2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'PART. CUENTA X PAGAR CONCEPTO '!$C$9:$C$11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7E6-9063-61FAD12C23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69850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'!$E$46</c:f>
              <c:strCache>
                <c:ptCount val="1"/>
                <c:pt idx="0">
                  <c:v>86,9%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{397C6FEA-3113-4C50-A5A3-A8F4A6EF5278}</c15:txfldGUID>
                  <c15:f>'EJECUCIÓN CUENTA POR PAGAR '!$E$46</c15:f>
                  <c15:dlblFieldTableCache>
                    <c:ptCount val="1"/>
                    <c:pt idx="0">
                      <c:v>86,9%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'!$E$47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{300EEEE5-79CC-45CB-9A73-5EAFE886468A}</c15:txfldGUID>
                  <c15:f>'EJECUCIÓN CUENTA POR PAGAR '!$E$47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'!$E$46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'!$E$46</c:f>
              <c:strCache>
                <c:ptCount val="1"/>
                <c:pt idx="0">
                  <c:v>CANCELACIONES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'!$E$46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A8D-4CD7-9C20-B2CCE189E2FD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8D-4CD7-9C20-B2CCE189E2FD}"/>
              </c:ext>
            </c:extLst>
          </c:dPt>
          <c:dLbls>
            <c:dLbl>
              <c:idx val="0"/>
              <c:tx>
                <c:strRef>
                  <c:f>'EJECUCIÓN CUENTA POR PAGAR '!$E$46</c:f>
                  <c:strCache>
                    <c:ptCount val="1"/>
                    <c:pt idx="0">
                      <c:v>86,9%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{6AFBFC5C-938A-44D9-9A59-834DB127AE1E}</c15:txfldGUID>
                      <c15:f>'EJECUCIÓN CUENTA POR PAGAR '!$E$46</c15:f>
                      <c15:dlblFieldTableCache>
                        <c:ptCount val="1"/>
                        <c:pt idx="0">
                          <c:v>86,9%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A8D-4CD7-9C20-B2CCE189E2FD}"/>
                </c:ext>
              </c:extLst>
            </c:dLbl>
            <c:dLbl>
              <c:idx val="1"/>
              <c:tx>
                <c:strRef>
                  <c:f>'EJECUCIÓN CUENTA POR PAGAR '!$E$47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{BECE8CE0-40E2-499C-80FD-A969B7C3FA79}</c15:txfldGUID>
                      <c15:f>'EJECUCIÓN CUENTA POR PAGAR '!$E$47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A8D-4CD7-9C20-B2CCE189E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6858.4404993999997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'!$E$48</c:f>
              <c:strCache>
                <c:ptCount val="1"/>
                <c:pt idx="0">
                  <c:v>87,18%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{960A0E47-8C84-4924-919E-4A1FC533098C}</c15:txfldGUID>
                  <c15:f>'EJECUCIÓN CUENTA POR PAGAR '!$E$48</c15:f>
                  <c15:dlblFieldTableCache>
                    <c:ptCount val="1"/>
                    <c:pt idx="0">
                      <c:v>87,18%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'!$E$48</c:f>
              <c:strCache>
                <c:ptCount val="1"/>
                <c:pt idx="0">
                  <c:v>Suma de CXP CONSTITUIDAS
(1)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'!$E$48</c:f>
              <c:strCache>
                <c:ptCount val="1"/>
                <c:pt idx="0">
                  <c:v>Suma de CANCELACIONES CXP
 (2)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'!$E$48</c:f>
              <c:strCache>
                <c:ptCount val="1"/>
                <c:pt idx="0">
                  <c:v>Suma de TOTAL PAGOS
ACUMULADOS
(5)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88B-462D-9216-3F6C37C0E717}"/>
              </c:ext>
            </c:extLst>
          </c:dPt>
          <c:dLbls>
            <c:dLbl>
              <c:idx val="0"/>
              <c:tx>
                <c:strRef>
                  <c:f>'EJECUCIÓN CUENTA POR PAGAR '!$E$48</c:f>
                  <c:strCache>
                    <c:ptCount val="1"/>
                    <c:pt idx="0">
                      <c:v>87,18%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{03AC7A0E-F84C-465C-9638-46741A694AC4}</c15:txfldGUID>
                      <c15:f>'EJECUCIÓN CUENTA POR PAGAR '!$E$48</c15:f>
                      <c15:dlblFieldTableCache>
                        <c:ptCount val="1"/>
                        <c:pt idx="0">
                          <c:v>87,18%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88B-462D-9216-3F6C37C0E7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7040.8691733999995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8471251207009271E-2"/>
              <c:y val="-5.148006191389503E-2"/>
            </c:manualLayout>
          </c:layout>
          <c:tx>
            <c:strRef>
              <c:f>'APR VS RP  Y OBLIGACIÓN Y PAGO'!$F$42</c:f>
              <c:strCache>
                <c:ptCount val="1"/>
                <c:pt idx="0">
                  <c:v>13,94%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{B253647C-B7AC-4C04-A532-8DFAA57170C2}</c15:txfldGUID>
                  <c15:f>'APR VS RP  Y OBLIGACIÓN Y PAGO'!$F$42</c15:f>
                  <c15:dlblFieldTableCache>
                    <c:ptCount val="1"/>
                    <c:pt idx="0">
                      <c:v>13,94%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848501337785492E-2"/>
              <c:y val="-2.0592024765558069E-2"/>
            </c:manualLayout>
          </c:layout>
          <c:tx>
            <c:strRef>
              <c:f>'APR VS RP  Y OBLIGACIÓN Y PAGO'!$E$42</c:f>
              <c:strCache>
                <c:ptCount val="1"/>
                <c:pt idx="0">
                  <c:v>15,04%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{B6E5730D-7F2D-4048-8703-3817A35CAFD0}</c15:txfldGUID>
                  <c15:f>'APR VS RP  Y OBLIGACIÓN Y PAGO'!$E$42</c15:f>
                  <c15:dlblFieldTableCache>
                    <c:ptCount val="1"/>
                    <c:pt idx="0">
                      <c:v>15,04%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strRef>
              <c:f>'APR VS RP  Y OBLIGACIÓN Y PAGO'!$E$43</c:f>
              <c:strCache>
                <c:ptCount val="1"/>
                <c:pt idx="0">
                  <c:v>7,09%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{6116AD74-D299-46EC-9192-4B8A28AF5B12}</c15:txfldGUID>
                  <c15:f>'APR VS RP  Y OBLIGACIÓN Y PAGO'!$E$43</c15:f>
                  <c15:dlblFieldTableCache>
                    <c:ptCount val="1"/>
                    <c:pt idx="0">
                      <c:v>7,09%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440871917138237E-2"/>
              <c:y val="-1.544401857416848E-2"/>
            </c:manualLayout>
          </c:layout>
          <c:tx>
            <c:strRef>
              <c:f>'APR VS RP  Y OBLIGACIÓN Y PAGO'!$F$43</c:f>
              <c:strCache>
                <c:ptCount val="1"/>
                <c:pt idx="0">
                  <c:v>7,09%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{12E485BE-60A1-4B1B-942F-2F7B3C7E2E3E}</c15:txfldGUID>
                  <c15:f>'APR VS RP  Y OBLIGACIÓN Y PAGO'!$F$43</c15:f>
                  <c15:dlblFieldTableCache>
                    <c:ptCount val="1"/>
                    <c:pt idx="0">
                      <c:v>7,09%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3824678118016623E-2"/>
              <c:y val="-5.920207120097927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{2B03743E-B90F-4445-BE17-92CC6376ABC4}</c15:txfldGUID>
                  <c15:f>'APR VS RP  Y OBLIGACIÓN Y PAGO'!$E$44</c15:f>
                  <c15:dlblFieldTableCache>
                    <c:ptCount val="1"/>
                    <c:pt idx="0">
                      <c:v>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6.3385809561278803E-2"/>
              <c:y val="-3.0888037148337055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{C19F4A97-7AE1-4919-B515-1E17155BB9B7}</c15:txfldGUID>
                  <c15:f>'APR VS RP  Y OBLIGACIÓN Y PAGO'!$F$44</c15:f>
                  <c15:dlblFieldTableCache>
                    <c:ptCount val="1"/>
                    <c:pt idx="0">
                      <c:v>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7011846227211591E-2"/>
              <c:y val="-9.5238114540705632E-2"/>
            </c:manualLayout>
          </c:layout>
          <c:tx>
            <c:strRef>
              <c:f>'APR VS RP  Y OBLIGACIÓN Y PAGO'!$D$42</c:f>
              <c:strCache>
                <c:ptCount val="1"/>
                <c:pt idx="0">
                  <c:v>23,64%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{A05AE88E-AEF3-4C48-9074-EF8BE77FDF13}</c15:txfldGUID>
                  <c15:f>'APR VS RP  Y OBLIGACIÓN Y PAGO'!$D$42</c15:f>
                  <c15:dlblFieldTableCache>
                    <c:ptCount val="1"/>
                    <c:pt idx="0">
                      <c:v>23,64%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01337785575E-2"/>
              <c:y val="-2.0592024765557975E-2"/>
            </c:manualLayout>
          </c:layout>
          <c:tx>
            <c:strRef>
              <c:f>'APR VS RP  Y OBLIGACIÓN Y PAGO'!$D$43</c:f>
              <c:strCache>
                <c:ptCount val="1"/>
                <c:pt idx="0">
                  <c:v>7,09%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{26048048-6C63-445E-BEF2-0CC75E62C96F}</c15:txfldGUID>
                  <c15:f>'APR VS RP  Y OBLIGACIÓN Y PAGO'!$D$43</c15:f>
                  <c15:dlblFieldTableCache>
                    <c:ptCount val="1"/>
                    <c:pt idx="0">
                      <c:v>7,09%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4.6130497023125071E-2"/>
              <c:y val="-1.2870015478473733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95,41%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{9F04700E-8D7D-43B9-8A72-178A72C296D0}</c15:txfldGUID>
                  <c15:f>'APR VS RP  Y OBLIGACIÓN Y PAGO'!$D$44</c15:f>
                  <c15:dlblFieldTableCache>
                    <c:ptCount val="1"/>
                    <c:pt idx="0">
                      <c:v>95,41%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PAGO'!$F$42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D8-471D-A1AF-F4C8AE927CCE}"/>
            </c:ext>
          </c:extLst>
        </c:ser>
        <c:ser>
          <c:idx val="1"/>
          <c:order val="1"/>
          <c:tx>
            <c:strRef>
              <c:f>'APR VS RP  Y OBLIGACIÓN Y PAGO'!$F$42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B4-44D9-83B1-862E0EB2615B}"/>
              </c:ext>
            </c:extLst>
          </c:dPt>
          <c:dLbls>
            <c:dLbl>
              <c:idx val="0"/>
              <c:layout>
                <c:manualLayout>
                  <c:x val="3.7011846227211591E-2"/>
                  <c:y val="-9.5238114540705632E-2"/>
                </c:manualLayout>
              </c:layout>
              <c:tx>
                <c:strRef>
                  <c:f>'APR VS RP  Y OBLIGACIÓN Y PAGO'!$D$42</c:f>
                  <c:strCache>
                    <c:ptCount val="1"/>
                    <c:pt idx="0">
                      <c:v>23,64%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{F7336A42-5021-46EB-86F7-C6775147C583}</c15:txfldGUID>
                      <c15:f>'APR VS RP  Y OBLIGACIÓN Y PAGO'!$D$42</c15:f>
                      <c15:dlblFieldTableCache>
                        <c:ptCount val="1"/>
                        <c:pt idx="0">
                          <c:v>23,64%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AB4-44D9-83B1-862E0EB2615B}"/>
                </c:ext>
              </c:extLst>
            </c:dLbl>
            <c:dLbl>
              <c:idx val="1"/>
              <c:layout>
                <c:manualLayout>
                  <c:x val="3.5848501337785575E-2"/>
                  <c:y val="-2.0592024765557975E-2"/>
                </c:manualLayout>
              </c:layout>
              <c:tx>
                <c:strRef>
                  <c:f>'APR VS RP  Y OBLIGACIÓN Y PAGO'!$D$43</c:f>
                  <c:strCache>
                    <c:ptCount val="1"/>
                    <c:pt idx="0">
                      <c:v>7,09%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{896E2704-F51A-4D4B-9188-753822CF328A}</c15:txfldGUID>
                      <c15:f>'APR VS RP  Y OBLIGACIÓN Y PAGO'!$D$43</c15:f>
                      <c15:dlblFieldTableCache>
                        <c:ptCount val="1"/>
                        <c:pt idx="0">
                          <c:v>7,09%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AB4-44D9-83B1-862E0EB2615B}"/>
                </c:ext>
              </c:extLst>
            </c:dLbl>
            <c:dLbl>
              <c:idx val="2"/>
              <c:layout>
                <c:manualLayout>
                  <c:x val="4.6130497023125071E-2"/>
                  <c:y val="-1.2870015478473733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95,41%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{DF5D465E-D72E-46F4-A35D-915DFF2DF80F}</c15:txfldGUID>
                      <c15:f>'APR VS RP  Y OBLIGACIÓN Y PAGO'!$D$44</c15:f>
                      <c15:dlblFieldTableCache>
                        <c:ptCount val="1"/>
                        <c:pt idx="0">
                          <c:v>95,41%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23586.893098450004</c:v>
                </c:pt>
                <c:pt idx="1">
                  <c:v>82787.334910000005</c:v>
                </c:pt>
                <c:pt idx="2">
                  <c:v>4298488.44877946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D8-471D-A1AF-F4C8AE927CCE}"/>
            </c:ext>
          </c:extLst>
        </c:ser>
        <c:ser>
          <c:idx val="2"/>
          <c:order val="2"/>
          <c:tx>
            <c:strRef>
              <c:f>'APR VS RP  Y OBLIGACIÓN Y PAGO'!$F$42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1AB4-44D9-83B1-862E0EB2615B}"/>
              </c:ext>
            </c:extLst>
          </c:dPt>
          <c:dLbls>
            <c:dLbl>
              <c:idx val="0"/>
              <c:layout>
                <c:manualLayout>
                  <c:x val="3.5848501337785492E-2"/>
                  <c:y val="-2.0592024765558069E-2"/>
                </c:manualLayout>
              </c:layout>
              <c:tx>
                <c:strRef>
                  <c:f>'APR VS RP  Y OBLIGACIÓN Y PAGO'!$E$42</c:f>
                  <c:strCache>
                    <c:ptCount val="1"/>
                    <c:pt idx="0">
                      <c:v>15,04%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{EF53BD49-59C8-4A15-9A12-C6F619782931}</c15:txfldGUID>
                      <c15:f>'APR VS RP  Y OBLIGACIÓN Y PAGO'!$E$42</c15:f>
                      <c15:dlblFieldTableCache>
                        <c:ptCount val="1"/>
                        <c:pt idx="0">
                          <c:v>15,04%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AB4-44D9-83B1-862E0EB2615B}"/>
                </c:ext>
              </c:extLst>
            </c:dLbl>
            <c:dLbl>
              <c:idx val="1"/>
              <c:layout>
                <c:manualLayout>
                  <c:x val="3.2379291530903104E-2"/>
                  <c:y val="-1.8018021669863417E-2"/>
                </c:manualLayout>
              </c:layout>
              <c:tx>
                <c:strRef>
                  <c:f>'APR VS RP  Y OBLIGACIÓN Y PAGO'!$E$43</c:f>
                  <c:strCache>
                    <c:ptCount val="1"/>
                    <c:pt idx="0">
                      <c:v>7,09%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{1CC9417C-D130-4318-9783-0869717DA987}</c15:txfldGUID>
                      <c15:f>'APR VS RP  Y OBLIGACIÓN Y PAGO'!$E$43</c15:f>
                      <c15:dlblFieldTableCache>
                        <c:ptCount val="1"/>
                        <c:pt idx="0">
                          <c:v>7,09%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AB4-44D9-83B1-862E0EB2615B}"/>
                </c:ext>
              </c:extLst>
            </c:dLbl>
            <c:dLbl>
              <c:idx val="2"/>
              <c:layout>
                <c:manualLayout>
                  <c:x val="4.3824678118016623E-2"/>
                  <c:y val="-5.920207120097927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7,18%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{C4B4E784-B4F0-48D2-93A0-45C74DFA3BEA}</c15:txfldGUID>
                      <c15:f>'APR VS RP  Y OBLIGACIÓN Y PAGO'!$E$44</c15:f>
                      <c15:dlblFieldTableCache>
                        <c:ptCount val="1"/>
                        <c:pt idx="0">
                          <c:v>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15006.592410740002</c:v>
                </c:pt>
                <c:pt idx="1">
                  <c:v>82787.334910000005</c:v>
                </c:pt>
                <c:pt idx="2">
                  <c:v>323594.67298713996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D8-471D-A1AF-F4C8AE927CCE}"/>
            </c:ext>
          </c:extLst>
        </c:ser>
        <c:ser>
          <c:idx val="3"/>
          <c:order val="3"/>
          <c:tx>
            <c:strRef>
              <c:f>'APR VS RP  Y OBLIGACIÓN Y PAGO'!$F$42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1AB4-44D9-83B1-862E0EB2615B}"/>
              </c:ext>
            </c:extLst>
          </c:dPt>
          <c:dLbls>
            <c:dLbl>
              <c:idx val="0"/>
              <c:layout>
                <c:manualLayout>
                  <c:x val="4.8471251207009271E-2"/>
                  <c:y val="-5.148006191389503E-2"/>
                </c:manualLayout>
              </c:layout>
              <c:tx>
                <c:strRef>
                  <c:f>'APR VS RP  Y OBLIGACIÓN Y PAGO'!$F$42</c:f>
                  <c:strCache>
                    <c:ptCount val="1"/>
                    <c:pt idx="0">
                      <c:v>13,94%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{6630E279-DC7E-4AF9-82C5-03F8774A2761}</c15:txfldGUID>
                      <c15:f>'APR VS RP  Y OBLIGACIÓN Y PAGO'!$F$42</c15:f>
                      <c15:dlblFieldTableCache>
                        <c:ptCount val="1"/>
                        <c:pt idx="0">
                          <c:v>13,94%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AB4-44D9-83B1-862E0EB2615B}"/>
                </c:ext>
              </c:extLst>
            </c:dLbl>
            <c:dLbl>
              <c:idx val="1"/>
              <c:layout>
                <c:manualLayout>
                  <c:x val="2.5440871917138237E-2"/>
                  <c:y val="-1.544401857416848E-2"/>
                </c:manualLayout>
              </c:layout>
              <c:tx>
                <c:strRef>
                  <c:f>'APR VS RP  Y OBLIGACIÓN Y PAGO'!$F$43</c:f>
                  <c:strCache>
                    <c:ptCount val="1"/>
                    <c:pt idx="0">
                      <c:v>7,09%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{8F00B16A-00FF-47BA-8449-8D47149472C0}</c15:txfldGUID>
                      <c15:f>'APR VS RP  Y OBLIGACIÓN Y PAGO'!$F$43</c15:f>
                      <c15:dlblFieldTableCache>
                        <c:ptCount val="1"/>
                        <c:pt idx="0">
                          <c:v>7,09%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AB4-44D9-83B1-862E0EB2615B}"/>
                </c:ext>
              </c:extLst>
            </c:dLbl>
            <c:dLbl>
              <c:idx val="2"/>
              <c:layout>
                <c:manualLayout>
                  <c:x val="6.3385809561278803E-2"/>
                  <c:y val="-3.0888037148337055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7,18%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{1349BD19-F7FC-4230-88DE-048008F371F9}</c15:txfldGUID>
                      <c15:f>'APR VS RP  Y OBLIGACIÓN Y PAGO'!$F$44</c15:f>
                      <c15:dlblFieldTableCache>
                        <c:ptCount val="1"/>
                        <c:pt idx="0">
                          <c:v>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13913.491643740002</c:v>
                </c:pt>
                <c:pt idx="1">
                  <c:v>82787.334910000005</c:v>
                </c:pt>
                <c:pt idx="2">
                  <c:v>323325.20431113994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8-471D-A1AF-F4C8AE927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114300">
                <a:prstClr val="black"/>
              </a:inn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6531510743454421E-2"/>
              <c:y val="0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98,6%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3743964176165087E-2"/>
              <c:y val="-2.6119880174080862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130208723267125E-2"/>
              <c:y val="-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99,2%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6684045881126174E-2"/>
              <c:y val="-8.9485427086816016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99,4%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0883836154637805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1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8035461668591239E-2"/>
              <c:y val="-6.7114070315112007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3598423093985197E-2"/>
              <c:y val="-2.050684014396141E-1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2199555936472323E-2"/>
              <c:y val="-8.2027360575845639E-1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97,0%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26E-2"/>
              <c:y val="-1.118567838585216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86,3%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156E-2"/>
              <c:y val="-1.3422814063022401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39,8%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9484968997124768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190302564371785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view3D>
      <c:rotX val="15"/>
      <c:rotY val="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FUNCIONAMIE'!$C$6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noFill/>
              <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16200000" scaled="1"/>
                  <a:tileRect/>
                </a:gra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  <a:innerShdw blurRad="114300">
                  <a:prstClr val="black"/>
                </a:inn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FUNCIONAMIE'!$D$6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14CD-4AC3-BA85-AC09D1D29DD3}"/>
              </c:ext>
            </c:extLst>
          </c:dPt>
          <c:dLbls>
            <c:dLbl>
              <c:idx val="0"/>
              <c:layout>
                <c:manualLayout>
                  <c:x val="1.3743964176165087E-2"/>
                  <c:y val="-2.61198801740808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347-4728-8AEE-66B8A8E5BCB6}"/>
                </c:ext>
              </c:extLst>
            </c:dLbl>
            <c:dLbl>
              <c:idx val="1"/>
              <c:layout>
                <c:manualLayout>
                  <c:x val="2.2130208723267125E-2"/>
                  <c:y val="-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99,2%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347-4728-8AEE-66B8A8E5BCB6}"/>
                </c:ext>
              </c:extLst>
            </c:dLbl>
            <c:dLbl>
              <c:idx val="2"/>
              <c:layout>
                <c:manualLayout>
                  <c:x val="1.6684045881126174E-2"/>
                  <c:y val="-8.9485427086816016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A80-4D97-BBD6-398D7F862C58}"/>
                </c:ext>
              </c:extLst>
            </c:dLbl>
            <c:dLbl>
              <c:idx val="3"/>
              <c:layout>
                <c:manualLayout>
                  <c:x val="2.0883836154637805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_-* #,##0.00_-;\-* #,##0.00_-;_-* "-"_-;_-@_-</c:formatCode>
                <c:ptCount val="4"/>
                <c:pt idx="0">
                  <c:v>10892.914200499999</c:v>
                </c:pt>
                <c:pt idx="1">
                  <c:v>12653.147179910002</c:v>
                </c:pt>
                <c:pt idx="2">
                  <c:v>40.831718039999998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FUNCIONAMIE'!$E$6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C-14CD-4AC3-BA85-AC09D1D29DD3}"/>
              </c:ext>
            </c:extLst>
          </c:dPt>
          <c:dLbls>
            <c:dLbl>
              <c:idx val="0"/>
              <c:layout>
                <c:manualLayout>
                  <c:x val="4.8035461668591239E-2"/>
                  <c:y val="-6.71140703151120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3EB-4428-B811-96DB1E4F8A07}"/>
                </c:ext>
              </c:extLst>
            </c:dLbl>
            <c:dLbl>
              <c:idx val="1"/>
              <c:layout>
                <c:manualLayout>
                  <c:x val="2.653151074345442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3EB-4428-B811-96DB1E4F8A07}"/>
                </c:ext>
              </c:extLst>
            </c:dLbl>
            <c:dLbl>
              <c:idx val="2"/>
              <c:layout>
                <c:manualLayout>
                  <c:x val="2.502606882168926E-2"/>
                  <c:y val="-1.11856783858521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3EB-4428-B811-96DB1E4F8A07}"/>
                </c:ext>
              </c:extLst>
            </c:dLbl>
            <c:dLbl>
              <c:idx val="3"/>
              <c:layout>
                <c:manualLayout>
                  <c:x val="2.9484968997124768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_-* #,##0.00_-;\-* #,##0.00_-;_-* "-"_-;_-@_-</c:formatCode>
                <c:ptCount val="4"/>
                <c:pt idx="0">
                  <c:v>10892.914200499999</c:v>
                </c:pt>
                <c:pt idx="1">
                  <c:v>4072.8464921999998</c:v>
                </c:pt>
                <c:pt idx="2">
                  <c:v>40.831718039999998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FUNCIONAMIE'!$F$6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4CD-4AC3-BA85-AC09D1D29DD3}"/>
              </c:ext>
            </c:extLst>
          </c:dPt>
          <c:dLbls>
            <c:dLbl>
              <c:idx val="0"/>
              <c:layout>
                <c:manualLayout>
                  <c:x val="3.3598423093985197E-2"/>
                  <c:y val="-2.05068401439614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A80-4D97-BBD6-398D7F862C58}"/>
                </c:ext>
              </c:extLst>
            </c:dLbl>
            <c:dLbl>
              <c:idx val="1"/>
              <c:layout>
                <c:manualLayout>
                  <c:x val="4.2199555936472323E-2"/>
                  <c:y val="-8.202736057584563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97,0%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A80-4D97-BBD6-398D7F862C58}"/>
                </c:ext>
              </c:extLst>
            </c:dLbl>
            <c:dLbl>
              <c:idx val="2"/>
              <c:layout>
                <c:manualLayout>
                  <c:x val="2.5026068821689156E-2"/>
                  <c:y val="-1.3422814063022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A80-4D97-BBD6-398D7F862C58}"/>
                </c:ext>
              </c:extLst>
            </c:dLbl>
            <c:dLbl>
              <c:idx val="3"/>
              <c:layout>
                <c:manualLayout>
                  <c:x val="3.5190302564371785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FUNCIONAMIE'!$F$7:$F$11</c:f>
              <c:numCache>
                <c:formatCode>_-* #,##0.00_-;\-* #,##0.00_-;_-* "-"_-;_-@_-</c:formatCode>
                <c:ptCount val="4"/>
                <c:pt idx="0">
                  <c:v>9982.5077414999996</c:v>
                </c:pt>
                <c:pt idx="1">
                  <c:v>3890.1521841999997</c:v>
                </c:pt>
                <c:pt idx="2">
                  <c:v>40.831718039999998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88960"/>
        <c:axId val="-1289797120"/>
        <c:axId val="0"/>
      </c:bar3DChart>
      <c:catAx>
        <c:axId val="-12897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120"/>
        <c:crosses val="autoZero"/>
        <c:auto val="1"/>
        <c:lblAlgn val="ctr"/>
        <c:lblOffset val="100"/>
        <c:noMultiLvlLbl val="0"/>
      </c:catAx>
      <c:valAx>
        <c:axId val="-128979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48308663004915"/>
          <c:y val="0.33746081929897681"/>
          <c:w val="0.11093573372126572"/>
          <c:h val="0.2204260351860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Marzo_2022.xlsx]APR,RP´S,OBL Y PAGO FUNCIONAMIE!TablaDinámica1</c:name>
    <c:fmtId val="4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8.6396936455469999E-3"/>
              <c:y val="-1.8065970308862384E-2"/>
            </c:manualLayout>
          </c:layout>
          <c:tx>
            <c:strRef>
              <c:f>'APR,RP´S,OBL Y PAGO FUNCIONAMIE'!$E$44</c:f>
              <c:strCache>
                <c:ptCount val="1"/>
                <c:pt idx="0">
                  <c:v>21,17%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{2BD55735-FF03-4869-8F57-C818D55B46CB}</c15:txfldGUID>
                  <c15:f>'APR,RP´S,OBL Y PAGO FUNCIONAMIE'!$E$44</c15:f>
                  <c15:dlblFieldTableCache>
                    <c:ptCount val="1"/>
                    <c:pt idx="0">
                      <c:v>21,17%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0081627158746843E-2"/>
              <c:y val="8.2801407386695023E-17"/>
            </c:manualLayout>
          </c:layout>
          <c:tx>
            <c:strRef>
              <c:f>'APR,RP´S,OBL Y PAGO FUNCIONAMIE'!$F$44</c:f>
              <c:strCache>
                <c:ptCount val="1"/>
                <c:pt idx="0">
                  <c:v>19,40%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{7FA59D8E-6FC9-418E-9C32-8DCB7D682544}</c15:txfldGUID>
                  <c15:f>'APR,RP´S,OBL Y PAGO FUNCIONAMIE'!$F$44</c15:f>
                  <c15:dlblFieldTableCache>
                    <c:ptCount val="1"/>
                    <c:pt idx="0">
                      <c:v>19,40%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0599552275835011E-2"/>
              <c:y val="-5.6456157215194772E-2"/>
            </c:manualLayout>
          </c:layout>
          <c:tx>
            <c:strRef>
              <c:f>'APR,RP´S,OBL Y PAGO FUNCIONAMIE'!$D$44</c:f>
              <c:strCache>
                <c:ptCount val="1"/>
                <c:pt idx="0">
                  <c:v>21,17%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{CCA89498-9FEB-4230-88BF-062EB5010616}</c15:txfldGUID>
                  <c15:f>'APR,RP´S,OBL Y PAGO FUNCIONAMIE'!$D$44</c15:f>
                  <c15:dlblFieldTableCache>
                    <c:ptCount val="1"/>
                    <c:pt idx="0">
                      <c:v>21,17%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2126103203497171E-2"/>
              <c:y val="-2.4840709174685748E-2"/>
            </c:manualLayout>
          </c:layout>
          <c:tx>
            <c:strRef>
              <c:f>'APR,RP´S,OBL Y PAGO FUNCIONAMIE'!$E$45</c:f>
              <c:strCache>
                <c:ptCount val="1"/>
                <c:pt idx="0">
                  <c:v>20,97%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{031481D9-6406-47AA-9256-BD4E04AD7583}</c15:txfldGUID>
                  <c15:f>'APR,RP´S,OBL Y PAGO FUNCIONAMIE'!$E$45</c15:f>
                  <c15:dlblFieldTableCache>
                    <c:ptCount val="1"/>
                    <c:pt idx="0">
                      <c:v>20,97%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4.3206973537486476E-3"/>
              <c:y val="-4.5164925772155752E-3"/>
            </c:manualLayout>
          </c:layout>
          <c:tx>
            <c:strRef>
              <c:f>'APR,RP´S,OBL Y PAGO FUNCIONAMIE'!$F$45</c:f>
              <c:strCache>
                <c:ptCount val="1"/>
                <c:pt idx="0">
                  <c:v>20,03%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{B2C24CFD-AC6A-4946-BF78-7288CC202C67}</c15:txfldGUID>
                  <c15:f>'APR,RP´S,OBL Y PAGO FUNCIONAMIE'!$F$45</c15:f>
                  <c15:dlblFieldTableCache>
                    <c:ptCount val="1"/>
                    <c:pt idx="0">
                      <c:v>20,03%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6792060204283768E-2"/>
              <c:y val="0"/>
            </c:manualLayout>
          </c:layout>
          <c:tx>
            <c:strRef>
              <c:f>'APR,RP´S,OBL Y PAGO FUNCIONAMIE'!$D$45</c:f>
              <c:strCache>
                <c:ptCount val="1"/>
                <c:pt idx="0">
                  <c:v>65,16%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{3A5EFF2B-D63A-481C-9B67-DB39F12BD47A}</c15:txfldGUID>
                  <c15:f>'APR,RP´S,OBL Y PAGO FUNCIONAMIE'!$D$45</c15:f>
                  <c15:dlblFieldTableCache>
                    <c:ptCount val="1"/>
                    <c:pt idx="0">
                      <c:v>65,16%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7.6327546383108029E-3"/>
              <c:y val="-2.2582462886077876E-3"/>
            </c:manualLayout>
          </c:layout>
          <c:tx>
            <c:strRef>
              <c:f>'APR,RP´S,OBL Y PAGO FUNCIONAMIE'!$D$46</c:f>
              <c:strCache>
                <c:ptCount val="1"/>
                <c:pt idx="0">
                  <c:v>0,27%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{F61C5914-51FC-4E8F-889A-A8DE37B3A811}</c15:txfldGUID>
                  <c15:f>'APR,RP´S,OBL Y PAGO FUNCIONAMIE'!$D$46</c15:f>
                  <c15:dlblFieldTableCache>
                    <c:ptCount val="1"/>
                    <c:pt idx="0">
                      <c:v>0,27%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3738958348959445E-2"/>
              <c:y val="-2.2582462886077876E-3"/>
            </c:manualLayout>
          </c:layout>
          <c:tx>
            <c:strRef>
              <c:f>'APR,RP´S,OBL Y PAGO FUNCIONAMIE'!$E$46</c:f>
              <c:strCache>
                <c:ptCount val="1"/>
                <c:pt idx="0">
                  <c:v>0,27%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{E36BAC39-211D-4ADF-9777-AD370E5CFD94}</c15:txfldGUID>
                  <c15:f>'APR,RP´S,OBL Y PAGO FUNCIONAMIE'!$E$46</c15:f>
                  <c15:dlblFieldTableCache>
                    <c:ptCount val="1"/>
                    <c:pt idx="0">
                      <c:v>0,27%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2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2.595136577025673E-2"/>
              <c:y val="-2.2582462886077876E-3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0,27%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{268BE6C0-C662-4038-B884-3B83088F5F09}</c15:txfldGUID>
                  <c15:f>'APR,RP´S,OBL Y PAGO FUNCIONAMIE'!$F$46</c15:f>
                  <c15:dlblFieldTableCache>
                    <c:ptCount val="1"/>
                    <c:pt idx="0">
                      <c:v>0,27%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9.2439739480065369E-3"/>
              <c:y val="-1.1291231443038938E-2"/>
            </c:manualLayout>
          </c:layout>
          <c:tx>
            <c:strRef>
              <c:f>'APR,RP´S,OBL Y PAGO FUNCIONAMIE'!$D$47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{B19EF55D-5572-4ED9-B722-330B915F1A41}</c15:txfldGUID>
                  <c15:f>'APR,RP´S,OBL Y PAGO FUNCIONAMIE'!$D$47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6904947685415679E-2"/>
              <c:y val="-9.0329851544311505E-3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{A108FC32-8B3B-4CD0-A288-4B6C47D92C81}</c15:txfldGUID>
                  <c15:f>'APR,RP´S,OBL Y PAGO FUNCIONAMIE'!$E$47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2.7647246072160257E-2"/>
              <c:y val="-4.5164925772155752E-3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{E689C1DD-7A5E-47B0-8813-B603151EC8EA}</c15:txfldGUID>
                  <c15:f>'APR,RP´S,OBL Y PAGO FUNCIONAMIE'!$F$47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FUNCIONAMIE'!$E$44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883-44CD-A2AC-A2BEF4CEBDAE}"/>
            </c:ext>
          </c:extLst>
        </c:ser>
        <c:ser>
          <c:idx val="1"/>
          <c:order val="1"/>
          <c:tx>
            <c:strRef>
              <c:f>'APR,RP´S,OBL Y PAGO FUNCIONAMIE'!$E$44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883-44CD-A2AC-A2BEF4CEBD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1412-4152-B7A6-78957392800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412-4152-B7A6-7895739280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1412-4152-B7A6-78957392800E}"/>
              </c:ext>
            </c:extLst>
          </c:dPt>
          <c:dLbls>
            <c:dLbl>
              <c:idx val="0"/>
              <c:layout>
                <c:manualLayout>
                  <c:x val="1.0599552275835011E-2"/>
                  <c:y val="-5.6456157215194772E-2"/>
                </c:manualLayout>
              </c:layout>
              <c:tx>
                <c:strRef>
                  <c:f>'APR,RP´S,OBL Y PAGO FUNCIONAMIE'!$D$44</c:f>
                  <c:strCache>
                    <c:ptCount val="1"/>
                    <c:pt idx="0">
                      <c:v>21,17%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{C1B5BD4B-328B-4E6D-B63C-5DD8BD68DA61}</c15:txfldGUID>
                      <c15:f>'APR,RP´S,OBL Y PAGO FUNCIONAMIE'!$D$44</c15:f>
                      <c15:dlblFieldTableCache>
                        <c:ptCount val="1"/>
                        <c:pt idx="0">
                          <c:v>21,17%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883-44CD-A2AC-A2BEF4CEBDAE}"/>
                </c:ext>
              </c:extLst>
            </c:dLbl>
            <c:dLbl>
              <c:idx val="1"/>
              <c:layout>
                <c:manualLayout>
                  <c:x val="1.6792060204283768E-2"/>
                  <c:y val="0"/>
                </c:manualLayout>
              </c:layout>
              <c:tx>
                <c:strRef>
                  <c:f>'APR,RP´S,OBL Y PAGO FUNCIONAMIE'!$D$45</c:f>
                  <c:strCache>
                    <c:ptCount val="1"/>
                    <c:pt idx="0">
                      <c:v>65,16%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{8B76DE12-90BA-4568-BE6E-9890610529B0}</c15:txfldGUID>
                      <c15:f>'APR,RP´S,OBL Y PAGO FUNCIONAMIE'!$D$45</c15:f>
                      <c15:dlblFieldTableCache>
                        <c:ptCount val="1"/>
                        <c:pt idx="0">
                          <c:v>65,16%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1412-4152-B7A6-78957392800E}"/>
                </c:ext>
              </c:extLst>
            </c:dLbl>
            <c:dLbl>
              <c:idx val="2"/>
              <c:layout>
                <c:manualLayout>
                  <c:x val="7.6327546383108029E-3"/>
                  <c:y val="-2.2582462886077876E-3"/>
                </c:manualLayout>
              </c:layout>
              <c:tx>
                <c:strRef>
                  <c:f>'APR,RP´S,OBL Y PAGO FUNCIONAMIE'!$D$46</c:f>
                  <c:strCache>
                    <c:ptCount val="1"/>
                    <c:pt idx="0">
                      <c:v>0,27%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{6F28F428-FCBC-4B94-8FA9-84AD5860F23B}</c15:txfldGUID>
                      <c15:f>'APR,RP´S,OBL Y PAGO FUNCIONAMIE'!$D$46</c15:f>
                      <c15:dlblFieldTableCache>
                        <c:ptCount val="1"/>
                        <c:pt idx="0">
                          <c:v>0,27%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412-4152-B7A6-78957392800E}"/>
                </c:ext>
              </c:extLst>
            </c:dLbl>
            <c:dLbl>
              <c:idx val="3"/>
              <c:layout>
                <c:manualLayout>
                  <c:x val="9.2439739480065369E-3"/>
                  <c:y val="-1.1291231443038938E-2"/>
                </c:manualLayout>
              </c:layout>
              <c:tx>
                <c:strRef>
                  <c:f>'APR,RP´S,OBL Y PAGO FUNCIONAMIE'!$D$47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{8DA383A6-5B4A-443E-AC92-36085D860AB0}</c15:txfldGUID>
                      <c15:f>'APR,RP´S,OBL Y PAGO FUNCIONAMIE'!$D$47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1412-4152-B7A6-789573928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10892.914200499999</c:v>
                </c:pt>
                <c:pt idx="1">
                  <c:v>12653.147179910002</c:v>
                </c:pt>
                <c:pt idx="2">
                  <c:v>40.831718039999998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883-44CD-A2AC-A2BEF4CEBDAE}"/>
            </c:ext>
          </c:extLst>
        </c:ser>
        <c:ser>
          <c:idx val="2"/>
          <c:order val="2"/>
          <c:tx>
            <c:strRef>
              <c:f>'APR,RP´S,OBL Y PAGO FUNCIONAMIE'!$E$44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883-44CD-A2AC-A2BEF4CEBD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A883-44CD-A2AC-A2BEF4CEBDA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1412-4152-B7A6-7895739280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1412-4152-B7A6-78957392800E}"/>
              </c:ext>
            </c:extLst>
          </c:dPt>
          <c:dLbls>
            <c:dLbl>
              <c:idx val="0"/>
              <c:layout>
                <c:manualLayout>
                  <c:x val="8.6396936455469999E-3"/>
                  <c:y val="-1.8065970308862384E-2"/>
                </c:manualLayout>
              </c:layout>
              <c:tx>
                <c:strRef>
                  <c:f>'APR,RP´S,OBL Y PAGO FUNCIONAMIE'!$E$44</c:f>
                  <c:strCache>
                    <c:ptCount val="1"/>
                    <c:pt idx="0">
                      <c:v>21,17%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{40292390-5640-45FB-8CB0-B7751E97BFCF}</c15:txfldGUID>
                      <c15:f>'APR,RP´S,OBL Y PAGO FUNCIONAMIE'!$E$44</c15:f>
                      <c15:dlblFieldTableCache>
                        <c:ptCount val="1"/>
                        <c:pt idx="0">
                          <c:v>21,17%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A883-44CD-A2AC-A2BEF4CEBDAE}"/>
                </c:ext>
              </c:extLst>
            </c:dLbl>
            <c:dLbl>
              <c:idx val="1"/>
              <c:layout>
                <c:manualLayout>
                  <c:x val="1.2126103203497171E-2"/>
                  <c:y val="-2.4840709174685748E-2"/>
                </c:manualLayout>
              </c:layout>
              <c:tx>
                <c:strRef>
                  <c:f>'APR,RP´S,OBL Y PAGO FUNCIONAMIE'!$E$45</c:f>
                  <c:strCache>
                    <c:ptCount val="1"/>
                    <c:pt idx="0">
                      <c:v>20,97%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{48E8460F-7811-4555-8606-505F38306BD7}</c15:txfldGUID>
                      <c15:f>'APR,RP´S,OBL Y PAGO FUNCIONAMIE'!$E$45</c15:f>
                      <c15:dlblFieldTableCache>
                        <c:ptCount val="1"/>
                        <c:pt idx="0">
                          <c:v>20,97%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A883-44CD-A2AC-A2BEF4CEBDAE}"/>
                </c:ext>
              </c:extLst>
            </c:dLbl>
            <c:dLbl>
              <c:idx val="2"/>
              <c:layout>
                <c:manualLayout>
                  <c:x val="1.3738958348959445E-2"/>
                  <c:y val="-2.2582462886077876E-3"/>
                </c:manualLayout>
              </c:layout>
              <c:tx>
                <c:strRef>
                  <c:f>'APR,RP´S,OBL Y PAGO FUNCIONAMIE'!$E$46</c:f>
                  <c:strCache>
                    <c:ptCount val="1"/>
                    <c:pt idx="0">
                      <c:v>0,27%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{B06D5B0A-E659-4746-AAD4-F6F88C9E31B1}</c15:txfldGUID>
                      <c15:f>'APR,RP´S,OBL Y PAGO FUNCIONAMIE'!$E$46</c15:f>
                      <c15:dlblFieldTableCache>
                        <c:ptCount val="1"/>
                        <c:pt idx="0">
                          <c:v>0,27%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1412-4152-B7A6-78957392800E}"/>
                </c:ext>
              </c:extLst>
            </c:dLbl>
            <c:dLbl>
              <c:idx val="3"/>
              <c:layout>
                <c:manualLayout>
                  <c:x val="1.6904947685415679E-2"/>
                  <c:y val="-9.0329851544311505E-3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{E5DA8708-15D5-4F79-BCE3-B7FFF108D53A}</c15:txfldGUID>
                      <c15:f>'APR,RP´S,OBL Y PAGO FUNCIONAMIE'!$E$47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1412-4152-B7A6-789573928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10892.914200499999</c:v>
                </c:pt>
                <c:pt idx="1">
                  <c:v>4072.8464921999998</c:v>
                </c:pt>
                <c:pt idx="2">
                  <c:v>40.831718039999998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A883-44CD-A2AC-A2BEF4CEBDAE}"/>
            </c:ext>
          </c:extLst>
        </c:ser>
        <c:ser>
          <c:idx val="3"/>
          <c:order val="3"/>
          <c:tx>
            <c:strRef>
              <c:f>'APR,RP´S,OBL Y PAGO FUNCIONAMIE'!$E$44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A883-44CD-A2AC-A2BEF4CEBD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883-44CD-A2AC-A2BEF4CEBDA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412-4152-B7A6-7895739280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1412-4152-B7A6-78957392800E}"/>
              </c:ext>
            </c:extLst>
          </c:dPt>
          <c:dLbls>
            <c:dLbl>
              <c:idx val="0"/>
              <c:layout>
                <c:manualLayout>
                  <c:x val="1.0081627158746843E-2"/>
                  <c:y val="8.2801407386695023E-17"/>
                </c:manualLayout>
              </c:layout>
              <c:tx>
                <c:strRef>
                  <c:f>'APR,RP´S,OBL Y PAGO FUNCIONAMIE'!$F$44</c:f>
                  <c:strCache>
                    <c:ptCount val="1"/>
                    <c:pt idx="0">
                      <c:v>19,40%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{D120BA75-A878-4313-86C8-9F812395FB9A}</c15:txfldGUID>
                      <c15:f>'APR,RP´S,OBL Y PAGO FUNCIONAMIE'!$F$44</c15:f>
                      <c15:dlblFieldTableCache>
                        <c:ptCount val="1"/>
                        <c:pt idx="0">
                          <c:v>19,40%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A883-44CD-A2AC-A2BEF4CEBDAE}"/>
                </c:ext>
              </c:extLst>
            </c:dLbl>
            <c:dLbl>
              <c:idx val="1"/>
              <c:layout>
                <c:manualLayout>
                  <c:x val="4.3206973537486476E-3"/>
                  <c:y val="-4.5164925772155752E-3"/>
                </c:manualLayout>
              </c:layout>
              <c:tx>
                <c:strRef>
                  <c:f>'APR,RP´S,OBL Y PAGO FUNCIONAMIE'!$F$45</c:f>
                  <c:strCache>
                    <c:ptCount val="1"/>
                    <c:pt idx="0">
                      <c:v>20,03%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{2A65A2FF-8D0C-41D4-9A08-03A18290D823}</c15:txfldGUID>
                      <c15:f>'APR,RP´S,OBL Y PAGO FUNCIONAMIE'!$F$45</c15:f>
                      <c15:dlblFieldTableCache>
                        <c:ptCount val="1"/>
                        <c:pt idx="0">
                          <c:v>20,03%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883-44CD-A2AC-A2BEF4CEBDAE}"/>
                </c:ext>
              </c:extLst>
            </c:dLbl>
            <c:dLbl>
              <c:idx val="2"/>
              <c:layout>
                <c:manualLayout>
                  <c:x val="2.595136577025673E-2"/>
                  <c:y val="-2.2582462886077876E-3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0,27%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{E9F6373A-A22A-46CB-88B8-57CFB801D64D}</c15:txfldGUID>
                      <c15:f>'APR,RP´S,OBL Y PAGO FUNCIONAMIE'!$F$46</c15:f>
                      <c15:dlblFieldTableCache>
                        <c:ptCount val="1"/>
                        <c:pt idx="0">
                          <c:v>0,27%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1412-4152-B7A6-78957392800E}"/>
                </c:ext>
              </c:extLst>
            </c:dLbl>
            <c:dLbl>
              <c:idx val="3"/>
              <c:layout>
                <c:manualLayout>
                  <c:x val="2.7647246072160257E-2"/>
                  <c:y val="-4.5164925772155752E-3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{CE34D61C-9A5D-4422-BA70-78611BC28724}</c15:txfldGUID>
                      <c15:f>'APR,RP´S,OBL Y PAGO FUNCIONAMIE'!$F$47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1412-4152-B7A6-789573928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9982.5077414999996</c:v>
                </c:pt>
                <c:pt idx="1">
                  <c:v>3890.1521841999997</c:v>
                </c:pt>
                <c:pt idx="2">
                  <c:v>40.831718039999998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A883-44CD-A2AC-A2BEF4CEBD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6994399"/>
        <c:axId val="336992319"/>
        <c:axId val="0"/>
      </c:bar3DChart>
      <c:catAx>
        <c:axId val="33699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992319"/>
        <c:crosses val="autoZero"/>
        <c:auto val="1"/>
        <c:lblAlgn val="ctr"/>
        <c:lblOffset val="100"/>
        <c:noMultiLvlLbl val="0"/>
      </c:catAx>
      <c:valAx>
        <c:axId val="33699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99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Suma de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4298488448779.46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323594672987.13995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57A0-460A-8D13-204D9338C648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A0-460A-8D13-204D9338C648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323325204311.13995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marzo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BAE0-4DF7-A809-603F7EE01DF5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BAE0-4DF7-A809-603F7EE01DF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F7-A809-603F7EE01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Concepto'!$C$9:$C$11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DF7-A809-603F7EE01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RESERVA'!$E$47</c:f>
              <c:strCache>
                <c:ptCount val="1"/>
                <c:pt idx="0">
                  <c:v>37,01%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{84AE62D2-B4D9-438E-A588-748A6EC1740C}</c15:txfldGUID>
                  <c15:f>'EJECUCIÓN  RESERVA'!$E$47</c15:f>
                  <c15:dlblFieldTableCache>
                    <c:ptCount val="1"/>
                    <c:pt idx="0">
                      <c:v>37,01%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RESERVA'!$E$47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RESERVA'!$E$47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RESERVA'!$E$47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RESERVA'!$E$47</c:f>
                  <c:strCache>
                    <c:ptCount val="1"/>
                    <c:pt idx="0">
                      <c:v>37,01%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{2D3EFE41-B093-491E-8478-B7E5A23CE3EC}</c15:txfldGUID>
                      <c15:f>'EJECUCIÓN  RESERVA'!$E$47</c15:f>
                      <c15:dlblFieldTableCache>
                        <c:ptCount val="1"/>
                        <c:pt idx="0">
                          <c:v>37,01%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20523.331902090002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Marzo_2022.xlsx]EJECUCIÓN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RESERVA'!$E$46</c:f>
              <c:strCache>
                <c:ptCount val="1"/>
                <c:pt idx="0">
                  <c:v>34,57%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{49A46856-2D25-4028-9FCE-3FC8C3D79AAC}</c15:txfldGUID>
                  <c15:f>'EJECUCIÓN  RESERVA'!$E$46</c15:f>
                  <c15:dlblFieldTableCache>
                    <c:ptCount val="1"/>
                    <c:pt idx="0">
                      <c:v>34,57%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RESERVA'!$E$45</c:f>
              <c:strCache>
                <c:ptCount val="1"/>
                <c:pt idx="0">
                  <c:v>94,9%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{CCB973A2-63BE-450E-8DB4-CE161AC62009}</c15:txfldGUID>
                  <c15:f>'EJECUCIÓN  RESERVA'!$E$45</c15:f>
                  <c15:dlblFieldTableCache>
                    <c:ptCount val="1"/>
                    <c:pt idx="0">
                      <c:v>94,9%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RESERVA'!$E$46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RESERVA'!$E$46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RESERVA'!$E$46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D4E-4081-A5C6-BEC96AF9D1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4E-4081-A5C6-BEC96AF9D1D5}"/>
              </c:ext>
            </c:extLst>
          </c:dPt>
          <c:dLbls>
            <c:dLbl>
              <c:idx val="0"/>
              <c:tx>
                <c:strRef>
                  <c:f>'EJECUCIÓN  RESERVA'!$E$45</c:f>
                  <c:strCache>
                    <c:ptCount val="1"/>
                    <c:pt idx="0">
                      <c:v>94,9%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{E59F86EE-7173-447A-99B3-4FD976D20AF4}</c15:txfldGUID>
                      <c15:f>'EJECUCIÓN  RESERVA'!$E$45</c15:f>
                      <c15:dlblFieldTableCache>
                        <c:ptCount val="1"/>
                        <c:pt idx="0">
                          <c:v>94,9%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D4E-4081-A5C6-BEC96AF9D1D5}"/>
                </c:ext>
              </c:extLst>
            </c:dLbl>
            <c:dLbl>
              <c:idx val="1"/>
              <c:tx>
                <c:strRef>
                  <c:f>'EJECUCIÓN  RESERVA'!$E$46</c:f>
                  <c:strCache>
                    <c:ptCount val="1"/>
                    <c:pt idx="0">
                      <c:v>34,57%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{AD111216-107E-441F-87FE-CA69ADC74B19}</c15:txfldGUID>
                      <c15:f>'EJECUCIÓN  RESERVA'!$E$46</c15:f>
                      <c15:dlblFieldTableCache>
                        <c:ptCount val="1"/>
                        <c:pt idx="0">
                          <c:v>34,57%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D4E-4081-A5C6-BEC96AF9D1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2135.2183752999999</c:v>
                </c:pt>
                <c:pt idx="1">
                  <c:v>18388.113526790003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66268484632602"/>
          <c:y val="0.20534889108229304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Aforo Vs Recaudo Rec Propios'!A1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6" Type="http://schemas.openxmlformats.org/officeDocument/2006/relationships/chart" Target="../charts/chart5.xml"/><Relationship Id="rId5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chart" Target="../charts/chart6.xml"/><Relationship Id="rId6" Type="http://schemas.microsoft.com/office/2007/relationships/hdphoto" Target="../media/hdphoto2.wdp"/><Relationship Id="rId5" Type="http://schemas.openxmlformats.org/officeDocument/2006/relationships/image" Target="../media/image9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1043433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31 de marzo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495299</xdr:colOff>
      <xdr:row>11</xdr:row>
      <xdr:rowOff>161924</xdr:rowOff>
    </xdr:from>
    <xdr:to>
      <xdr:col>7</xdr:col>
      <xdr:colOff>9525</xdr:colOff>
      <xdr:row>31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822241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829242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r>
            <a:rPr lang="es-CO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Ejecución Reservas a 31 de marzo de 2022</a:t>
          </a:r>
        </a:p>
      </xdr:txBody>
    </xdr:sp>
    <xdr:clientData/>
  </xdr:oneCellAnchor>
  <xdr:twoCellAnchor editAs="oneCell">
    <xdr:from>
      <xdr:col>7</xdr:col>
      <xdr:colOff>409575</xdr:colOff>
      <xdr:row>4</xdr:row>
      <xdr:rowOff>47625</xdr:rowOff>
    </xdr:from>
    <xdr:to>
      <xdr:col>9</xdr:col>
      <xdr:colOff>742949</xdr:colOff>
      <xdr:row>8</xdr:row>
      <xdr:rowOff>133831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096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153555</xdr:colOff>
      <xdr:row>28</xdr:row>
      <xdr:rowOff>173182</xdr:rowOff>
    </xdr:from>
    <xdr:to>
      <xdr:col>6</xdr:col>
      <xdr:colOff>124981</xdr:colOff>
      <xdr:row>54</xdr:row>
      <xdr:rowOff>38484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47143</xdr:colOff>
      <xdr:row>11</xdr:row>
      <xdr:rowOff>134118</xdr:rowOff>
    </xdr:from>
    <xdr:to>
      <xdr:col>7</xdr:col>
      <xdr:colOff>48106</xdr:colOff>
      <xdr:row>26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0.63353</cdr:x>
      <cdr:y>0.8355</cdr:y>
    </cdr:from>
    <cdr:to>
      <cdr:x>0.97856</cdr:x>
      <cdr:y>0.96537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095625" y="1838325"/>
          <a:ext cx="1685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1148208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DCFF59-F25A-4580-B40D-77087F05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7321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</a:t>
          </a:r>
          <a:r>
            <a:rPr lang="es-ES" sz="1100" b="0"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  <a:endParaRPr lang="es-CO" sz="2000">
            <a:effectLst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marzo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C7E67-D313-4BDA-B548-9FD4981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9525</xdr:colOff>
      <xdr:row>12</xdr:row>
      <xdr:rowOff>90487</xdr:rowOff>
    </xdr:from>
    <xdr:to>
      <xdr:col>6</xdr:col>
      <xdr:colOff>742950</xdr:colOff>
      <xdr:row>32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937600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845C8F-1F6F-4BF4-B006-2B676484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3212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295650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31 de marzo de 2022</a:t>
          </a:r>
        </a:p>
      </xdr:txBody>
    </xdr:sp>
    <xdr:clientData/>
  </xdr:oneCellAnchor>
  <xdr:twoCellAnchor editAs="oneCell">
    <xdr:from>
      <xdr:col>8</xdr:col>
      <xdr:colOff>44996</xdr:colOff>
      <xdr:row>3</xdr:row>
      <xdr:rowOff>96212</xdr:rowOff>
    </xdr:from>
    <xdr:to>
      <xdr:col>12</xdr:col>
      <xdr:colOff>685223</xdr:colOff>
      <xdr:row>10</xdr:row>
      <xdr:rowOff>115455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A7AA1-B250-4A19-807B-CD6F978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90" y="673485"/>
          <a:ext cx="1400302" cy="13662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740833</xdr:colOff>
      <xdr:row>12</xdr:row>
      <xdr:rowOff>162983</xdr:rowOff>
    </xdr:from>
    <xdr:to>
      <xdr:col>7</xdr:col>
      <xdr:colOff>355986</xdr:colOff>
      <xdr:row>27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332894</xdr:colOff>
      <xdr:row>29</xdr:row>
      <xdr:rowOff>163079</xdr:rowOff>
    </xdr:from>
    <xdr:to>
      <xdr:col>6</xdr:col>
      <xdr:colOff>98137</xdr:colOff>
      <xdr:row>55</xdr:row>
      <xdr:rowOff>125171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1529208</xdr:colOff>
      <xdr:row>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2322739</xdr:colOff>
      <xdr:row>0</xdr:row>
      <xdr:rowOff>110218</xdr:rowOff>
    </xdr:from>
    <xdr:ext cx="6508297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38525" y="110218"/>
          <a:ext cx="6508297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800" b="0" i="1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31 de marzo de 2022</a:t>
          </a:r>
        </a:p>
      </xdr:txBody>
    </xdr:sp>
    <xdr:clientData/>
  </xdr:oneCellAnchor>
  <xdr:twoCellAnchor editAs="oneCell">
    <xdr:from>
      <xdr:col>0</xdr:col>
      <xdr:colOff>476250</xdr:colOff>
      <xdr:row>23</xdr:row>
      <xdr:rowOff>180975</xdr:rowOff>
    </xdr:from>
    <xdr:to>
      <xdr:col>1</xdr:col>
      <xdr:colOff>5086350</xdr:colOff>
      <xdr:row>28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029575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48162</xdr:colOff>
      <xdr:row>8</xdr:row>
      <xdr:rowOff>400050</xdr:rowOff>
    </xdr:from>
    <xdr:to>
      <xdr:col>1</xdr:col>
      <xdr:colOff>171987</xdr:colOff>
      <xdr:row>10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7" y="219075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48163</xdr:colOff>
      <xdr:row>14</xdr:row>
      <xdr:rowOff>9525</xdr:rowOff>
    </xdr:from>
    <xdr:ext cx="1238250" cy="838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9629775</xdr:colOff>
      <xdr:row>7</xdr:row>
      <xdr:rowOff>371475</xdr:rowOff>
    </xdr:from>
    <xdr:to>
      <xdr:col>1</xdr:col>
      <xdr:colOff>10125075</xdr:colOff>
      <xdr:row>9</xdr:row>
      <xdr:rowOff>114300</xdr:rowOff>
    </xdr:to>
    <xdr:pic>
      <xdr:nvPicPr>
        <xdr:cNvPr id="9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7049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7305675</xdr:colOff>
      <xdr:row>8</xdr:row>
      <xdr:rowOff>419100</xdr:rowOff>
    </xdr:from>
    <xdr:to>
      <xdr:col>1</xdr:col>
      <xdr:colOff>7800975</xdr:colOff>
      <xdr:row>10</xdr:row>
      <xdr:rowOff>161925</xdr:rowOff>
    </xdr:to>
    <xdr:pic>
      <xdr:nvPicPr>
        <xdr:cNvPr id="10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098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10525125</xdr:colOff>
      <xdr:row>9</xdr:row>
      <xdr:rowOff>419100</xdr:rowOff>
    </xdr:from>
    <xdr:to>
      <xdr:col>1</xdr:col>
      <xdr:colOff>11020425</xdr:colOff>
      <xdr:row>11</xdr:row>
      <xdr:rowOff>161925</xdr:rowOff>
    </xdr:to>
    <xdr:pic>
      <xdr:nvPicPr>
        <xdr:cNvPr id="11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6670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8181975</xdr:colOff>
      <xdr:row>10</xdr:row>
      <xdr:rowOff>400050</xdr:rowOff>
    </xdr:from>
    <xdr:to>
      <xdr:col>1</xdr:col>
      <xdr:colOff>8677275</xdr:colOff>
      <xdr:row>12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105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8753475</xdr:colOff>
      <xdr:row>13</xdr:row>
      <xdr:rowOff>381000</xdr:rowOff>
    </xdr:from>
    <xdr:to>
      <xdr:col>1</xdr:col>
      <xdr:colOff>9248775</xdr:colOff>
      <xdr:row>15</xdr:row>
      <xdr:rowOff>123825</xdr:rowOff>
    </xdr:to>
    <xdr:pic>
      <xdr:nvPicPr>
        <xdr:cNvPr id="1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44577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6229350</xdr:colOff>
      <xdr:row>14</xdr:row>
      <xdr:rowOff>381000</xdr:rowOff>
    </xdr:from>
    <xdr:to>
      <xdr:col>1</xdr:col>
      <xdr:colOff>6724650</xdr:colOff>
      <xdr:row>16</xdr:row>
      <xdr:rowOff>123825</xdr:rowOff>
    </xdr:to>
    <xdr:pic>
      <xdr:nvPicPr>
        <xdr:cNvPr id="14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49149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48163</xdr:colOff>
      <xdr:row>19</xdr:row>
      <xdr:rowOff>9525</xdr:rowOff>
    </xdr:from>
    <xdr:ext cx="1238250" cy="838200"/>
    <xdr:pic>
      <xdr:nvPicPr>
        <xdr:cNvPr id="15" name="Imagen 14">
          <a:extLst>
            <a:ext uri="{FF2B5EF4-FFF2-40B4-BE49-F238E27FC236}">
              <a16:creationId xmlns:a16="http://schemas.microsoft.com/office/drawing/2014/main" id="{6B5B2787-6459-4156-A14A-07103BE85D7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10182225</xdr:colOff>
      <xdr:row>18</xdr:row>
      <xdr:rowOff>438150</xdr:rowOff>
    </xdr:from>
    <xdr:to>
      <xdr:col>1</xdr:col>
      <xdr:colOff>10677525</xdr:colOff>
      <xdr:row>20</xdr:row>
      <xdr:rowOff>180975</xdr:rowOff>
    </xdr:to>
    <xdr:pic>
      <xdr:nvPicPr>
        <xdr:cNvPr id="16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6534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6715125</xdr:colOff>
      <xdr:row>19</xdr:row>
      <xdr:rowOff>400050</xdr:rowOff>
    </xdr:from>
    <xdr:to>
      <xdr:col>1</xdr:col>
      <xdr:colOff>7210425</xdr:colOff>
      <xdr:row>21</xdr:row>
      <xdr:rowOff>142875</xdr:rowOff>
    </xdr:to>
    <xdr:pic>
      <xdr:nvPicPr>
        <xdr:cNvPr id="17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20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161925</xdr:rowOff>
    </xdr:from>
    <xdr:to>
      <xdr:col>7</xdr:col>
      <xdr:colOff>285750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9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28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febrero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440055</xdr:colOff>
      <xdr:row>107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43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31 de marzo de 2022</a:t>
          </a:r>
        </a:p>
      </xdr:txBody>
    </xdr:sp>
    <xdr:clientData/>
  </xdr:oneCellAnchor>
  <xdr:twoCellAnchor>
    <xdr:from>
      <xdr:col>0</xdr:col>
      <xdr:colOff>542921</xdr:colOff>
      <xdr:row>11</xdr:row>
      <xdr:rowOff>161925</xdr:rowOff>
    </xdr:from>
    <xdr:to>
      <xdr:col>12</xdr:col>
      <xdr:colOff>523874</xdr:colOff>
      <xdr:row>37</xdr:row>
      <xdr:rowOff>142874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542921" y="2257425"/>
          <a:ext cx="11049003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400050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2433204</xdr:colOff>
      <xdr:row>0</xdr:row>
      <xdr:rowOff>105641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928504" y="105641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marzo de 2022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466725</xdr:colOff>
      <xdr:row>11</xdr:row>
      <xdr:rowOff>152398</xdr:rowOff>
    </xdr:from>
    <xdr:to>
      <xdr:col>7</xdr:col>
      <xdr:colOff>419100</xdr:colOff>
      <xdr:row>41</xdr:row>
      <xdr:rowOff>114300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/>
      </xdr:nvGrpSpPr>
      <xdr:grpSpPr>
        <a:xfrm>
          <a:off x="466725" y="2628898"/>
          <a:ext cx="8296275" cy="5676902"/>
          <a:chOff x="447675" y="2505073"/>
          <a:chExt cx="9134475" cy="5676902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GrpSpPr/>
        </xdr:nvGrpSpPr>
        <xdr:grpSpPr>
          <a:xfrm>
            <a:off x="447675" y="2505073"/>
            <a:ext cx="9134475" cy="5676902"/>
            <a:chOff x="628650" y="2562223"/>
            <a:chExt cx="9134475" cy="5676902"/>
          </a:xfrm>
        </xdr:grpSpPr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628650" y="2562223"/>
            <a:ext cx="9134475" cy="567690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47825" y="2724148"/>
              <a:ext cx="7419475" cy="225572"/>
            </a:xfrm>
            <a:prstGeom prst="rect">
              <a:avLst/>
            </a:prstGeom>
          </xdr:spPr>
        </xdr:pic>
      </xdr:grpSp>
      <xdr:sp macro="" textlink="">
        <xdr:nvSpPr>
          <xdr:cNvPr id="4097" name="Text Box 1">
            <a:extLst>
              <a:ext uri="{FF2B5EF4-FFF2-40B4-BE49-F238E27FC236}">
                <a16:creationId xmlns:a16="http://schemas.microsoft.com/office/drawing/2014/main" id="{00000000-0008-0000-0600-000001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39076" y="7905750"/>
            <a:ext cx="16573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s-CO" sz="1100" b="0" i="0" u="none" strike="noStrike" baseline="0">
                <a:solidFill>
                  <a:schemeClr val="accent1"/>
                </a:solidFill>
                <a:latin typeface="Calibri"/>
                <a:cs typeface="Calibri"/>
              </a:rPr>
              <a:t>Cifras en millones de pesos</a:t>
            </a:r>
          </a:p>
          <a:p>
            <a:pPr algn="l" rtl="0">
              <a:defRPr sz="1000"/>
            </a:pPr>
            <a:endParaRPr lang="es-CO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>
    <xdr:from>
      <xdr:col>1</xdr:col>
      <xdr:colOff>0</xdr:colOff>
      <xdr:row>11</xdr:row>
      <xdr:rowOff>186416</xdr:rowOff>
    </xdr:from>
    <xdr:to>
      <xdr:col>7</xdr:col>
      <xdr:colOff>394608</xdr:colOff>
      <xdr:row>41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34E27C1-9AB6-4FA3-2AC9-D75DD008A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6</xdr:col>
      <xdr:colOff>561975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481458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4276725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eaLnBrk="1" fontAlgn="auto" latinLnBrk="0" hangingPunct="1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marzo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64.768915509259" createdVersion="6" refreshedVersion="8" minRefreshableVersion="3" recordCount="7" xr:uid="{00000000-000A-0000-FFFF-FFFF21000000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14051.472" maxValue="4505182.0250120005"/>
    </cacheField>
    <cacheField name="CERTIFICADOS_x000a_ ACUMULADOS" numFmtId="168">
      <sharedItems containsSemiMixedTypes="0" containsString="0" containsNumber="1" minValue="0" maxValue="4324973.4886586098"/>
    </cacheField>
    <cacheField name="COMPROMISOS_x000a_ ACUMULADOS" numFmtId="168">
      <sharedItems containsSemiMixedTypes="0" containsString="0" containsNumber="1" minValue="0" maxValue="4298488.44877946"/>
    </cacheField>
    <cacheField name="OBLIGACIONES_x000a_ ACUMULADAS" numFmtId="168">
      <sharedItems containsSemiMixedTypes="0" containsString="0" containsNumber="1" minValue="0" maxValue="323594.67298713996"/>
    </cacheField>
    <cacheField name="PAGOS_x000a_A CUMULADOS" numFmtId="168">
      <sharedItems containsSemiMixedTypes="0" containsString="0" containsNumber="1" minValue="0" maxValue="323325.20431113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64.768917013891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58.44049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64.768918055554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CXP VIGENTE" numFmtId="0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64.768918634261" createdVersion="6" refreshedVersion="8" minRefreshableVersion="3" recordCount="2" xr:uid="{00000000-000A-0000-FFFF-FFFF15000000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0">
      <sharedItems containsSemiMixedTypes="0" containsString="0" containsNumber="1" minValue="2249.6486331999999" maxValue="53197.26601458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64.768919212962" createdVersion="6" refreshedVersion="8" minRefreshableVersion="3" recordCount="2" xr:uid="{00000000-000A-0000-FFFF-FFFF12000000}">
  <cacheSource type="worksheet">
    <worksheetSource ref="B2:E4" sheet="Reservas Presupuestales"/>
  </cacheSource>
  <cacheFields count="4">
    <cacheField name="DENOMINACIÓN DEL CÓDIGO PRESUPUESTAL_x000a_" numFmtId="0">
      <sharedItems count="3">
        <s v="A-FUNCIONAMIENTO"/>
        <s v="C-INVERSIÓN"/>
        <s v="B-INVERSIÓN" u="1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2135.2183752999999" maxValue="18388.11352679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64.768920254632" createdVersion="8" refreshedVersion="8" minRefreshableVersion="3" recordCount="35" xr:uid="{43C55DC2-2A1A-4A14-87E7-DE790057C0A3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0" maxValue="326484319237"/>
    </cacheField>
    <cacheField name="COMPROMISOS_x000a_ ACUMULADOS" numFmtId="4">
      <sharedItems containsSemiMixedTypes="0" containsString="0" containsNumber="1" minValue="0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63561.860317779996"/>
    <n v="23586.893098450004"/>
    <n v="15006.592410740002"/>
    <n v="13913.491643740002"/>
  </r>
  <r>
    <s v="A-01"/>
    <x v="1"/>
    <n v="51464.345000000001"/>
    <n v="49182.286999999997"/>
    <n v="10892.914200499999"/>
    <n v="10892.914200499999"/>
    <n v="9982.5077414999996"/>
  </r>
  <r>
    <s v="A-02"/>
    <x v="2"/>
    <n v="19419.071"/>
    <n v="14137.059317779998"/>
    <n v="12653.147179910002"/>
    <n v="4072.8464921999998"/>
    <n v="3890.1521841999997"/>
  </r>
  <r>
    <s v="A-03"/>
    <x v="3"/>
    <n v="14851.09737"/>
    <n v="242.51400000000001"/>
    <n v="40.831718039999998"/>
    <n v="40.831718039999998"/>
    <n v="40.831718039999998"/>
  </r>
  <r>
    <s v="A-08"/>
    <x v="4"/>
    <n v="14051.472"/>
    <n v="0"/>
    <n v="0"/>
    <n v="0"/>
    <n v="0"/>
  </r>
  <r>
    <s v="B"/>
    <x v="5"/>
    <n v="1167604.3350470001"/>
    <n v="82787.334910000005"/>
    <n v="82787.334910000005"/>
    <n v="82787.334910000005"/>
    <n v="82787.334910000005"/>
  </r>
  <r>
    <s v="C"/>
    <x v="6"/>
    <n v="4505182.0250120005"/>
    <n v="4324973.4886586098"/>
    <n v="4298488.44877946"/>
    <n v="323594.67298713996"/>
    <n v="323325.204311139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58.4404993999997"/>
  </r>
  <r>
    <x v="1"/>
    <n v="182.428674"/>
    <n v="0"/>
    <n v="182.42867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3197.26601458999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135.2183752999999"/>
  </r>
  <r>
    <x v="1"/>
    <n v="53197.266014589994"/>
    <n v="0"/>
    <n v="18388.11352679000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1910561447.5"/>
    <n v="10573685432.309999"/>
    <n v="1437182429.5999999"/>
    <n v="1410029995.5999999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2974170000"/>
    <n v="16549.91"/>
    <n v="16549.91"/>
    <n v="16549.91"/>
  </r>
  <r>
    <s v="C-2403-0600-4"/>
    <x v="24"/>
    <n v="2257022926"/>
    <n v="2043005969.5"/>
    <n v="1883801584.79"/>
    <n v="268522926.29000002"/>
    <n v="267715261.28999999"/>
  </r>
  <r>
    <s v="C-2403-0600-5"/>
    <x v="25"/>
    <n v="3785000000"/>
    <n v="0"/>
    <n v="0"/>
    <n v="0"/>
    <n v="0"/>
  </r>
  <r>
    <s v="C-2404-0600-2"/>
    <x v="26"/>
    <n v="76235881312"/>
    <n v="49002053305"/>
    <n v="29487449537"/>
    <n v="324727575"/>
    <n v="324727575"/>
  </r>
  <r>
    <s v="C-2404-0600-4"/>
    <x v="27"/>
    <n v="1124097372"/>
    <n v="914322175"/>
    <n v="825234689.09000003"/>
    <n v="111546954.09"/>
    <n v="110207206.09"/>
  </r>
  <r>
    <s v="C-2405-0600-2"/>
    <x v="28"/>
    <n v="1000000000"/>
    <n v="367252932"/>
    <n v="367250432"/>
    <n v="0"/>
    <n v="0"/>
  </r>
  <r>
    <s v="C-2405-0600-4"/>
    <x v="29"/>
    <n v="3056837754"/>
    <n v="2903417570"/>
    <n v="2698058551.2800002"/>
    <n v="388647208.48000002"/>
    <n v="377134208.48000002"/>
  </r>
  <r>
    <s v="C-2406-0600-1"/>
    <x v="30"/>
    <n v="907945356"/>
    <n v="160368834"/>
    <n v="128223401.75"/>
    <n v="28601615.239999998"/>
    <n v="28601615.239999998"/>
  </r>
  <r>
    <s v="C-2499-0600-7"/>
    <x v="31"/>
    <n v="200000000"/>
    <n v="144566687"/>
    <n v="79900728.379999995"/>
    <n v="10280299.380000001"/>
    <n v="10280299.380000001"/>
  </r>
  <r>
    <s v="C-2499-0600-8"/>
    <x v="32"/>
    <n v="58800000000"/>
    <n v="16135463622.82"/>
    <n v="14208876126.139999"/>
    <n v="2218826526.3400002"/>
    <n v="2014117167.3399999"/>
  </r>
  <r>
    <s v="C-2499-0600-9"/>
    <x v="33"/>
    <n v="5000000000"/>
    <n v="3346393199.79"/>
    <n v="3164081037.9699998"/>
    <n v="1421013435.97"/>
    <n v="1405127047.97"/>
  </r>
  <r>
    <s v="C-2499-0600-10"/>
    <x v="34"/>
    <n v="1000000000"/>
    <n v="910769216"/>
    <n v="910727008.84000003"/>
    <n v="120204257.84"/>
    <n v="112144175.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4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63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J3:L4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a de CXP CONSTITUIDAS_x000a_(1)" fld="1" baseField="0" baseItem="0"/>
    <dataField name="Suma de CANCELACIONES CXP_x000a_ (2)" fld="2" baseField="0" baseItem="0"/>
    <dataField name="Suma de TOTAL PAGOS_x000a_ACUMULADOS_x000a_(5)" fld="3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4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0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outline="0" fieldPosition="0">
        <references count="1">
          <reference field="4294967294" count="1">
            <x v="2"/>
          </reference>
        </references>
      </pivotArea>
    </format>
    <format dxfId="60">
      <pivotArea outline="0" fieldPosition="0">
        <references count="1">
          <reference field="4294967294" count="1">
            <x v="3"/>
          </reference>
        </references>
      </pivotArea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2"/>
          </reference>
        </references>
      </pivotArea>
    </format>
    <format dxfId="57">
      <pivotArea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0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">
      <pivotArea outline="0" collapsedLevelsAreSubtotals="1" fieldPosition="0"/>
    </format>
  </formats>
  <chartFormats count="13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29" format="22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24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4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4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48">
      <pivotArea dataOnly="0" labelOnly="1" fieldPosition="0">
        <references count="1">
          <reference field="1" count="1">
            <x v="4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outline="0" collapsedLevelsAreSubtotals="1" fieldPosition="0"/>
    </format>
  </formats>
  <chartFormats count="38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3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3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3" format="6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3" format="7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3" format="8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3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3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3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3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3" format="13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3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3" format="15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DC81A-63C4-4529-BFC8-329A0A6E8EA0}" name="TablaDinámica1" cacheId="5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40">
      <pivotArea collapsedLevelsAreSubtotals="1" fieldPosition="0">
        <references count="1">
          <reference field="1" count="0"/>
        </references>
      </pivotArea>
    </format>
    <format dxfId="39">
      <pivotArea grandRow="1" outline="0" collapsedLevelsAreSubtotals="1" fieldPosition="0"/>
    </format>
    <format dxfId="38">
      <pivotArea collapsedLevelsAreSubtotals="1" fieldPosition="0">
        <references count="1">
          <reference field="1" count="0"/>
        </references>
      </pivotArea>
    </format>
    <format dxfId="3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">
      <pivotArea dataOnly="0" outline="0" fieldPosition="0">
        <references count="1">
          <reference field="1" count="0"/>
        </references>
      </pivotArea>
    </format>
    <format dxfId="34">
      <pivotArea field="1" type="button" dataOnly="0" labelOnly="1" outline="0" axis="axisPage" fieldPosition="0"/>
    </format>
    <format dxfId="33">
      <pivotArea outline="0" collapsedLevelsAreSubtotals="1" fieldPosition="0"/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5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 numFmtId="43"/>
  </dataFields>
  <formats count="8">
    <format dxfId="32">
      <pivotArea collapsedLevelsAreSubtotals="1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aDinámica5" cacheId="5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1:D32" firstHeaderRow="0" firstDataRow="1" firstDataCol="0"/>
  <pivotFields count="4">
    <pivotField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1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0" type="button" dataOnly="0" labelOnly="1" outline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0" type="button" dataOnly="0" labelOnly="1" outline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0" type="button" dataOnly="0" labelOnly="1" outline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5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6:E9" firstHeaderRow="0" firstDataRow="1" firstDataCol="1"/>
  <pivotFields count="4">
    <pivotField axis="axisRow"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2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5"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4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UENTA X PAGAR VIGENTE" fld="1" baseField="0" baseItem="0" numFmtId="169"/>
  </dataFields>
  <formats count="1">
    <format dxfId="1">
      <pivotArea outline="0" collapsedLevelsAreSubtotals="1" fieldPosition="0"/>
    </format>
  </format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B6:E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1"/>
    <dataField name="CANCELACIONES CXP" fld="2" baseField="0" baseItem="1"/>
    <dataField name="TOTAL PAGOS" fld="3" baseField="0" baseItem="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1:B22"/>
  <sheetViews>
    <sheetView showGridLines="0" showRowColHeaders="0" tabSelected="1" zoomScale="70" zoomScaleNormal="70" workbookViewId="0"/>
  </sheetViews>
  <sheetFormatPr baseColWidth="10" defaultRowHeight="15" x14ac:dyDescent="0.25"/>
  <cols>
    <col min="1" max="1" width="16.7109375" customWidth="1"/>
    <col min="2" max="2" width="165.5703125" bestFit="1" customWidth="1"/>
  </cols>
  <sheetData>
    <row r="1" spans="1:2" ht="36" x14ac:dyDescent="0.55000000000000004">
      <c r="A1" s="89" t="s">
        <v>146</v>
      </c>
    </row>
    <row r="8" spans="1:2" ht="36" x14ac:dyDescent="0.55000000000000004">
      <c r="B8" s="65" t="s">
        <v>96</v>
      </c>
    </row>
    <row r="9" spans="1:2" ht="36" x14ac:dyDescent="0.55000000000000004">
      <c r="B9" s="63" t="s">
        <v>45</v>
      </c>
    </row>
    <row r="10" spans="1:2" ht="36" x14ac:dyDescent="0.55000000000000004">
      <c r="B10" s="63" t="s">
        <v>158</v>
      </c>
    </row>
    <row r="11" spans="1:2" ht="36" x14ac:dyDescent="0.55000000000000004">
      <c r="B11" s="63" t="s">
        <v>46</v>
      </c>
    </row>
    <row r="12" spans="1:2" ht="36" x14ac:dyDescent="0.55000000000000004">
      <c r="B12" s="63" t="s">
        <v>47</v>
      </c>
    </row>
    <row r="13" spans="1:2" ht="36" x14ac:dyDescent="0.55000000000000004">
      <c r="B13" s="64"/>
    </row>
    <row r="14" spans="1:2" ht="36" x14ac:dyDescent="0.55000000000000004">
      <c r="B14" s="65" t="s">
        <v>97</v>
      </c>
    </row>
    <row r="15" spans="1:2" ht="36" x14ac:dyDescent="0.55000000000000004">
      <c r="B15" s="63" t="s">
        <v>98</v>
      </c>
    </row>
    <row r="16" spans="1:2" ht="36" x14ac:dyDescent="0.55000000000000004">
      <c r="B16" s="63" t="s">
        <v>97</v>
      </c>
    </row>
    <row r="17" spans="2:2" ht="36" x14ac:dyDescent="0.55000000000000004">
      <c r="B17" s="13"/>
    </row>
    <row r="19" spans="2:2" ht="36" x14ac:dyDescent="0.55000000000000004">
      <c r="B19" s="65" t="s">
        <v>143</v>
      </c>
    </row>
    <row r="20" spans="2:2" ht="36" x14ac:dyDescent="0.55000000000000004">
      <c r="B20" s="63" t="s">
        <v>144</v>
      </c>
    </row>
    <row r="21" spans="2:2" ht="36" x14ac:dyDescent="0.55000000000000004">
      <c r="B21" s="63" t="s">
        <v>145</v>
      </c>
    </row>
    <row r="22" spans="2:2" ht="36" x14ac:dyDescent="0.55000000000000004">
      <c r="B22" s="88"/>
    </row>
  </sheetData>
  <hyperlinks>
    <hyperlink ref="B9" location="'Participación Apropiación '!A1" display="Porcentaje Participación de la apropiación  por concepto de Gasto" xr:uid="{00000000-0004-0000-0000-000000000000}"/>
    <hyperlink ref="B10" location="'APR VS RP  Y OBLIGACIÓN Y PAGO'!A1" display="Ejecución Acumulada al  31/05/2019" xr:uid="{00000000-0004-0000-0000-000001000000}"/>
    <hyperlink ref="B11" location="'APR,RP´S,OBL Y PAGO FUNCIONAMIE'!A1" display="Comparativo presupuesto de Funcionamiento " xr:uid="{00000000-0004-0000-0000-000002000000}"/>
    <hyperlink ref="B12" location="'INVERSIÓN APR VS RP Y OBLI'!A1" display="Detalle Ejecución Preupuestal por Proyecto de Inversión " xr:uid="{00000000-0004-0000-0000-000003000000}"/>
    <hyperlink ref="B16" location="'EJECUCIÓN  RESERVA'!A1" display="Ejecución Reserva Presupuestal Constituida" xr:uid="{00000000-0004-0000-0000-000004000000}"/>
    <hyperlink ref="B15" location="'Participación por Concepto'!A1" display="Porcentaje Participación de la Reserva por Concepto de Gasto" xr:uid="{00000000-0004-0000-0000-000005000000}"/>
    <hyperlink ref="B20" location="'PART. CUENTA X PAGAR CONCEPTO '!A1" display="Porcentaje Participación de la Cuenta por Pagar por Concepto de Gasto" xr:uid="{AC55130B-CC29-44F9-B1D7-AF40CD196286}"/>
    <hyperlink ref="B21" location="'EJECUCIÓN CUENTA POR PAGAR '!A1" display="Ejecución de la Cuenta por Pagar Constituida" xr:uid="{22F13090-CBF9-4CA4-8D59-CB20EE444C4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6:N75"/>
  <sheetViews>
    <sheetView showGridLines="0" showRowColHeaders="0" zoomScale="99" workbookViewId="0"/>
  </sheetViews>
  <sheetFormatPr baseColWidth="10" defaultRowHeight="15" outlineLevelRow="2" x14ac:dyDescent="0.25"/>
  <cols>
    <col min="2" max="2" width="21.7109375" bestFit="1" customWidth="1"/>
    <col min="3" max="3" width="24.42578125" bestFit="1" customWidth="1"/>
    <col min="4" max="4" width="16.42578125" bestFit="1" customWidth="1"/>
    <col min="5" max="5" width="14.140625" customWidth="1"/>
    <col min="6" max="6" width="11.5703125" bestFit="1" customWidth="1"/>
  </cols>
  <sheetData>
    <row r="6" spans="2:11" ht="90" x14ac:dyDescent="0.25">
      <c r="B6" s="60" t="s">
        <v>93</v>
      </c>
      <c r="C6" s="61" t="s">
        <v>92</v>
      </c>
      <c r="D6" s="61" t="s">
        <v>94</v>
      </c>
      <c r="E6" s="61" t="s">
        <v>95</v>
      </c>
      <c r="F6" s="23"/>
    </row>
    <row r="7" spans="2:11" x14ac:dyDescent="0.25">
      <c r="B7" s="59" t="s">
        <v>26</v>
      </c>
      <c r="C7" s="58">
        <v>2249.6486331999999</v>
      </c>
      <c r="D7" s="58">
        <v>0</v>
      </c>
      <c r="E7" s="58">
        <v>2135.2183752999999</v>
      </c>
      <c r="F7" s="70"/>
    </row>
    <row r="8" spans="2:11" x14ac:dyDescent="0.25">
      <c r="B8" s="59" t="s">
        <v>128</v>
      </c>
      <c r="C8" s="58">
        <v>53197.266014589994</v>
      </c>
      <c r="D8" s="58">
        <v>0</v>
      </c>
      <c r="E8" s="58">
        <v>18388.113526790003</v>
      </c>
      <c r="F8" s="71"/>
    </row>
    <row r="9" spans="2:11" x14ac:dyDescent="0.25">
      <c r="B9" s="59" t="s">
        <v>6</v>
      </c>
      <c r="C9" s="58">
        <v>55446.914647789992</v>
      </c>
      <c r="D9" s="58">
        <v>0</v>
      </c>
      <c r="E9" s="58">
        <v>20523.331902090002</v>
      </c>
    </row>
    <row r="10" spans="2:11" x14ac:dyDescent="0.25">
      <c r="B10" s="59"/>
      <c r="C10" s="58"/>
      <c r="D10" s="58"/>
      <c r="E10" s="58"/>
    </row>
    <row r="11" spans="2:11" ht="18.75" x14ac:dyDescent="0.3">
      <c r="B11" s="124" t="s">
        <v>102</v>
      </c>
      <c r="C11" s="124"/>
      <c r="D11" s="124"/>
      <c r="E11" s="124"/>
      <c r="F11" s="124"/>
      <c r="G11" s="124"/>
    </row>
    <row r="12" spans="2:11" x14ac:dyDescent="0.25">
      <c r="H12" s="5"/>
      <c r="J12" s="5"/>
    </row>
    <row r="14" spans="2:11" x14ac:dyDescent="0.25">
      <c r="E14" s="18"/>
      <c r="F14" s="18"/>
      <c r="K14" s="72"/>
    </row>
    <row r="15" spans="2:11" x14ac:dyDescent="0.25">
      <c r="E15" s="18"/>
      <c r="F15" s="18"/>
      <c r="K15" s="70"/>
    </row>
    <row r="16" spans="2:11" x14ac:dyDescent="0.25">
      <c r="B16" s="68"/>
      <c r="C16" s="68"/>
      <c r="D16" s="68"/>
      <c r="E16" s="69"/>
      <c r="F16" s="69"/>
    </row>
    <row r="17" spans="1:14" x14ac:dyDescent="0.25">
      <c r="B17" s="68"/>
      <c r="C17" s="68"/>
      <c r="D17" s="68"/>
      <c r="E17" s="69"/>
      <c r="F17" s="69"/>
    </row>
    <row r="18" spans="1:14" x14ac:dyDescent="0.25">
      <c r="A18" s="18"/>
      <c r="B18" s="68"/>
      <c r="C18" s="68"/>
      <c r="D18" s="68"/>
      <c r="E18" s="69"/>
      <c r="F18" s="69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68"/>
      <c r="C19" s="68"/>
      <c r="D19" s="68"/>
      <c r="E19" s="69"/>
      <c r="F19" s="69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68"/>
      <c r="C20" s="68"/>
      <c r="D20" s="68"/>
      <c r="E20" s="69"/>
      <c r="F20" s="69"/>
      <c r="G20" s="18"/>
      <c r="H20" s="18"/>
      <c r="I20" s="91"/>
      <c r="J20" s="18"/>
      <c r="K20" s="18"/>
      <c r="L20" s="18"/>
      <c r="M20" s="18"/>
      <c r="N20" s="18"/>
    </row>
    <row r="21" spans="1:14" x14ac:dyDescent="0.25">
      <c r="A21" s="18"/>
      <c r="B21" s="68"/>
      <c r="C21" s="68"/>
      <c r="D21" s="68"/>
      <c r="E21" s="69"/>
      <c r="F21" s="69"/>
      <c r="G21" s="18"/>
      <c r="H21" s="18"/>
      <c r="I21" s="92"/>
      <c r="J21" s="18"/>
      <c r="K21" s="18"/>
      <c r="L21" s="18"/>
      <c r="M21" s="18"/>
      <c r="N21" s="18"/>
    </row>
    <row r="22" spans="1:14" x14ac:dyDescent="0.25">
      <c r="A22" s="18"/>
      <c r="B22" s="68"/>
      <c r="C22" s="68"/>
      <c r="D22" s="68"/>
      <c r="E22" s="69"/>
      <c r="F22" s="69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68"/>
      <c r="C23" s="68"/>
      <c r="D23" s="68"/>
      <c r="E23" s="69"/>
      <c r="F23" s="69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8"/>
      <c r="C24" s="68"/>
      <c r="D24" s="68"/>
      <c r="E24" s="69"/>
      <c r="F24" s="69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8"/>
      <c r="C25" s="68"/>
      <c r="D25" s="68"/>
      <c r="E25" s="69"/>
      <c r="F25" s="69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9"/>
      <c r="C26" s="69"/>
      <c r="D26" s="69"/>
      <c r="E26" s="69"/>
      <c r="F26" s="69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 x14ac:dyDescent="0.3">
      <c r="A28" s="18"/>
      <c r="B28" s="123" t="s">
        <v>101</v>
      </c>
      <c r="C28" s="123"/>
      <c r="D28" s="123"/>
      <c r="E28" s="123"/>
      <c r="F28" s="123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60" hidden="1" outlineLevel="2" x14ac:dyDescent="0.25">
      <c r="A31" s="18"/>
      <c r="B31" s="61" t="s">
        <v>92</v>
      </c>
      <c r="C31" s="61" t="s">
        <v>94</v>
      </c>
      <c r="D31" s="61" t="s">
        <v>95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B32" s="58">
        <v>55446.914647789992</v>
      </c>
      <c r="C32" s="58">
        <v>0</v>
      </c>
      <c r="D32" s="58">
        <v>20523.331902090002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collapsed="1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92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35"/>
      <c r="C42" s="35"/>
      <c r="D42" s="35"/>
      <c r="E42" s="35"/>
      <c r="F42" s="35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</row>
    <row r="44" spans="1:14" hidden="1" outlineLevel="1" x14ac:dyDescent="0.25">
      <c r="A44" s="18"/>
      <c r="B44" s="113" t="s">
        <v>93</v>
      </c>
      <c r="C44" s="113" t="s">
        <v>92</v>
      </c>
      <c r="D44" s="113" t="s">
        <v>94</v>
      </c>
      <c r="E44" s="113" t="s">
        <v>95</v>
      </c>
      <c r="F44" s="113"/>
      <c r="G44" s="18"/>
      <c r="H44" s="18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02" t="s">
        <v>26</v>
      </c>
      <c r="C45" s="116">
        <f>GETPIVOTDATA("RESERVAS CONSTITUIDAS
",$B$6,"DENOMINACIÓN DEL CÓDIGO PRESUPUESTAL
","A-FUNCIONAMIENTO")</f>
        <v>2249.6486331999999</v>
      </c>
      <c r="D45" s="116">
        <f>GETPIVOTDATA("CANCELACIONES RESERVAS PRESUPUESTALES
 ",$B$6,"DENOMINACIÓN DEL CÓDIGO PRESUPUESTAL
","A-FUNCIONAMIENTO")</f>
        <v>0</v>
      </c>
      <c r="E45" s="105">
        <f>GETPIVOTDATA("PAGOS
ACUMULADOS
",$B$6,"DENOMINACIÓN DEL CÓDIGO PRESUPUESTAL
","A-FUNCIONAMIENTO")/GETPIVOTDATA("RESERVAS CONSTITUIDAS
",$B$6,"DENOMINACIÓN DEL CÓDIGO PRESUPUESTAL
","A-FUNCIONAMIENTO")</f>
        <v>0.94913416423735941</v>
      </c>
      <c r="F45" s="106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35"/>
      <c r="B46" s="102" t="s">
        <v>128</v>
      </c>
      <c r="C46" s="116">
        <f>GETPIVOTDATA("RESERVAS CONSTITUIDAS
",$B$6,"DENOMINACIÓN DEL CÓDIGO PRESUPUESTAL
","C-INVERSIÓN")</f>
        <v>53197.266014589994</v>
      </c>
      <c r="D46" s="116">
        <f>GETPIVOTDATA("CANCELACIONES RESERVAS PRESUPUESTALES
 ",$B$6,"DENOMINACIÓN DEL CÓDIGO PRESUPUESTAL
","C-INVERSIÓN")</f>
        <v>0</v>
      </c>
      <c r="E46" s="104">
        <f>+GETPIVOTDATA("PAGOS
ACUMULADOS
",$B$6,"DENOMINACIÓN DEL CÓDIGO PRESUPUESTAL
","C-INVERSIÓN")/GETPIVOTDATA("RESERVAS CONSTITUIDAS
",$B$6,"DENOMINACIÓN DEL CÓDIGO PRESUPUESTAL
","C-INVERSIÓN")</f>
        <v>0.34565899536541672</v>
      </c>
      <c r="F46" s="106"/>
      <c r="G46" s="35"/>
      <c r="H46" s="35"/>
      <c r="I46" s="35"/>
      <c r="J46" s="18"/>
      <c r="K46" s="18"/>
      <c r="L46" s="18"/>
      <c r="M46" s="18"/>
      <c r="N46" s="18"/>
    </row>
    <row r="47" spans="1:14" hidden="1" outlineLevel="1" x14ac:dyDescent="0.25">
      <c r="A47" s="35"/>
      <c r="B47" s="102" t="s">
        <v>6</v>
      </c>
      <c r="C47" s="117">
        <f>+C45+C46</f>
        <v>55446.914647789992</v>
      </c>
      <c r="D47" s="116">
        <f>+D45+D46</f>
        <v>0</v>
      </c>
      <c r="E47" s="104">
        <f>+GETPIVOTDATA("PAGOS
ACUMULADOS
",$B$6)/GETPIVOTDATA("RESERVAS CONSTITUIDAS
",$B$6)</f>
        <v>0.37014380389708523</v>
      </c>
      <c r="F47" s="104"/>
      <c r="G47" s="35"/>
      <c r="H47" s="35"/>
      <c r="I47" s="35"/>
      <c r="J47" s="20"/>
      <c r="K47" s="20"/>
      <c r="L47" s="18"/>
      <c r="M47" s="18"/>
      <c r="N47" s="18"/>
    </row>
    <row r="48" spans="1:14" s="11" customFormat="1" collapsed="1" x14ac:dyDescent="0.25">
      <c r="A48" s="36"/>
      <c r="B48" s="40"/>
      <c r="C48" s="41"/>
      <c r="D48" s="42"/>
      <c r="E48" s="43"/>
      <c r="F48" s="43"/>
      <c r="G48" s="36"/>
      <c r="H48" s="36"/>
      <c r="I48" s="36"/>
      <c r="L48" s="27"/>
      <c r="M48" s="27"/>
      <c r="N48" s="27"/>
    </row>
    <row r="49" spans="1:14" s="11" customFormat="1" x14ac:dyDescent="0.25">
      <c r="A49" s="36"/>
      <c r="B49" s="36"/>
      <c r="C49" s="36"/>
      <c r="D49" s="36"/>
      <c r="E49" s="36"/>
      <c r="F49" s="36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5"/>
      <c r="C50" s="35"/>
      <c r="D50" s="35"/>
      <c r="E50" s="35"/>
      <c r="F50" s="35"/>
      <c r="G50" s="36"/>
      <c r="H50" s="36"/>
      <c r="I50" s="36"/>
      <c r="K50" s="97"/>
      <c r="L50" s="98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J51" s="11">
        <f>+GETPIVOTDATA("PAGOS
ACUMULADOS
",$B$6)/GETPIVOTDATA("RESERVAS CONSTITUIDAS
",$B$6)</f>
        <v>0.37014380389708523</v>
      </c>
      <c r="K51" s="97"/>
      <c r="L51" s="98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J52" s="96"/>
      <c r="K52" s="97"/>
      <c r="L52" s="98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K53" s="97"/>
      <c r="L53" s="97"/>
      <c r="M53" s="28"/>
      <c r="N53" s="28"/>
    </row>
    <row r="54" spans="1:14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99"/>
      <c r="L54" s="100"/>
      <c r="M54" s="29"/>
      <c r="N54" s="29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99"/>
      <c r="L55" s="100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99"/>
      <c r="L56" s="100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99"/>
      <c r="L57" s="100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99"/>
      <c r="L58" s="100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99"/>
      <c r="L59" s="100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5"/>
      <c r="K64" s="29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6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0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14"/>
      <c r="C71" s="14"/>
      <c r="D71" s="14"/>
      <c r="E71" s="14"/>
      <c r="F71" s="14"/>
      <c r="G71" s="35"/>
      <c r="H71" s="35"/>
      <c r="I71" s="35"/>
    </row>
    <row r="72" spans="1:14" x14ac:dyDescent="0.25">
      <c r="A72" s="35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14"/>
      <c r="G75" s="14"/>
      <c r="H75" s="14"/>
      <c r="I75" s="14"/>
    </row>
  </sheetData>
  <mergeCells count="2">
    <mergeCell ref="B28:F28"/>
    <mergeCell ref="B11:G11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1:G17"/>
  <sheetViews>
    <sheetView workbookViewId="0">
      <selection sqref="A1:E10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5" t="s">
        <v>87</v>
      </c>
      <c r="C2" s="46" t="s">
        <v>140</v>
      </c>
      <c r="D2" s="47" t="s">
        <v>141</v>
      </c>
      <c r="E2" s="48" t="s">
        <v>90</v>
      </c>
    </row>
    <row r="3" spans="2:7" ht="16.5" thickBot="1" x14ac:dyDescent="0.3">
      <c r="B3" s="53" t="s">
        <v>26</v>
      </c>
      <c r="C3" s="54">
        <f>7893784910.4/1000000</f>
        <v>7893.7849103999997</v>
      </c>
      <c r="D3" s="55">
        <v>0</v>
      </c>
      <c r="E3" s="56">
        <f>6858440499.4/1000000</f>
        <v>6858.4404993999997</v>
      </c>
      <c r="F3" s="71"/>
      <c r="G3" s="58"/>
    </row>
    <row r="4" spans="2:7" ht="19.5" thickBot="1" x14ac:dyDescent="0.3">
      <c r="B4" s="49" t="s">
        <v>128</v>
      </c>
      <c r="C4" s="50">
        <f>182428674/1000000</f>
        <v>182.428674</v>
      </c>
      <c r="D4" s="51">
        <f>0/1000000</f>
        <v>0</v>
      </c>
      <c r="E4" s="52">
        <f>182428674/1000000</f>
        <v>182.428674</v>
      </c>
      <c r="F4" s="70"/>
      <c r="G4" s="71"/>
    </row>
    <row r="6" spans="2:7" x14ac:dyDescent="0.25">
      <c r="C6" s="57"/>
      <c r="D6" s="57"/>
      <c r="E6" s="57"/>
    </row>
    <row r="7" spans="2:7" ht="15.75" thickBot="1" x14ac:dyDescent="0.3">
      <c r="E7" s="44"/>
    </row>
    <row r="8" spans="2:7" ht="63.75" thickBot="1" x14ac:dyDescent="0.3">
      <c r="B8" s="45" t="s">
        <v>87</v>
      </c>
      <c r="C8" s="56" t="s">
        <v>142</v>
      </c>
      <c r="E8" s="44"/>
    </row>
    <row r="9" spans="2:7" ht="19.5" thickBot="1" x14ac:dyDescent="0.3">
      <c r="B9" s="53" t="s">
        <v>26</v>
      </c>
      <c r="C9" s="52">
        <f>7893784910.4/1000000</f>
        <v>7893.7849103999997</v>
      </c>
      <c r="E9" s="58"/>
    </row>
    <row r="10" spans="2:7" ht="19.5" thickBot="1" x14ac:dyDescent="0.3">
      <c r="B10" s="49" t="s">
        <v>91</v>
      </c>
      <c r="C10" s="48">
        <f>182428674/1000000</f>
        <v>182.428674</v>
      </c>
      <c r="D10" s="67"/>
    </row>
    <row r="12" spans="2:7" x14ac:dyDescent="0.25">
      <c r="C12" s="67"/>
      <c r="D12" s="67"/>
      <c r="E12" s="67"/>
      <c r="F12" s="71"/>
      <c r="G12" s="72"/>
    </row>
    <row r="13" spans="2:7" x14ac:dyDescent="0.25">
      <c r="C13" s="44"/>
    </row>
    <row r="14" spans="2:7" x14ac:dyDescent="0.25">
      <c r="C14" s="44"/>
    </row>
    <row r="16" spans="2:7" x14ac:dyDescent="0.25">
      <c r="C16" s="44"/>
    </row>
    <row r="17" spans="3:3" x14ac:dyDescent="0.25">
      <c r="C17" s="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7:F12"/>
  <sheetViews>
    <sheetView showGridLines="0" showRowColHeaders="0" zoomScale="85" zoomScaleNormal="85" workbookViewId="0"/>
  </sheetViews>
  <sheetFormatPr baseColWidth="10" defaultRowHeight="15" x14ac:dyDescent="0.25"/>
  <cols>
    <col min="2" max="2" width="19.85546875" bestFit="1" customWidth="1"/>
    <col min="3" max="3" width="25" bestFit="1" customWidth="1"/>
    <col min="4" max="4" width="11" bestFit="1" customWidth="1"/>
    <col min="5" max="5" width="12.5703125" bestFit="1" customWidth="1"/>
  </cols>
  <sheetData>
    <row r="7" spans="2:6" x14ac:dyDescent="0.25">
      <c r="B7" s="2"/>
      <c r="C7" s="23"/>
    </row>
    <row r="8" spans="2:6" x14ac:dyDescent="0.25">
      <c r="B8" s="4" t="s">
        <v>5</v>
      </c>
      <c r="C8" t="s">
        <v>147</v>
      </c>
    </row>
    <row r="9" spans="2:6" x14ac:dyDescent="0.25">
      <c r="B9" s="2" t="s">
        <v>26</v>
      </c>
      <c r="C9" s="58">
        <v>7893.7849103999997</v>
      </c>
    </row>
    <row r="10" spans="2:6" x14ac:dyDescent="0.25">
      <c r="B10" s="2" t="s">
        <v>91</v>
      </c>
      <c r="C10" s="58">
        <v>182.428674</v>
      </c>
    </row>
    <row r="11" spans="2:6" x14ac:dyDescent="0.25">
      <c r="B11" s="2" t="s">
        <v>6</v>
      </c>
      <c r="C11" s="58">
        <v>8076.2135843999995</v>
      </c>
      <c r="D11" s="66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3:N76"/>
  <sheetViews>
    <sheetView showGridLines="0" zoomScaleNormal="100" workbookViewId="0"/>
  </sheetViews>
  <sheetFormatPr baseColWidth="10" defaultRowHeight="15" outlineLevelRow="2" x14ac:dyDescent="0.25"/>
  <cols>
    <col min="2" max="2" width="19.85546875" bestFit="1" customWidth="1"/>
    <col min="3" max="3" width="18.140625" bestFit="1" customWidth="1"/>
    <col min="4" max="4" width="19.7109375" bestFit="1" customWidth="1"/>
    <col min="5" max="5" width="13.28515625" bestFit="1" customWidth="1"/>
    <col min="6" max="6" width="11.5703125" bestFit="1" customWidth="1"/>
    <col min="10" max="10" width="30.28515625" hidden="1" customWidth="1"/>
    <col min="11" max="11" width="32.42578125" hidden="1" customWidth="1"/>
    <col min="12" max="12" width="40.140625" hidden="1" customWidth="1"/>
  </cols>
  <sheetData>
    <row r="3" spans="2:12" x14ac:dyDescent="0.25">
      <c r="J3" t="s">
        <v>148</v>
      </c>
      <c r="K3" t="s">
        <v>149</v>
      </c>
      <c r="L3" t="s">
        <v>150</v>
      </c>
    </row>
    <row r="4" spans="2:12" x14ac:dyDescent="0.25">
      <c r="J4" s="58">
        <v>8076.2135843999995</v>
      </c>
      <c r="K4" s="58">
        <v>0</v>
      </c>
      <c r="L4" s="58">
        <v>7040.8691733999995</v>
      </c>
    </row>
    <row r="6" spans="2:12" x14ac:dyDescent="0.25">
      <c r="B6" s="4" t="s">
        <v>5</v>
      </c>
      <c r="C6" t="s">
        <v>151</v>
      </c>
      <c r="D6" t="s">
        <v>152</v>
      </c>
      <c r="E6" t="s">
        <v>153</v>
      </c>
    </row>
    <row r="7" spans="2:12" x14ac:dyDescent="0.25">
      <c r="B7" s="2" t="s">
        <v>26</v>
      </c>
      <c r="C7" s="58">
        <v>7893.7849103999997</v>
      </c>
      <c r="D7" s="58">
        <v>0</v>
      </c>
      <c r="E7" s="58">
        <v>6858.4404993999997</v>
      </c>
    </row>
    <row r="8" spans="2:12" x14ac:dyDescent="0.25">
      <c r="B8" s="2" t="s">
        <v>128</v>
      </c>
      <c r="C8" s="58">
        <v>182.428674</v>
      </c>
      <c r="D8" s="58">
        <v>0</v>
      </c>
      <c r="E8" s="58">
        <v>182.428674</v>
      </c>
    </row>
    <row r="9" spans="2:12" x14ac:dyDescent="0.25">
      <c r="B9" s="2" t="s">
        <v>6</v>
      </c>
      <c r="C9" s="58">
        <v>8076.2135843999995</v>
      </c>
      <c r="D9" s="58">
        <v>0</v>
      </c>
      <c r="E9" s="58">
        <v>7040.8691733999995</v>
      </c>
    </row>
    <row r="11" spans="2:12" x14ac:dyDescent="0.25">
      <c r="B11" s="59"/>
      <c r="C11" s="58"/>
      <c r="D11" s="58"/>
      <c r="E11" s="58"/>
    </row>
    <row r="12" spans="2:12" ht="18.75" x14ac:dyDescent="0.3">
      <c r="B12" s="124" t="s">
        <v>155</v>
      </c>
      <c r="C12" s="124"/>
      <c r="D12" s="124"/>
      <c r="E12" s="124"/>
      <c r="F12" s="124"/>
      <c r="G12" s="124"/>
    </row>
    <row r="13" spans="2:12" x14ac:dyDescent="0.25">
      <c r="H13" s="5"/>
    </row>
    <row r="15" spans="2:12" x14ac:dyDescent="0.25">
      <c r="E15" s="18"/>
      <c r="F15" s="18"/>
    </row>
    <row r="16" spans="2:12" x14ac:dyDescent="0.25">
      <c r="E16" s="18"/>
      <c r="F16" s="18"/>
    </row>
    <row r="17" spans="1:14" x14ac:dyDescent="0.25">
      <c r="B17" s="68"/>
      <c r="C17" s="68"/>
      <c r="D17" s="68"/>
      <c r="E17" s="69"/>
      <c r="F17" s="69"/>
    </row>
    <row r="18" spans="1:14" x14ac:dyDescent="0.25">
      <c r="B18" s="68"/>
      <c r="C18" s="68"/>
      <c r="D18" s="68"/>
      <c r="E18" s="69"/>
      <c r="F18" s="69"/>
    </row>
    <row r="19" spans="1:14" x14ac:dyDescent="0.25">
      <c r="A19" s="18"/>
      <c r="B19" s="68"/>
      <c r="C19" s="68"/>
      <c r="D19" s="68"/>
      <c r="E19" s="69"/>
      <c r="F19" s="69"/>
      <c r="G19" s="18"/>
      <c r="H19" s="18"/>
      <c r="I19" s="18"/>
      <c r="M19" s="18"/>
      <c r="N19" s="18"/>
    </row>
    <row r="20" spans="1:14" x14ac:dyDescent="0.25">
      <c r="A20" s="18"/>
      <c r="B20" s="68"/>
      <c r="C20" s="68"/>
      <c r="D20" s="68"/>
      <c r="E20" s="69"/>
      <c r="F20" s="69"/>
      <c r="G20" s="18"/>
      <c r="H20" s="18"/>
      <c r="I20" s="90"/>
      <c r="M20" s="92"/>
      <c r="N20" s="18"/>
    </row>
    <row r="21" spans="1:14" x14ac:dyDescent="0.25">
      <c r="A21" s="18"/>
      <c r="B21" s="68"/>
      <c r="C21" s="68"/>
      <c r="D21" s="68"/>
      <c r="E21" s="69"/>
      <c r="F21" s="69"/>
      <c r="G21" s="18"/>
      <c r="H21" s="18"/>
      <c r="I21" s="92"/>
      <c r="J21" s="18"/>
      <c r="K21" s="18"/>
      <c r="L21" s="18"/>
      <c r="M21" s="18"/>
      <c r="N21" s="18"/>
    </row>
    <row r="22" spans="1:14" x14ac:dyDescent="0.25">
      <c r="A22" s="18"/>
      <c r="B22" s="68"/>
      <c r="C22" s="68"/>
      <c r="D22" s="68"/>
      <c r="E22" s="69"/>
      <c r="F22" s="69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68"/>
      <c r="C23" s="68"/>
      <c r="D23" s="68"/>
      <c r="E23" s="69"/>
      <c r="F23" s="69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8"/>
      <c r="C24" s="68"/>
      <c r="D24" s="68"/>
      <c r="E24" s="69"/>
      <c r="F24" s="69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8"/>
      <c r="C25" s="68"/>
      <c r="D25" s="68"/>
      <c r="E25" s="69"/>
      <c r="F25" s="69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8"/>
      <c r="C26" s="68"/>
      <c r="D26" s="68"/>
      <c r="E26" s="69"/>
      <c r="F26" s="69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69"/>
      <c r="C27" s="69"/>
      <c r="D27" s="69"/>
      <c r="E27" s="69"/>
      <c r="F27" s="69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x14ac:dyDescent="0.3">
      <c r="A29" s="18"/>
      <c r="B29" s="123" t="s">
        <v>154</v>
      </c>
      <c r="C29" s="123"/>
      <c r="D29" s="123"/>
      <c r="E29" s="123"/>
      <c r="F29" s="123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outlineLevel="2" x14ac:dyDescent="0.25">
      <c r="A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outlineLevel="2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F41" s="18"/>
      <c r="G41" s="18"/>
      <c r="H41" s="18"/>
      <c r="I41" s="18"/>
      <c r="J41" s="18"/>
      <c r="K41" s="18"/>
      <c r="L41" s="18"/>
      <c r="M41" s="92"/>
      <c r="N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A44" s="18"/>
      <c r="B44" s="35"/>
      <c r="C44" s="35"/>
      <c r="D44" s="35"/>
      <c r="E44" s="35"/>
      <c r="F44" s="35"/>
      <c r="G44" s="18"/>
      <c r="H44" s="92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13" t="s">
        <v>93</v>
      </c>
      <c r="C45" s="113" t="s">
        <v>92</v>
      </c>
      <c r="D45" s="113" t="s">
        <v>94</v>
      </c>
      <c r="E45" s="113" t="s">
        <v>95</v>
      </c>
      <c r="F45" s="37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18"/>
      <c r="B46" s="102" t="s">
        <v>26</v>
      </c>
      <c r="C46" s="116">
        <f>GETPIVOTDATA("CXP CONSTITUIDAS",$B$6,"DENOMINACIÓN DEL CÓDIGO PRESUPUESTAL
","A-FUNCIONAMIENTO")</f>
        <v>7893.7849103999997</v>
      </c>
      <c r="D46" s="117">
        <f>GETPIVOTDATA("CANCELACIONES CXP",$B$6,"DENOMINACIÓN DEL CÓDIGO PRESUPUESTAL
","A-FUNCIONAMIENTO")</f>
        <v>0</v>
      </c>
      <c r="E46" s="105">
        <f>GETPIVOTDATA("TOTAL PAGOS",$B$6,"DENOMINACIÓN DEL CÓDIGO PRESUPUESTAL
","A-FUNCIONAMIENTO")/GETPIVOTDATA("CXP CONSTITUIDAS",$B$6,"DENOMINACIÓN DEL CÓDIGO PRESUPUESTAL
","A-FUNCIONAMIENTO")</f>
        <v>0.86884055966157103</v>
      </c>
      <c r="F46" s="38"/>
      <c r="G46" s="18"/>
      <c r="H46" s="18"/>
      <c r="I46" s="18"/>
      <c r="J46" s="18"/>
      <c r="K46" s="18"/>
      <c r="L46" s="18"/>
      <c r="M46" s="18"/>
      <c r="N46" s="18"/>
    </row>
    <row r="47" spans="1:14" hidden="1" outlineLevel="1" x14ac:dyDescent="0.25">
      <c r="A47" s="35"/>
      <c r="B47" s="102" t="s">
        <v>128</v>
      </c>
      <c r="C47" s="116">
        <f>GETPIVOTDATA("CXP CONSTITUIDAS",$B$6,"DENOMINACIÓN DEL CÓDIGO PRESUPUESTAL
","C-INVERSIÓN")</f>
        <v>182.428674</v>
      </c>
      <c r="D47" s="117">
        <f>GETPIVOTDATA("CANCELACIONES CXP",$B$6,"DENOMINACIÓN DEL CÓDIGO PRESUPUESTAL
","C-INVERSIÓN")</f>
        <v>0</v>
      </c>
      <c r="E47" s="104">
        <f>+GETPIVOTDATA("TOTAL PAGOS",$B$6,"DENOMINACIÓN DEL CÓDIGO PRESUPUESTAL
","C-INVERSIÓN")/GETPIVOTDATA("CXP CONSTITUIDAS",$B$6,"DENOMINACIÓN DEL CÓDIGO PRESUPUESTAL
","C-INVERSIÓN")</f>
        <v>1</v>
      </c>
      <c r="F47" s="38"/>
      <c r="G47" s="35"/>
      <c r="H47" s="35"/>
      <c r="I47" s="35"/>
      <c r="J47" s="18"/>
      <c r="K47" s="18"/>
      <c r="L47" s="18"/>
      <c r="M47" s="18"/>
      <c r="N47" s="18"/>
    </row>
    <row r="48" spans="1:14" hidden="1" outlineLevel="1" x14ac:dyDescent="0.25">
      <c r="A48" s="35"/>
      <c r="B48" s="102" t="s">
        <v>6</v>
      </c>
      <c r="C48" s="117">
        <f>+C46+C47</f>
        <v>8076.2135843999995</v>
      </c>
      <c r="D48" s="117">
        <f>GETPIVOTDATA("CANCELACIONES CXP",$B$6)</f>
        <v>0</v>
      </c>
      <c r="E48" s="104">
        <f>+GETPIVOTDATA("TOTAL PAGOS",$B$6)/GETPIVOTDATA("CXP CONSTITUIDAS",$B$6)</f>
        <v>0.87180324044427582</v>
      </c>
      <c r="F48" s="39"/>
      <c r="G48" s="35"/>
      <c r="H48" s="35"/>
      <c r="I48" s="35"/>
      <c r="J48" s="20"/>
      <c r="K48" s="20"/>
      <c r="L48" s="18"/>
      <c r="M48" s="18"/>
      <c r="N48" s="18"/>
    </row>
    <row r="49" spans="1:14" s="11" customFormat="1" collapsed="1" x14ac:dyDescent="0.25">
      <c r="A49" s="36"/>
      <c r="B49" s="40"/>
      <c r="C49" s="41"/>
      <c r="D49" s="42"/>
      <c r="E49" s="43"/>
      <c r="F49" s="43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6"/>
      <c r="C50" s="36"/>
      <c r="D50" s="36"/>
      <c r="E50" s="36"/>
      <c r="F50" s="36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7"/>
      <c r="M53" s="27"/>
      <c r="N53" s="27"/>
    </row>
    <row r="54" spans="1:14" s="11" customFormat="1" x14ac:dyDescent="0.25">
      <c r="A54" s="36"/>
      <c r="B54" s="35"/>
      <c r="C54" s="35"/>
      <c r="D54" s="35"/>
      <c r="E54" s="35"/>
      <c r="F54" s="35"/>
      <c r="G54" s="36"/>
      <c r="H54" s="36"/>
      <c r="I54" s="36"/>
      <c r="L54" s="28"/>
      <c r="M54" s="28"/>
      <c r="N54" s="28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0"/>
      <c r="K64" s="20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5"/>
      <c r="K67" s="29"/>
      <c r="L67" s="29"/>
      <c r="M67" s="29"/>
      <c r="N67" s="29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6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20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14" x14ac:dyDescent="0.25">
      <c r="A72" s="35"/>
      <c r="B72" s="14"/>
      <c r="C72" s="14"/>
      <c r="D72" s="14"/>
      <c r="E72" s="14"/>
      <c r="F72" s="14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35"/>
      <c r="G75" s="35"/>
      <c r="H75" s="35"/>
      <c r="I75" s="35"/>
    </row>
    <row r="76" spans="1:14" x14ac:dyDescent="0.25">
      <c r="A76" s="14"/>
      <c r="G76" s="14"/>
      <c r="H76" s="14"/>
      <c r="I76" s="14"/>
    </row>
  </sheetData>
  <mergeCells count="2">
    <mergeCell ref="B12:G12"/>
    <mergeCell ref="B29:F29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6:F39"/>
  <sheetViews>
    <sheetView showGridLines="0" showRowColHeaders="0" zoomScaleNormal="100" workbookViewId="0"/>
  </sheetViews>
  <sheetFormatPr baseColWidth="10" defaultRowHeight="15" x14ac:dyDescent="0.25"/>
  <cols>
    <col min="2" max="2" width="31.140625" bestFit="1" customWidth="1"/>
    <col min="3" max="3" width="23.5703125" customWidth="1"/>
  </cols>
  <sheetData>
    <row r="6" spans="2:6" x14ac:dyDescent="0.25">
      <c r="B6" s="4" t="s">
        <v>5</v>
      </c>
      <c r="C6" t="s">
        <v>21</v>
      </c>
    </row>
    <row r="7" spans="2:6" x14ac:dyDescent="0.25">
      <c r="B7" s="2" t="s">
        <v>26</v>
      </c>
      <c r="C7" s="23">
        <v>99785.985369999995</v>
      </c>
    </row>
    <row r="8" spans="2:6" x14ac:dyDescent="0.25">
      <c r="B8" s="2" t="s">
        <v>27</v>
      </c>
      <c r="C8" s="23">
        <v>1167604.3350470001</v>
      </c>
    </row>
    <row r="9" spans="2:6" x14ac:dyDescent="0.25">
      <c r="B9" s="2" t="s">
        <v>28</v>
      </c>
      <c r="C9" s="23">
        <v>4505182.0250120005</v>
      </c>
    </row>
    <row r="10" spans="2:6" x14ac:dyDescent="0.25">
      <c r="B10" s="2" t="s">
        <v>6</v>
      </c>
      <c r="C10" s="23">
        <v>5772572.3454290004</v>
      </c>
    </row>
    <row r="12" spans="2:6" x14ac:dyDescent="0.25">
      <c r="F12" s="5"/>
    </row>
    <row r="38" ht="14.25" customHeight="1" x14ac:dyDescent="0.25"/>
    <row r="39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zoomScale="86" zoomScaleNormal="86" workbookViewId="0">
      <selection sqref="A1:G20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</cols>
  <sheetData>
    <row r="1" spans="1:7" ht="30" x14ac:dyDescent="0.25">
      <c r="A1" s="30" t="s">
        <v>0</v>
      </c>
      <c r="B1" s="30" t="s">
        <v>1</v>
      </c>
      <c r="C1" s="31" t="s">
        <v>7</v>
      </c>
      <c r="D1" s="31" t="s">
        <v>8</v>
      </c>
      <c r="E1" s="31" t="s">
        <v>9</v>
      </c>
      <c r="F1" s="31" t="s">
        <v>10</v>
      </c>
      <c r="G1" s="31" t="s">
        <v>11</v>
      </c>
    </row>
    <row r="2" spans="1:7" x14ac:dyDescent="0.25">
      <c r="A2" s="32" t="s">
        <v>2</v>
      </c>
      <c r="B2" s="34" t="s">
        <v>26</v>
      </c>
      <c r="C2" s="33">
        <f>+C12/1000000</f>
        <v>99785.985369999995</v>
      </c>
      <c r="D2" s="33">
        <f t="shared" ref="D2:G2" si="0">+D12/1000000</f>
        <v>63561.860317779996</v>
      </c>
      <c r="E2" s="33">
        <f t="shared" si="0"/>
        <v>23586.893098450004</v>
      </c>
      <c r="F2" s="33">
        <f t="shared" si="0"/>
        <v>15006.592410740002</v>
      </c>
      <c r="G2" s="33">
        <f t="shared" si="0"/>
        <v>13913.491643740002</v>
      </c>
    </row>
    <row r="3" spans="1:7" x14ac:dyDescent="0.25">
      <c r="A3" s="32" t="s">
        <v>22</v>
      </c>
      <c r="B3" s="34" t="s">
        <v>29</v>
      </c>
      <c r="C3" s="33">
        <f t="shared" ref="C3:G8" si="1">+C13/1000000</f>
        <v>51464.345000000001</v>
      </c>
      <c r="D3" s="33">
        <f t="shared" si="1"/>
        <v>49182.286999999997</v>
      </c>
      <c r="E3" s="33">
        <f t="shared" si="1"/>
        <v>10892.914200499999</v>
      </c>
      <c r="F3" s="33">
        <f t="shared" si="1"/>
        <v>10892.914200499999</v>
      </c>
      <c r="G3" s="33">
        <f t="shared" si="1"/>
        <v>9982.5077414999996</v>
      </c>
    </row>
    <row r="4" spans="1:7" x14ac:dyDescent="0.25">
      <c r="A4" s="32" t="s">
        <v>23</v>
      </c>
      <c r="B4" s="34" t="s">
        <v>30</v>
      </c>
      <c r="C4" s="33">
        <f t="shared" si="1"/>
        <v>19419.071</v>
      </c>
      <c r="D4" s="33">
        <f t="shared" si="1"/>
        <v>14137.059317779998</v>
      </c>
      <c r="E4" s="33">
        <f t="shared" si="1"/>
        <v>12653.147179910002</v>
      </c>
      <c r="F4" s="33">
        <f t="shared" si="1"/>
        <v>4072.8464921999998</v>
      </c>
      <c r="G4" s="33">
        <f t="shared" si="1"/>
        <v>3890.1521841999997</v>
      </c>
    </row>
    <row r="5" spans="1:7" x14ac:dyDescent="0.25">
      <c r="A5" s="32" t="s">
        <v>24</v>
      </c>
      <c r="B5" s="34" t="s">
        <v>31</v>
      </c>
      <c r="C5" s="33">
        <f t="shared" si="1"/>
        <v>14851.09737</v>
      </c>
      <c r="D5" s="33">
        <f t="shared" si="1"/>
        <v>242.51400000000001</v>
      </c>
      <c r="E5" s="33">
        <f t="shared" si="1"/>
        <v>40.831718039999998</v>
      </c>
      <c r="F5" s="33">
        <f t="shared" si="1"/>
        <v>40.831718039999998</v>
      </c>
      <c r="G5" s="33">
        <f t="shared" si="1"/>
        <v>40.831718039999998</v>
      </c>
    </row>
    <row r="6" spans="1:7" ht="30" x14ac:dyDescent="0.25">
      <c r="A6" s="32" t="s">
        <v>25</v>
      </c>
      <c r="B6" s="34" t="s">
        <v>32</v>
      </c>
      <c r="C6" s="33">
        <f t="shared" si="1"/>
        <v>14051.472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>
        <f t="shared" si="1"/>
        <v>0</v>
      </c>
    </row>
    <row r="7" spans="1:7" x14ac:dyDescent="0.25">
      <c r="A7" s="32" t="s">
        <v>3</v>
      </c>
      <c r="B7" s="34" t="s">
        <v>27</v>
      </c>
      <c r="C7" s="33">
        <f t="shared" si="1"/>
        <v>1167604.3350470001</v>
      </c>
      <c r="D7" s="33">
        <f t="shared" si="1"/>
        <v>82787.334910000005</v>
      </c>
      <c r="E7" s="33">
        <f t="shared" si="1"/>
        <v>82787.334910000005</v>
      </c>
      <c r="F7" s="33">
        <f t="shared" si="1"/>
        <v>82787.334910000005</v>
      </c>
      <c r="G7" s="33">
        <f t="shared" si="1"/>
        <v>82787.334910000005</v>
      </c>
    </row>
    <row r="8" spans="1:7" x14ac:dyDescent="0.25">
      <c r="A8" s="32" t="s">
        <v>4</v>
      </c>
      <c r="B8" s="34" t="s">
        <v>28</v>
      </c>
      <c r="C8" s="33">
        <f t="shared" si="1"/>
        <v>4505182.0250120005</v>
      </c>
      <c r="D8" s="33">
        <f t="shared" si="1"/>
        <v>4324973.4886586098</v>
      </c>
      <c r="E8" s="33">
        <f t="shared" si="1"/>
        <v>4298488.44877946</v>
      </c>
      <c r="F8" s="33">
        <f t="shared" si="1"/>
        <v>323594.67298713996</v>
      </c>
      <c r="G8" s="33">
        <f t="shared" si="1"/>
        <v>323325.20431113994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73" t="s">
        <v>115</v>
      </c>
      <c r="C11" s="76" t="s">
        <v>118</v>
      </c>
      <c r="D11" s="76" t="s">
        <v>119</v>
      </c>
      <c r="E11" s="76" t="s">
        <v>120</v>
      </c>
      <c r="F11" s="76" t="s">
        <v>121</v>
      </c>
      <c r="G11" s="77" t="s">
        <v>122</v>
      </c>
    </row>
    <row r="12" spans="1:7" ht="19.5" thickBot="1" x14ac:dyDescent="0.3">
      <c r="B12" s="74" t="s">
        <v>116</v>
      </c>
      <c r="C12" s="78">
        <v>99785985370</v>
      </c>
      <c r="D12" s="78">
        <v>63561860317.779999</v>
      </c>
      <c r="E12" s="78">
        <v>23586893098.450005</v>
      </c>
      <c r="F12" s="78">
        <v>15006592410.740002</v>
      </c>
      <c r="G12" s="79">
        <v>13913491643.740002</v>
      </c>
    </row>
    <row r="13" spans="1:7" ht="15.75" x14ac:dyDescent="0.25">
      <c r="B13" s="75" t="s">
        <v>117</v>
      </c>
      <c r="C13" s="82">
        <v>51464345000</v>
      </c>
      <c r="D13" s="82">
        <v>49182287000</v>
      </c>
      <c r="E13" s="82">
        <v>10892914200.5</v>
      </c>
      <c r="F13" s="82">
        <v>10892914200.5</v>
      </c>
      <c r="G13" s="83">
        <v>9982507741.5</v>
      </c>
    </row>
    <row r="14" spans="1:7" ht="15.75" x14ac:dyDescent="0.25">
      <c r="B14" s="80" t="s">
        <v>123</v>
      </c>
      <c r="C14" s="84">
        <v>19419071000</v>
      </c>
      <c r="D14" s="84">
        <v>14137059317.779999</v>
      </c>
      <c r="E14" s="84">
        <v>12653147179.910002</v>
      </c>
      <c r="F14" s="84">
        <v>4072846492.1999998</v>
      </c>
      <c r="G14" s="85">
        <v>3890152184.1999998</v>
      </c>
    </row>
    <row r="15" spans="1:7" ht="15.75" x14ac:dyDescent="0.25">
      <c r="B15" s="80" t="s">
        <v>124</v>
      </c>
      <c r="C15" s="84">
        <v>14851097370</v>
      </c>
      <c r="D15" s="84">
        <v>242514000</v>
      </c>
      <c r="E15" s="84">
        <v>40831718.039999999</v>
      </c>
      <c r="F15" s="84">
        <v>40831718.039999999</v>
      </c>
      <c r="G15" s="85">
        <v>40831718.039999999</v>
      </c>
    </row>
    <row r="16" spans="1:7" ht="32.25" thickBot="1" x14ac:dyDescent="0.3">
      <c r="B16" s="80" t="s">
        <v>125</v>
      </c>
      <c r="C16" s="84">
        <v>14051472000</v>
      </c>
      <c r="D16" s="84">
        <v>0</v>
      </c>
      <c r="E16" s="84">
        <v>0</v>
      </c>
      <c r="F16" s="84">
        <v>0</v>
      </c>
      <c r="G16" s="85">
        <v>0</v>
      </c>
    </row>
    <row r="17" spans="2:7" ht="19.5" thickBot="1" x14ac:dyDescent="0.3">
      <c r="B17" s="74" t="s">
        <v>126</v>
      </c>
      <c r="C17" s="78">
        <v>1167604335047</v>
      </c>
      <c r="D17" s="78">
        <v>82787334910</v>
      </c>
      <c r="E17" s="78">
        <v>82787334910</v>
      </c>
      <c r="F17" s="78">
        <v>82787334910</v>
      </c>
      <c r="G17" s="79">
        <v>82787334910</v>
      </c>
    </row>
    <row r="18" spans="2:7" ht="19.5" thickBot="1" x14ac:dyDescent="0.3">
      <c r="B18" s="74" t="s">
        <v>127</v>
      </c>
      <c r="C18" s="78">
        <v>4505182025012</v>
      </c>
      <c r="D18" s="78">
        <v>4324973488658.6099</v>
      </c>
      <c r="E18" s="78">
        <v>4298488448779.46</v>
      </c>
      <c r="F18" s="78">
        <v>323594672987.13995</v>
      </c>
      <c r="G18" s="79">
        <v>323325204311.13995</v>
      </c>
    </row>
    <row r="20" spans="2:7" x14ac:dyDescent="0.25">
      <c r="C20" s="86">
        <f>+SUM(C13:C18)</f>
        <v>5772572345429</v>
      </c>
      <c r="D20" s="86">
        <f t="shared" ref="D20:G20" si="2">+SUM(D13:D18)</f>
        <v>4471322683886.3896</v>
      </c>
      <c r="E20" s="86">
        <f t="shared" si="2"/>
        <v>4404862676787.9102</v>
      </c>
      <c r="F20" s="86">
        <f t="shared" si="2"/>
        <v>421388600307.87994</v>
      </c>
      <c r="G20" s="86">
        <f t="shared" si="2"/>
        <v>420026030864.87994</v>
      </c>
    </row>
    <row r="21" spans="2:7" x14ac:dyDescent="0.25">
      <c r="C21" s="86"/>
      <c r="D21" s="86"/>
      <c r="E21" s="86"/>
      <c r="F21" s="86"/>
      <c r="G21" s="8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1:I38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8" sqref="F38"/>
    </sheetView>
  </sheetViews>
  <sheetFormatPr baseColWidth="10" defaultRowHeight="15" x14ac:dyDescent="0.25"/>
  <cols>
    <col min="1" max="1" width="6.85546875" customWidth="1"/>
    <col min="2" max="2" width="15.42578125" customWidth="1"/>
    <col min="3" max="3" width="99.7109375" customWidth="1"/>
    <col min="4" max="4" width="26.28515625" style="44" customWidth="1"/>
    <col min="5" max="5" width="33.28515625" style="44" bestFit="1" customWidth="1"/>
    <col min="6" max="6" width="30.7109375" style="44" bestFit="1" customWidth="1"/>
    <col min="7" max="7" width="28.28515625" style="44" customWidth="1"/>
    <col min="8" max="8" width="23" style="44" bestFit="1" customWidth="1"/>
    <col min="9" max="9" width="18.85546875" style="44" customWidth="1"/>
  </cols>
  <sheetData>
    <row r="1" spans="2:9" ht="15.75" thickBot="1" x14ac:dyDescent="0.3">
      <c r="B1" s="22" t="s">
        <v>33</v>
      </c>
      <c r="C1" s="22" t="s">
        <v>1</v>
      </c>
      <c r="D1" s="93" t="s">
        <v>7</v>
      </c>
      <c r="E1" s="93" t="s">
        <v>8</v>
      </c>
      <c r="F1" s="93" t="s">
        <v>9</v>
      </c>
      <c r="G1" s="93" t="s">
        <v>10</v>
      </c>
      <c r="H1" s="93" t="s">
        <v>14</v>
      </c>
      <c r="I1" s="120" t="s">
        <v>114</v>
      </c>
    </row>
    <row r="2" spans="2:9" ht="33" customHeight="1" thickTop="1" x14ac:dyDescent="0.25">
      <c r="B2" s="21" t="s">
        <v>34</v>
      </c>
      <c r="C2" s="121" t="s">
        <v>105</v>
      </c>
      <c r="D2" s="87">
        <v>199229942693</v>
      </c>
      <c r="E2" s="87">
        <v>199229942693</v>
      </c>
      <c r="F2" s="87">
        <v>199229942693</v>
      </c>
      <c r="G2" s="87">
        <v>667460180</v>
      </c>
      <c r="H2" s="87">
        <v>667460180</v>
      </c>
      <c r="I2" s="94">
        <v>0</v>
      </c>
    </row>
    <row r="3" spans="2:9" ht="33" customHeight="1" x14ac:dyDescent="0.25">
      <c r="B3" s="21" t="s">
        <v>35</v>
      </c>
      <c r="C3" s="121" t="s">
        <v>36</v>
      </c>
      <c r="D3" s="87">
        <v>3111246158</v>
      </c>
      <c r="E3" s="87">
        <v>3111246158</v>
      </c>
      <c r="F3" s="87">
        <v>3111246158</v>
      </c>
      <c r="G3" s="87">
        <v>0</v>
      </c>
      <c r="H3" s="87">
        <v>0</v>
      </c>
      <c r="I3" s="95">
        <v>0</v>
      </c>
    </row>
    <row r="4" spans="2:9" ht="33" customHeight="1" x14ac:dyDescent="0.25">
      <c r="B4" s="21" t="s">
        <v>64</v>
      </c>
      <c r="C4" s="121" t="s">
        <v>48</v>
      </c>
      <c r="D4" s="87">
        <v>267568660974</v>
      </c>
      <c r="E4" s="87">
        <v>267568660974</v>
      </c>
      <c r="F4" s="87">
        <v>267568660974</v>
      </c>
      <c r="G4" s="87">
        <v>515340818</v>
      </c>
      <c r="H4" s="87">
        <v>515340818</v>
      </c>
      <c r="I4" s="95">
        <v>0</v>
      </c>
    </row>
    <row r="5" spans="2:9" ht="33" customHeight="1" x14ac:dyDescent="0.25">
      <c r="B5" s="21" t="s">
        <v>65</v>
      </c>
      <c r="C5" s="121" t="s">
        <v>49</v>
      </c>
      <c r="D5" s="87">
        <v>175859178607</v>
      </c>
      <c r="E5" s="87">
        <v>175859178607</v>
      </c>
      <c r="F5" s="87">
        <v>175859178607</v>
      </c>
      <c r="G5" s="87">
        <v>589163443</v>
      </c>
      <c r="H5" s="87">
        <v>589163443</v>
      </c>
      <c r="I5" s="95">
        <v>0</v>
      </c>
    </row>
    <row r="6" spans="2:9" ht="33" customHeight="1" x14ac:dyDescent="0.25">
      <c r="B6" s="21" t="s">
        <v>66</v>
      </c>
      <c r="C6" s="121" t="s">
        <v>50</v>
      </c>
      <c r="D6" s="87">
        <v>253083219752</v>
      </c>
      <c r="E6" s="87">
        <v>253083219752</v>
      </c>
      <c r="F6" s="87">
        <v>253083219752</v>
      </c>
      <c r="G6" s="87">
        <v>8076357952</v>
      </c>
      <c r="H6" s="87">
        <v>8076357952</v>
      </c>
      <c r="I6" s="95">
        <v>0</v>
      </c>
    </row>
    <row r="7" spans="2:9" ht="33" customHeight="1" x14ac:dyDescent="0.25">
      <c r="B7" s="21" t="s">
        <v>67</v>
      </c>
      <c r="C7" s="121" t="s">
        <v>106</v>
      </c>
      <c r="D7" s="87">
        <v>243923443489</v>
      </c>
      <c r="E7" s="87">
        <v>243923443489</v>
      </c>
      <c r="F7" s="87">
        <v>243923443489</v>
      </c>
      <c r="G7" s="87">
        <v>21653320129</v>
      </c>
      <c r="H7" s="87">
        <v>21653320129</v>
      </c>
      <c r="I7" s="95">
        <v>0</v>
      </c>
    </row>
    <row r="8" spans="2:9" ht="33" customHeight="1" x14ac:dyDescent="0.25">
      <c r="B8" s="21" t="s">
        <v>68</v>
      </c>
      <c r="C8" s="121" t="s">
        <v>51</v>
      </c>
      <c r="D8" s="87">
        <v>173754342655</v>
      </c>
      <c r="E8" s="87">
        <v>173754342655</v>
      </c>
      <c r="F8" s="87">
        <v>173754342655</v>
      </c>
      <c r="G8" s="87">
        <v>26218470693</v>
      </c>
      <c r="H8" s="87">
        <v>26218470693</v>
      </c>
      <c r="I8" s="95">
        <v>0</v>
      </c>
    </row>
    <row r="9" spans="2:9" ht="33" customHeight="1" x14ac:dyDescent="0.25">
      <c r="B9" s="21" t="s">
        <v>69</v>
      </c>
      <c r="C9" s="121" t="s">
        <v>52</v>
      </c>
      <c r="D9" s="87">
        <v>188036887431</v>
      </c>
      <c r="E9" s="87">
        <v>188036887431</v>
      </c>
      <c r="F9" s="87">
        <v>188036887431</v>
      </c>
      <c r="G9" s="87">
        <v>31914916292</v>
      </c>
      <c r="H9" s="87">
        <v>31914916292</v>
      </c>
      <c r="I9" s="95">
        <v>0</v>
      </c>
    </row>
    <row r="10" spans="2:9" ht="33" customHeight="1" x14ac:dyDescent="0.25">
      <c r="B10" s="21" t="s">
        <v>70</v>
      </c>
      <c r="C10" s="121" t="s">
        <v>53</v>
      </c>
      <c r="D10" s="87">
        <v>230526549416</v>
      </c>
      <c r="E10" s="87">
        <v>230526549416</v>
      </c>
      <c r="F10" s="87">
        <v>230526549416</v>
      </c>
      <c r="G10" s="87">
        <v>27184528940</v>
      </c>
      <c r="H10" s="87">
        <v>27184528940</v>
      </c>
      <c r="I10" s="95">
        <v>0</v>
      </c>
    </row>
    <row r="11" spans="2:9" ht="33" customHeight="1" x14ac:dyDescent="0.25">
      <c r="B11" s="21" t="s">
        <v>71</v>
      </c>
      <c r="C11" s="121" t="s">
        <v>133</v>
      </c>
      <c r="D11" s="87">
        <v>12654096592</v>
      </c>
      <c r="E11" s="87">
        <v>11910561447.5</v>
      </c>
      <c r="F11" s="87">
        <v>10573685432.309999</v>
      </c>
      <c r="G11" s="87">
        <v>1437182429.5999999</v>
      </c>
      <c r="H11" s="87">
        <v>1410029995.5999999</v>
      </c>
      <c r="I11" s="95">
        <v>0</v>
      </c>
    </row>
    <row r="12" spans="2:9" ht="33" customHeight="1" x14ac:dyDescent="0.25">
      <c r="B12" s="21" t="s">
        <v>72</v>
      </c>
      <c r="C12" s="121" t="s">
        <v>54</v>
      </c>
      <c r="D12" s="87">
        <v>222571821813</v>
      </c>
      <c r="E12" s="87">
        <v>222571821813</v>
      </c>
      <c r="F12" s="87">
        <v>222571821813</v>
      </c>
      <c r="G12" s="87">
        <v>7839829655</v>
      </c>
      <c r="H12" s="87">
        <v>7839829655</v>
      </c>
      <c r="I12" s="95">
        <v>0</v>
      </c>
    </row>
    <row r="13" spans="2:9" ht="33" customHeight="1" x14ac:dyDescent="0.25">
      <c r="B13" s="21" t="s">
        <v>73</v>
      </c>
      <c r="C13" s="121" t="s">
        <v>107</v>
      </c>
      <c r="D13" s="87">
        <v>256174672458</v>
      </c>
      <c r="E13" s="87">
        <v>256174672458</v>
      </c>
      <c r="F13" s="87">
        <v>256174672458</v>
      </c>
      <c r="G13" s="87">
        <v>783848182</v>
      </c>
      <c r="H13" s="87">
        <v>783848182</v>
      </c>
      <c r="I13" s="95">
        <v>0</v>
      </c>
    </row>
    <row r="14" spans="2:9" ht="33" customHeight="1" x14ac:dyDescent="0.25">
      <c r="B14" s="21" t="s">
        <v>74</v>
      </c>
      <c r="C14" s="121" t="s">
        <v>108</v>
      </c>
      <c r="D14" s="87">
        <v>133566456234</v>
      </c>
      <c r="E14" s="87">
        <v>133566456234</v>
      </c>
      <c r="F14" s="87">
        <v>133566456234</v>
      </c>
      <c r="G14" s="87">
        <v>426302018</v>
      </c>
      <c r="H14" s="87">
        <v>426302018</v>
      </c>
      <c r="I14" s="95"/>
    </row>
    <row r="15" spans="2:9" ht="33" customHeight="1" x14ac:dyDescent="0.25">
      <c r="B15" s="21" t="s">
        <v>75</v>
      </c>
      <c r="C15" s="121" t="s">
        <v>109</v>
      </c>
      <c r="D15" s="87">
        <v>92126982346</v>
      </c>
      <c r="E15" s="87">
        <v>92126982346</v>
      </c>
      <c r="F15" s="87">
        <v>92126982346</v>
      </c>
      <c r="G15" s="87">
        <v>308643829</v>
      </c>
      <c r="H15" s="87">
        <v>308643829</v>
      </c>
      <c r="I15" s="95">
        <v>0</v>
      </c>
    </row>
    <row r="16" spans="2:9" ht="33" customHeight="1" x14ac:dyDescent="0.25">
      <c r="B16" s="21" t="s">
        <v>76</v>
      </c>
      <c r="C16" s="121" t="s">
        <v>55</v>
      </c>
      <c r="D16" s="87">
        <v>177242188803</v>
      </c>
      <c r="E16" s="87">
        <v>177242188803</v>
      </c>
      <c r="F16" s="87">
        <v>177242188803</v>
      </c>
      <c r="G16" s="87">
        <v>12868469971</v>
      </c>
      <c r="H16" s="87">
        <v>12868469971</v>
      </c>
      <c r="I16" s="95">
        <v>0</v>
      </c>
    </row>
    <row r="17" spans="2:9" ht="33" customHeight="1" x14ac:dyDescent="0.25">
      <c r="B17" s="21" t="s">
        <v>63</v>
      </c>
      <c r="C17" s="121" t="s">
        <v>110</v>
      </c>
      <c r="D17" s="87">
        <v>186661572672</v>
      </c>
      <c r="E17" s="87">
        <v>186661572672</v>
      </c>
      <c r="F17" s="87">
        <v>186661572672</v>
      </c>
      <c r="G17" s="87">
        <v>65829708441</v>
      </c>
      <c r="H17" s="87">
        <v>65829708441</v>
      </c>
      <c r="I17" s="95">
        <v>0</v>
      </c>
    </row>
    <row r="18" spans="2:9" ht="33" customHeight="1" x14ac:dyDescent="0.25">
      <c r="B18" s="21" t="s">
        <v>77</v>
      </c>
      <c r="C18" s="121" t="s">
        <v>56</v>
      </c>
      <c r="D18" s="87">
        <v>217966528302</v>
      </c>
      <c r="E18" s="87">
        <v>217966528302</v>
      </c>
      <c r="F18" s="87">
        <v>217966528302</v>
      </c>
      <c r="G18" s="87">
        <v>35582322411</v>
      </c>
      <c r="H18" s="87">
        <v>35582322411</v>
      </c>
      <c r="I18" s="95">
        <v>0</v>
      </c>
    </row>
    <row r="19" spans="2:9" ht="33" customHeight="1" x14ac:dyDescent="0.25">
      <c r="B19" s="21" t="s">
        <v>78</v>
      </c>
      <c r="C19" s="121" t="s">
        <v>57</v>
      </c>
      <c r="D19" s="87">
        <v>264689746048</v>
      </c>
      <c r="E19" s="87">
        <v>264689746048</v>
      </c>
      <c r="F19" s="87">
        <v>264689746048</v>
      </c>
      <c r="G19" s="87">
        <v>18890851579</v>
      </c>
      <c r="H19" s="87">
        <v>18890851579</v>
      </c>
      <c r="I19" s="95">
        <v>0</v>
      </c>
    </row>
    <row r="20" spans="2:9" ht="33" customHeight="1" x14ac:dyDescent="0.25">
      <c r="B20" s="21" t="s">
        <v>79</v>
      </c>
      <c r="C20" s="121" t="s">
        <v>58</v>
      </c>
      <c r="D20" s="87">
        <v>141607661383</v>
      </c>
      <c r="E20" s="87">
        <v>141607661383</v>
      </c>
      <c r="F20" s="87">
        <v>141607661383</v>
      </c>
      <c r="G20" s="87">
        <v>35860807678</v>
      </c>
      <c r="H20" s="87">
        <v>35860807678</v>
      </c>
      <c r="I20" s="95">
        <v>0</v>
      </c>
    </row>
    <row r="21" spans="2:9" ht="33" customHeight="1" x14ac:dyDescent="0.25">
      <c r="B21" s="21" t="s">
        <v>80</v>
      </c>
      <c r="C21" s="121" t="s">
        <v>59</v>
      </c>
      <c r="D21" s="87">
        <v>326484319237</v>
      </c>
      <c r="E21" s="87">
        <v>326484319237</v>
      </c>
      <c r="F21" s="87">
        <v>326484319237</v>
      </c>
      <c r="G21" s="87">
        <v>18896410145</v>
      </c>
      <c r="H21" s="87">
        <v>18896410145</v>
      </c>
      <c r="I21" s="95">
        <v>0</v>
      </c>
    </row>
    <row r="22" spans="2:9" ht="33" customHeight="1" x14ac:dyDescent="0.25">
      <c r="B22" s="21" t="s">
        <v>81</v>
      </c>
      <c r="C22" s="121" t="s">
        <v>60</v>
      </c>
      <c r="D22" s="87">
        <v>103270216578</v>
      </c>
      <c r="E22" s="87">
        <v>103270216578</v>
      </c>
      <c r="F22" s="87">
        <v>103270216578</v>
      </c>
      <c r="G22" s="87">
        <v>2037283578</v>
      </c>
      <c r="H22" s="87">
        <v>2037283578</v>
      </c>
      <c r="I22" s="95">
        <v>0</v>
      </c>
    </row>
    <row r="23" spans="2:9" ht="33" customHeight="1" x14ac:dyDescent="0.25">
      <c r="B23" s="21" t="s">
        <v>82</v>
      </c>
      <c r="C23" s="121" t="s">
        <v>111</v>
      </c>
      <c r="D23" s="87">
        <v>323578411182</v>
      </c>
      <c r="E23" s="87">
        <v>323578411182</v>
      </c>
      <c r="F23" s="87">
        <v>323578411182</v>
      </c>
      <c r="G23" s="87">
        <v>1121067275</v>
      </c>
      <c r="H23" s="87">
        <v>1121067275</v>
      </c>
      <c r="I23" s="95">
        <v>0</v>
      </c>
    </row>
    <row r="24" spans="2:9" ht="33" customHeight="1" x14ac:dyDescent="0.25">
      <c r="B24" s="21" t="s">
        <v>83</v>
      </c>
      <c r="C24" s="121" t="s">
        <v>61</v>
      </c>
      <c r="D24" s="87">
        <v>53127095469</v>
      </c>
      <c r="E24" s="87">
        <v>53127095469</v>
      </c>
      <c r="F24" s="87">
        <v>53127095469</v>
      </c>
      <c r="G24" s="87">
        <v>0</v>
      </c>
      <c r="H24" s="87">
        <v>0</v>
      </c>
      <c r="I24" s="95">
        <v>0</v>
      </c>
    </row>
    <row r="25" spans="2:9" ht="33" customHeight="1" x14ac:dyDescent="0.25">
      <c r="B25" s="21" t="s">
        <v>104</v>
      </c>
      <c r="C25" s="121" t="s">
        <v>134</v>
      </c>
      <c r="D25" s="87">
        <v>105000000000</v>
      </c>
      <c r="E25" s="87">
        <v>2974170000</v>
      </c>
      <c r="F25" s="87">
        <v>16549.91</v>
      </c>
      <c r="G25" s="87">
        <v>16549.91</v>
      </c>
      <c r="H25" s="87">
        <v>16549.91</v>
      </c>
      <c r="I25" s="95">
        <v>0</v>
      </c>
    </row>
    <row r="26" spans="2:9" ht="33" customHeight="1" x14ac:dyDescent="0.25">
      <c r="B26" s="21" t="s">
        <v>84</v>
      </c>
      <c r="C26" s="121" t="s">
        <v>112</v>
      </c>
      <c r="D26" s="87">
        <v>2257022926</v>
      </c>
      <c r="E26" s="87">
        <v>2043005969.5</v>
      </c>
      <c r="F26" s="87">
        <v>1883801584.79</v>
      </c>
      <c r="G26" s="87">
        <v>268522926.29000002</v>
      </c>
      <c r="H26" s="87">
        <v>267715261.28999999</v>
      </c>
      <c r="I26" s="95">
        <v>0</v>
      </c>
    </row>
    <row r="27" spans="2:9" ht="33" customHeight="1" x14ac:dyDescent="0.25">
      <c r="B27" s="21" t="s">
        <v>129</v>
      </c>
      <c r="C27" s="121" t="s">
        <v>130</v>
      </c>
      <c r="D27" s="87">
        <v>3785000000</v>
      </c>
      <c r="E27" s="87">
        <v>0</v>
      </c>
      <c r="F27" s="87">
        <v>0</v>
      </c>
      <c r="G27" s="87">
        <v>0</v>
      </c>
      <c r="H27" s="87">
        <v>0</v>
      </c>
      <c r="I27" s="95"/>
    </row>
    <row r="28" spans="2:9" s="10" customFormat="1" ht="33" customHeight="1" x14ac:dyDescent="0.25">
      <c r="B28" s="81" t="s">
        <v>37</v>
      </c>
      <c r="C28" s="121" t="s">
        <v>38</v>
      </c>
      <c r="D28" s="87">
        <v>76235881312</v>
      </c>
      <c r="E28" s="87">
        <v>49002053305</v>
      </c>
      <c r="F28" s="87">
        <v>29487449537</v>
      </c>
      <c r="G28" s="87">
        <v>324727575</v>
      </c>
      <c r="H28" s="87">
        <v>324727575</v>
      </c>
      <c r="I28" s="94">
        <v>0</v>
      </c>
    </row>
    <row r="29" spans="2:9" s="10" customFormat="1" ht="33" customHeight="1" x14ac:dyDescent="0.25">
      <c r="B29" s="81" t="s">
        <v>85</v>
      </c>
      <c r="C29" s="121" t="s">
        <v>113</v>
      </c>
      <c r="D29" s="87">
        <v>1124097372</v>
      </c>
      <c r="E29" s="87">
        <v>914322175</v>
      </c>
      <c r="F29" s="87">
        <v>825234689.09000003</v>
      </c>
      <c r="G29" s="87">
        <v>111546954.09</v>
      </c>
      <c r="H29" s="87">
        <v>110207206.09</v>
      </c>
      <c r="I29" s="94">
        <v>0</v>
      </c>
    </row>
    <row r="30" spans="2:9" ht="33" customHeight="1" x14ac:dyDescent="0.25">
      <c r="B30" s="21" t="s">
        <v>39</v>
      </c>
      <c r="C30" s="121" t="s">
        <v>135</v>
      </c>
      <c r="D30" s="87">
        <v>1000000000</v>
      </c>
      <c r="E30" s="87">
        <v>367252932</v>
      </c>
      <c r="F30" s="87">
        <v>367250432</v>
      </c>
      <c r="G30" s="87">
        <v>0</v>
      </c>
      <c r="H30" s="87">
        <v>0</v>
      </c>
      <c r="I30" s="95">
        <v>0</v>
      </c>
    </row>
    <row r="31" spans="2:9" ht="33" customHeight="1" x14ac:dyDescent="0.25">
      <c r="B31" s="21" t="s">
        <v>86</v>
      </c>
      <c r="C31" s="121" t="s">
        <v>62</v>
      </c>
      <c r="D31" s="87">
        <v>3056837754</v>
      </c>
      <c r="E31" s="87">
        <v>2903417570</v>
      </c>
      <c r="F31" s="87">
        <v>2698058551.2800002</v>
      </c>
      <c r="G31" s="87">
        <v>388647208.48000002</v>
      </c>
      <c r="H31" s="87">
        <v>377134208.48000002</v>
      </c>
      <c r="I31" s="95">
        <v>0</v>
      </c>
    </row>
    <row r="32" spans="2:9" ht="33" customHeight="1" x14ac:dyDescent="0.25">
      <c r="B32" s="21" t="s">
        <v>131</v>
      </c>
      <c r="C32" s="121" t="s">
        <v>132</v>
      </c>
      <c r="D32" s="87">
        <v>907945356</v>
      </c>
      <c r="E32" s="87">
        <v>160368834</v>
      </c>
      <c r="F32" s="87">
        <v>128223401.75</v>
      </c>
      <c r="G32" s="87">
        <v>28601615.239999998</v>
      </c>
      <c r="H32" s="87">
        <v>28601615.239999998</v>
      </c>
      <c r="I32" s="95">
        <v>0</v>
      </c>
    </row>
    <row r="33" spans="2:9" ht="33" customHeight="1" x14ac:dyDescent="0.25">
      <c r="B33" s="21" t="s">
        <v>40</v>
      </c>
      <c r="C33" s="121" t="s">
        <v>136</v>
      </c>
      <c r="D33" s="87">
        <v>200000000</v>
      </c>
      <c r="E33" s="87">
        <v>144566687</v>
      </c>
      <c r="F33" s="87">
        <v>79900728.379999995</v>
      </c>
      <c r="G33" s="87">
        <v>10280299.380000001</v>
      </c>
      <c r="H33" s="87">
        <v>10280299.380000001</v>
      </c>
      <c r="I33" s="95">
        <v>0</v>
      </c>
    </row>
    <row r="34" spans="2:9" ht="33" customHeight="1" x14ac:dyDescent="0.25">
      <c r="B34" s="21" t="s">
        <v>41</v>
      </c>
      <c r="C34" s="121" t="s">
        <v>137</v>
      </c>
      <c r="D34" s="87">
        <v>58800000000</v>
      </c>
      <c r="E34" s="87">
        <v>16135463622.82</v>
      </c>
      <c r="F34" s="87">
        <v>14208876126.139999</v>
      </c>
      <c r="G34" s="87">
        <v>2218826526.3400002</v>
      </c>
      <c r="H34" s="87">
        <v>2014117167.3399999</v>
      </c>
      <c r="I34" s="95">
        <v>0</v>
      </c>
    </row>
    <row r="35" spans="2:9" ht="24.75" customHeight="1" x14ac:dyDescent="0.25">
      <c r="B35" s="21" t="s">
        <v>42</v>
      </c>
      <c r="C35" s="121" t="s">
        <v>138</v>
      </c>
      <c r="D35" s="87">
        <v>5000000000</v>
      </c>
      <c r="E35" s="87">
        <v>3346393199.79</v>
      </c>
      <c r="F35" s="87">
        <v>3164081037.9699998</v>
      </c>
      <c r="G35" s="87">
        <v>1421013435.97</v>
      </c>
      <c r="H35" s="87">
        <v>1405127047.97</v>
      </c>
      <c r="I35" s="95">
        <v>0</v>
      </c>
    </row>
    <row r="36" spans="2:9" ht="33" customHeight="1" x14ac:dyDescent="0.25">
      <c r="B36" s="21" t="s">
        <v>44</v>
      </c>
      <c r="C36" s="121" t="s">
        <v>139</v>
      </c>
      <c r="D36" s="87">
        <v>1000000000</v>
      </c>
      <c r="E36" s="87">
        <v>910769216</v>
      </c>
      <c r="F36" s="87">
        <v>910727008.84000003</v>
      </c>
      <c r="G36" s="87">
        <v>120204257.84</v>
      </c>
      <c r="H36" s="87">
        <v>112144175.84</v>
      </c>
      <c r="I36" s="95">
        <v>0</v>
      </c>
    </row>
    <row r="37" spans="2:9" ht="5.25" customHeight="1" x14ac:dyDescent="0.25">
      <c r="C37" s="1"/>
    </row>
    <row r="38" spans="2:9" x14ac:dyDescent="0.25">
      <c r="D38" s="44">
        <f>SUM(D2:D36)</f>
        <v>4505182025012</v>
      </c>
      <c r="E38" s="44">
        <f>+SUM(E2:E36)</f>
        <v>4324973488658.6099</v>
      </c>
      <c r="F38" s="44">
        <f>+SUM(F2:F36)</f>
        <v>4298488448779.46</v>
      </c>
      <c r="G38" s="44">
        <f>+SUM(G2:G36)</f>
        <v>323594672987.13995</v>
      </c>
      <c r="H38" s="44">
        <f>+SUM(H2:H36)</f>
        <v>323325204311.13995</v>
      </c>
      <c r="I38" s="44">
        <f>+SUM(I2:I36)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6:N68"/>
  <sheetViews>
    <sheetView showGridLines="0" showRowColHeaders="0" zoomScaleNormal="100" workbookViewId="0"/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1.5703125" bestFit="1" customWidth="1"/>
  </cols>
  <sheetData>
    <row r="6" spans="1:14" x14ac:dyDescent="0.25">
      <c r="B6" s="4" t="s">
        <v>5</v>
      </c>
      <c r="C6" t="s">
        <v>20</v>
      </c>
      <c r="D6" t="s">
        <v>43</v>
      </c>
      <c r="E6" t="s">
        <v>18</v>
      </c>
      <c r="F6" t="s">
        <v>19</v>
      </c>
    </row>
    <row r="7" spans="1:14" x14ac:dyDescent="0.25">
      <c r="B7" s="2" t="s">
        <v>26</v>
      </c>
      <c r="C7" s="23">
        <v>99785.985369999995</v>
      </c>
      <c r="D7" s="23">
        <v>23586.893098450004</v>
      </c>
      <c r="E7" s="23">
        <v>15006.592410740002</v>
      </c>
      <c r="F7" s="23">
        <v>13913.491643740002</v>
      </c>
    </row>
    <row r="8" spans="1:14" x14ac:dyDescent="0.25">
      <c r="B8" s="2" t="s">
        <v>27</v>
      </c>
      <c r="C8" s="23">
        <v>1167604.3350470001</v>
      </c>
      <c r="D8" s="23">
        <v>82787.334910000005</v>
      </c>
      <c r="E8" s="23">
        <v>82787.334910000005</v>
      </c>
      <c r="F8" s="23">
        <v>82787.334910000005</v>
      </c>
    </row>
    <row r="9" spans="1:14" x14ac:dyDescent="0.25">
      <c r="B9" s="2" t="s">
        <v>28</v>
      </c>
      <c r="C9" s="23">
        <v>4505182.0250120005</v>
      </c>
      <c r="D9" s="23">
        <v>4298488.44877946</v>
      </c>
      <c r="E9" s="23">
        <v>323594.67298713996</v>
      </c>
      <c r="F9" s="23">
        <v>323325.20431113994</v>
      </c>
    </row>
    <row r="10" spans="1:14" x14ac:dyDescent="0.25">
      <c r="B10" s="2" t="s">
        <v>6</v>
      </c>
      <c r="C10" s="23">
        <v>5772572.3454290004</v>
      </c>
      <c r="D10" s="23">
        <v>4404862.6767879101</v>
      </c>
      <c r="E10" s="23">
        <v>421388.60030787997</v>
      </c>
      <c r="F10" s="23">
        <v>420026.03086487995</v>
      </c>
      <c r="H10" s="5"/>
      <c r="J10" s="5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1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18"/>
      <c r="K39" s="18"/>
      <c r="L39" s="18"/>
      <c r="M39" s="18"/>
      <c r="N39" s="18"/>
    </row>
    <row r="40" spans="1:14" hidden="1" outlineLevel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20"/>
      <c r="K40" s="20"/>
      <c r="L40" s="18"/>
      <c r="M40" s="18"/>
      <c r="N40" s="18"/>
    </row>
    <row r="41" spans="1:14" s="11" customFormat="1" hidden="1" outlineLevel="1" x14ac:dyDescent="0.25">
      <c r="A41" s="36"/>
      <c r="B41" s="113" t="s">
        <v>5</v>
      </c>
      <c r="C41" s="113" t="s">
        <v>20</v>
      </c>
      <c r="D41" s="113" t="s">
        <v>43</v>
      </c>
      <c r="E41" s="113" t="s">
        <v>18</v>
      </c>
      <c r="F41" s="113" t="s">
        <v>19</v>
      </c>
      <c r="G41" s="36"/>
      <c r="H41" s="36"/>
      <c r="I41" s="36"/>
      <c r="L41" s="27"/>
      <c r="M41" s="27"/>
      <c r="N41" s="27"/>
    </row>
    <row r="42" spans="1:14" s="11" customFormat="1" hidden="1" outlineLevel="1" x14ac:dyDescent="0.25">
      <c r="A42" s="36"/>
      <c r="B42" s="102" t="s">
        <v>26</v>
      </c>
      <c r="C42" s="103">
        <f>+GETPIVOTDATA("APROPIACION",$B$6,"DESCRIPCION","A-FUNCIONAMIENTO")</f>
        <v>99785.985369999995</v>
      </c>
      <c r="D42" s="104">
        <f>+GETPIVOTDATA("COMPROMISOS",$B$6,"DESCRIPCION","A-FUNCIONAMIENTO")/C42</f>
        <v>0.23637480765451507</v>
      </c>
      <c r="E42" s="104">
        <f>+GETPIVOTDATA(" OBLIGACIONES",$B$6,"DESCRIPCION","A-FUNCIONAMIENTO")/C42</f>
        <v>0.15038777594966393</v>
      </c>
      <c r="F42" s="104">
        <f>+GETPIVOTDATA(" PAGOS",$B$6,"DESCRIPCION","A-FUNCIONAMIENTO")/GETPIVOTDATA("APROPIACION",$B$6,"DESCRIPCION","A-FUNCIONAMIENTO")</f>
        <v>0.13943332415017673</v>
      </c>
      <c r="G42" s="36"/>
      <c r="H42" s="36"/>
      <c r="I42" s="36"/>
      <c r="L42" s="27"/>
      <c r="M42" s="27"/>
      <c r="N42" s="27"/>
    </row>
    <row r="43" spans="1:14" s="11" customFormat="1" hidden="1" outlineLevel="1" x14ac:dyDescent="0.25">
      <c r="A43" s="36"/>
      <c r="B43" s="102" t="s">
        <v>27</v>
      </c>
      <c r="C43" s="103">
        <f>+GETPIVOTDATA("APROPIACION",$B$6,"DESCRIPCION","B-SERVICIO DE LA DEUDA PÚBLICA")</f>
        <v>1167604.3350470001</v>
      </c>
      <c r="D43" s="104">
        <f>+GETPIVOTDATA("COMPROMISOS",$B$6,"DESCRIPCION","B-SERVICIO DE LA DEUDA PÚBLICA")/C43</f>
        <v>7.0903586450514103E-2</v>
      </c>
      <c r="E43" s="104">
        <f>+GETPIVOTDATA(" OBLIGACIONES",$B$6,"DESCRIPCION","B-SERVICIO DE LA DEUDA PÚBLICA")/GETPIVOTDATA("APROPIACION",$B$6,"DESCRIPCION","B-SERVICIO DE LA DEUDA PÚBLICA")</f>
        <v>7.0903586450514103E-2</v>
      </c>
      <c r="F43" s="104">
        <f>+GETPIVOTDATA(" PAGOS",$B$6,"DESCRIPCION","B-SERVICIO DE LA DEUDA PÚBLICA")/GETPIVOTDATA("APROPIACION",$B$6,"DESCRIPCION","B-SERVICIO DE LA DEUDA PÚBLICA")</f>
        <v>7.0903586450514103E-2</v>
      </c>
      <c r="G43" s="36"/>
      <c r="H43" s="36"/>
      <c r="I43" s="36"/>
      <c r="L43" s="27"/>
      <c r="M43" s="27"/>
      <c r="N43" s="27"/>
    </row>
    <row r="44" spans="1:14" s="11" customFormat="1" hidden="1" outlineLevel="1" x14ac:dyDescent="0.25">
      <c r="A44" s="36"/>
      <c r="B44" s="102" t="s">
        <v>28</v>
      </c>
      <c r="C44" s="107">
        <f>+GETPIVOTDATA("APROPIACION",$B$6,"DESCRIPCION","C- INVERSION")</f>
        <v>4505182.0250120005</v>
      </c>
      <c r="D44" s="104">
        <f>+GETPIVOTDATA("COMPROMISOS",$B$6,"DESCRIPCION","C- INVERSION")/C44</f>
        <v>0.95412092672726367</v>
      </c>
      <c r="E44" s="104">
        <f>+GETPIVOTDATA(" OBLIGACIONES",$B$6,"DESCRIPCION","C- INVERSION")/GETPIVOTDATA("APROPIACION",$B$6,"DESCRIPCION","C- INVERSION")</f>
        <v>7.1827213904032655E-2</v>
      </c>
      <c r="F44" s="104">
        <f>+GETPIVOTDATA(" PAGOS",$B$6,"DESCRIPCION","C- INVERSION")/GETPIVOTDATA("APROPIACION",$B$6,"DESCRIPCION","C- INVERSION")</f>
        <v>7.1767400854414687E-2</v>
      </c>
      <c r="G44" s="36"/>
      <c r="H44" s="36"/>
      <c r="I44" s="36"/>
      <c r="L44" s="27"/>
      <c r="M44" s="27"/>
      <c r="N44" s="27"/>
    </row>
    <row r="45" spans="1:14" s="11" customFormat="1" hidden="1" outlineLevel="1" x14ac:dyDescent="0.25">
      <c r="A45" s="36"/>
      <c r="B45" s="114" t="s">
        <v>6</v>
      </c>
      <c r="C45" s="115">
        <f>+GETPIVOTDATA("APROPIACION",$B$6)</f>
        <v>5772572.3454290004</v>
      </c>
      <c r="D45" s="118">
        <f>+GETPIVOTDATA("COMPROMISOS",$B$6)/GETPIVOTDATA("APROPIACION",$B$6)</f>
        <v>0.76306755692302264</v>
      </c>
      <c r="E45" s="118">
        <f>+GETPIVOTDATA(" OBLIGACIONES",$B$6)/GETPIVOTDATA("APROPIACION",$B$6)</f>
        <v>7.2998409563728661E-2</v>
      </c>
      <c r="F45" s="118">
        <f>+GETPIVOTDATA(" PAGOS",$B$6)/GETPIVOTDATA("APROPIACION",$B$6)</f>
        <v>7.2762367577337811E-2</v>
      </c>
      <c r="G45" s="36"/>
      <c r="H45" s="36"/>
      <c r="I45" s="36"/>
      <c r="L45" s="27"/>
      <c r="M45" s="27"/>
      <c r="N45" s="27"/>
    </row>
    <row r="46" spans="1:14" s="11" customFormat="1" hidden="1" outlineLevel="1" x14ac:dyDescent="0.25">
      <c r="A46" s="36"/>
      <c r="B46" s="36"/>
      <c r="C46" s="36"/>
      <c r="D46" s="36"/>
      <c r="E46" s="36"/>
      <c r="F46" s="36"/>
      <c r="G46" s="36"/>
      <c r="H46" s="36"/>
      <c r="I46" s="36"/>
      <c r="L46" s="28"/>
      <c r="M46" s="28"/>
      <c r="N46" s="28"/>
    </row>
    <row r="47" spans="1:14" hidden="1" outlineLevel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20"/>
      <c r="K47" s="20"/>
      <c r="L47" s="29"/>
      <c r="M47" s="29"/>
      <c r="N47" s="29"/>
    </row>
    <row r="48" spans="1:14" hidden="1" outlineLevel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20"/>
      <c r="K48" s="20"/>
      <c r="L48" s="29"/>
      <c r="M48" s="29"/>
      <c r="N48" s="29"/>
    </row>
    <row r="49" spans="1:14" hidden="1" outlineLevel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0"/>
      <c r="K49" s="20"/>
      <c r="L49" s="29"/>
      <c r="M49" s="29"/>
      <c r="N49" s="29"/>
    </row>
    <row r="50" spans="1:14" hidden="1" outlineLevel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20"/>
      <c r="K50" s="20"/>
      <c r="L50" s="29"/>
      <c r="M50" s="29"/>
      <c r="N50" s="29"/>
    </row>
    <row r="51" spans="1:14" hidden="1" outlineLevel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20"/>
      <c r="K51" s="20"/>
      <c r="L51" s="29"/>
      <c r="M51" s="29"/>
      <c r="N51" s="29"/>
    </row>
    <row r="52" spans="1:14" hidden="1" outlineLevel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20"/>
      <c r="K52" s="20"/>
      <c r="L52" s="29"/>
      <c r="M52" s="29"/>
      <c r="N52" s="29"/>
    </row>
    <row r="53" spans="1:14" hidden="1" outlineLevel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20"/>
      <c r="K53" s="20"/>
      <c r="L53" s="29"/>
      <c r="M53" s="29"/>
      <c r="N53" s="29"/>
    </row>
    <row r="54" spans="1:14" hidden="1" outlineLevel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hidden="1" outlineLevel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hidden="1" outlineLevel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collapsed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5"/>
      <c r="K57" s="29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5"/>
      <c r="K58" s="29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5"/>
      <c r="K59" s="29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6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A6:K89"/>
  <sheetViews>
    <sheetView showGridLines="0" showRowColHeaders="0" zoomScaleNormal="100" workbookViewId="0"/>
  </sheetViews>
  <sheetFormatPr baseColWidth="10" defaultRowHeight="15" outlineLevelRow="1" x14ac:dyDescent="0.25"/>
  <cols>
    <col min="1" max="1" width="7.42578125" customWidth="1"/>
    <col min="2" max="2" width="47.7109375" bestFit="1" customWidth="1"/>
    <col min="3" max="3" width="14" bestFit="1" customWidth="1"/>
    <col min="4" max="4" width="15.42578125" bestFit="1" customWidth="1"/>
    <col min="5" max="5" width="14.7109375" bestFit="1" customWidth="1"/>
    <col min="6" max="6" width="14.42578125" bestFit="1" customWidth="1"/>
  </cols>
  <sheetData>
    <row r="6" spans="2:6" ht="30" x14ac:dyDescent="0.25">
      <c r="B6" s="4" t="s">
        <v>5</v>
      </c>
      <c r="C6" s="16" t="s">
        <v>21</v>
      </c>
      <c r="D6" s="16" t="s">
        <v>12</v>
      </c>
      <c r="E6" s="16" t="s">
        <v>13</v>
      </c>
      <c r="F6" s="16" t="s">
        <v>17</v>
      </c>
    </row>
    <row r="7" spans="2:6" x14ac:dyDescent="0.25">
      <c r="B7" s="2" t="s">
        <v>29</v>
      </c>
      <c r="C7" s="23">
        <v>51464.345000000001</v>
      </c>
      <c r="D7" s="23">
        <v>10892.914200499999</v>
      </c>
      <c r="E7" s="23">
        <v>10892.914200499999</v>
      </c>
      <c r="F7" s="23">
        <v>9982.5077414999996</v>
      </c>
    </row>
    <row r="8" spans="2:6" x14ac:dyDescent="0.25">
      <c r="B8" s="2" t="s">
        <v>30</v>
      </c>
      <c r="C8" s="23">
        <v>19419.071</v>
      </c>
      <c r="D8" s="23">
        <v>12653.147179910002</v>
      </c>
      <c r="E8" s="23">
        <v>4072.8464921999998</v>
      </c>
      <c r="F8" s="23">
        <v>3890.1521841999997</v>
      </c>
    </row>
    <row r="9" spans="2:6" x14ac:dyDescent="0.25">
      <c r="B9" s="2" t="s">
        <v>31</v>
      </c>
      <c r="C9" s="23">
        <v>14851.09737</v>
      </c>
      <c r="D9" s="23">
        <v>40.831718039999998</v>
      </c>
      <c r="E9" s="23">
        <v>40.831718039999998</v>
      </c>
      <c r="F9" s="23">
        <v>40.831718039999998</v>
      </c>
    </row>
    <row r="10" spans="2:6" ht="30" x14ac:dyDescent="0.25">
      <c r="B10" s="12" t="s">
        <v>32</v>
      </c>
      <c r="C10" s="23">
        <v>14051.472</v>
      </c>
      <c r="D10" s="23">
        <v>0</v>
      </c>
      <c r="E10" s="23">
        <v>0</v>
      </c>
      <c r="F10" s="23">
        <v>0</v>
      </c>
    </row>
    <row r="11" spans="2:6" x14ac:dyDescent="0.25">
      <c r="B11" s="2" t="s">
        <v>6</v>
      </c>
      <c r="C11" s="23">
        <v>99785.985369999995</v>
      </c>
      <c r="D11" s="23">
        <v>23586.89309845</v>
      </c>
      <c r="E11" s="23">
        <v>15006.592410740001</v>
      </c>
      <c r="F11" s="23">
        <v>13913.491643740001</v>
      </c>
    </row>
    <row r="16" spans="2:6" x14ac:dyDescent="0.25">
      <c r="B16" s="15"/>
      <c r="C16" s="15"/>
      <c r="D16" s="15"/>
      <c r="E16" s="15"/>
      <c r="F16" s="15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5"/>
      <c r="C18" s="15"/>
      <c r="D18" s="15"/>
      <c r="E18" s="15"/>
      <c r="F18" s="15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x14ac:dyDescent="0.25">
      <c r="B22" s="15"/>
      <c r="C22" s="15"/>
      <c r="D22" s="15"/>
      <c r="E22" s="15"/>
      <c r="F22" s="15"/>
    </row>
    <row r="23" spans="2:6" x14ac:dyDescent="0.25">
      <c r="B23" s="15"/>
      <c r="C23" s="15"/>
      <c r="D23" s="15"/>
      <c r="E23" s="15"/>
      <c r="F23" s="15"/>
    </row>
    <row r="24" spans="2:6" x14ac:dyDescent="0.25">
      <c r="B24" s="15"/>
      <c r="C24" s="15"/>
      <c r="D24" s="15"/>
      <c r="E24" s="15"/>
      <c r="F24" s="15"/>
    </row>
    <row r="25" spans="2:6" x14ac:dyDescent="0.25">
      <c r="B25" s="15"/>
      <c r="C25" s="15"/>
      <c r="D25" s="15"/>
      <c r="E25" s="15"/>
      <c r="F25" s="15"/>
    </row>
    <row r="26" spans="2:6" x14ac:dyDescent="0.25">
      <c r="B26" s="15"/>
      <c r="C26" s="15"/>
      <c r="D26" s="15"/>
      <c r="E26" s="15"/>
      <c r="F26" s="15"/>
    </row>
    <row r="27" spans="2:6" x14ac:dyDescent="0.25">
      <c r="B27" s="15"/>
      <c r="C27" s="15"/>
      <c r="D27" s="15"/>
      <c r="E27" s="15"/>
      <c r="F27" s="15"/>
    </row>
    <row r="28" spans="2:6" x14ac:dyDescent="0.25">
      <c r="B28" s="15"/>
      <c r="C28" s="15"/>
      <c r="D28" s="15"/>
      <c r="E28" s="15"/>
      <c r="F28" s="15"/>
    </row>
    <row r="29" spans="2:6" x14ac:dyDescent="0.25">
      <c r="B29" s="15"/>
      <c r="C29" s="15"/>
      <c r="D29" s="15"/>
      <c r="E29" s="15"/>
      <c r="F29" s="15"/>
    </row>
    <row r="30" spans="2:6" x14ac:dyDescent="0.25">
      <c r="B30" s="15"/>
      <c r="C30" s="15"/>
      <c r="D30" s="15"/>
      <c r="E30" s="15"/>
      <c r="F30" s="15"/>
    </row>
    <row r="31" spans="2:6" x14ac:dyDescent="0.25">
      <c r="B31" s="15"/>
      <c r="C31" s="15"/>
      <c r="D31" s="15"/>
      <c r="E31" s="15"/>
      <c r="F31" s="15"/>
    </row>
    <row r="32" spans="2:6" x14ac:dyDescent="0.25">
      <c r="B32" s="15"/>
      <c r="C32" s="15"/>
      <c r="D32" s="15"/>
      <c r="E32" s="15"/>
      <c r="F32" s="15"/>
    </row>
    <row r="33" spans="1:11" x14ac:dyDescent="0.25">
      <c r="B33" s="15"/>
      <c r="C33" s="15"/>
      <c r="D33" s="15"/>
      <c r="E33" s="15"/>
      <c r="F33" s="15"/>
    </row>
    <row r="34" spans="1:11" x14ac:dyDescent="0.25">
      <c r="B34" s="15"/>
      <c r="C34" s="15"/>
      <c r="D34" s="15"/>
      <c r="E34" s="15"/>
      <c r="F34" s="15"/>
    </row>
    <row r="35" spans="1:11" x14ac:dyDescent="0.25">
      <c r="B35" s="15"/>
      <c r="C35" s="15"/>
      <c r="D35" s="15"/>
      <c r="E35" s="15"/>
      <c r="F35" s="15"/>
    </row>
    <row r="36" spans="1:11" x14ac:dyDescent="0.25">
      <c r="B36" s="15"/>
      <c r="C36" s="15"/>
      <c r="D36" s="15"/>
      <c r="E36" s="15"/>
      <c r="F36" s="15"/>
    </row>
    <row r="37" spans="1:11" x14ac:dyDescent="0.25">
      <c r="B37" s="15"/>
      <c r="C37" s="15"/>
      <c r="D37" s="15"/>
      <c r="E37" s="15"/>
      <c r="F37" s="15"/>
    </row>
    <row r="38" spans="1:11" x14ac:dyDescent="0.25">
      <c r="B38" s="15"/>
      <c r="C38" s="15"/>
      <c r="D38" s="15"/>
      <c r="E38" s="15"/>
      <c r="F38" s="15"/>
    </row>
    <row r="39" spans="1:11" x14ac:dyDescent="0.25">
      <c r="B39" s="15"/>
      <c r="C39" s="15"/>
      <c r="D39" s="15"/>
      <c r="E39" s="15"/>
      <c r="F39" s="15"/>
    </row>
    <row r="40" spans="1:11" x14ac:dyDescent="0.25">
      <c r="B40" s="15"/>
      <c r="C40" s="15"/>
      <c r="D40" s="15"/>
      <c r="E40" s="15"/>
      <c r="F40" s="15"/>
    </row>
    <row r="41" spans="1:11" x14ac:dyDescent="0.25">
      <c r="B41" s="15"/>
      <c r="C41" s="15"/>
      <c r="D41" s="15"/>
      <c r="E41" s="15"/>
      <c r="F41" s="15"/>
    </row>
    <row r="42" spans="1:11" x14ac:dyDescent="0.25">
      <c r="A42" s="14"/>
      <c r="B42" s="20"/>
      <c r="C42" s="20"/>
      <c r="D42" s="20"/>
      <c r="E42" s="20"/>
      <c r="F42" s="19"/>
      <c r="G42" s="19"/>
      <c r="H42" s="10"/>
    </row>
    <row r="43" spans="1:11" x14ac:dyDescent="0.25">
      <c r="A43" s="14"/>
      <c r="B43" s="20" t="s">
        <v>5</v>
      </c>
      <c r="C43" s="20" t="s">
        <v>21</v>
      </c>
      <c r="D43" s="20" t="s">
        <v>12</v>
      </c>
      <c r="E43" s="20" t="s">
        <v>13</v>
      </c>
      <c r="F43" s="20" t="s">
        <v>17</v>
      </c>
      <c r="G43" s="20"/>
      <c r="H43" s="10"/>
    </row>
    <row r="44" spans="1:11" hidden="1" outlineLevel="1" x14ac:dyDescent="0.25">
      <c r="A44" s="35"/>
      <c r="B44" s="108" t="s">
        <v>29</v>
      </c>
      <c r="C44" s="108">
        <f>+GETPIVOTDATA(" APROPIACION
 VIGENTE",$B$6,"DESCRIPCION","A-01 -GASTOS DE PERSONAL")</f>
        <v>51464.345000000001</v>
      </c>
      <c r="D44" s="109">
        <f>+GETPIVOTDATA(" COMPROMISOS
 ACUMULADOS",$B$6,"DESCRIPCION","A-01 -GASTOS DE PERSONAL")/GETPIVOTDATA(" APROPIACION
 VIGENTE",$B$6,"DESCRIPCION","A-01 -GASTOS DE PERSONAL")</f>
        <v>0.21165943529447426</v>
      </c>
      <c r="E44" s="109">
        <f>+GETPIVOTDATA(" OBLIGACIONES
 ACUMULADAS",$B$6,"DESCRIPCION","A-01 -GASTOS DE PERSONAL")/GETPIVOTDATA(" APROPIACION
 VIGENTE",$B$6,"DESCRIPCION","A-01 -GASTOS DE PERSONAL")</f>
        <v>0.21165943529447426</v>
      </c>
      <c r="F44" s="109">
        <f>+GETPIVOTDATA(" PAGOS
 ACUMULADOS",$B$6,"DESCRIPCION","A-01 -GASTOS DE PERSONAL")/GETPIVOTDATA(" APROPIACION
 VIGENTE",$B$6,"DESCRIPCION","A-01 -GASTOS DE PERSONAL")</f>
        <v>0.19396939262512716</v>
      </c>
      <c r="G44" s="15"/>
      <c r="H44" s="15"/>
      <c r="I44" s="15"/>
      <c r="J44" s="15"/>
      <c r="K44" s="15"/>
    </row>
    <row r="45" spans="1:11" hidden="1" outlineLevel="1" x14ac:dyDescent="0.25">
      <c r="A45" s="35"/>
      <c r="B45" s="108" t="s">
        <v>30</v>
      </c>
      <c r="C45" s="108">
        <f>+GETPIVOTDATA(" APROPIACION
 VIGENTE",$B$6,"DESCRIPCION","A-02 -ADQUISICIÓN DE BIENES  Y SERVICIOS")</f>
        <v>19419.071</v>
      </c>
      <c r="D45" s="109">
        <f>+GETPIVOTDATA(" COMPROMISOS
 ACUMULADOS",$B$6,"DESCRIPCION","A-02 -ADQUISICIÓN DE BIENES  Y SERVICIOS")/GETPIVOTDATA(" APROPIACION
 VIGENTE",$B$6,"DESCRIPCION","A-02 -ADQUISICIÓN DE BIENES  Y SERVICIOS")</f>
        <v>0.65158354794160867</v>
      </c>
      <c r="E45" s="109">
        <f>+GETPIVOTDATA(" OBLIGACIONES
 ACUMULADAS",$B$6,"DESCRIPCION","A-02 -ADQUISICIÓN DE BIENES  Y SERVICIOS")/GETPIVOTDATA(" APROPIACION
 VIGENTE",$B$6,"DESCRIPCION","A-02 -ADQUISICIÓN DE BIENES  Y SERVICIOS")</f>
        <v>0.20973436330708095</v>
      </c>
      <c r="F45" s="109">
        <f>+GETPIVOTDATA(" PAGOS
 ACUMULADOS",$B$6,"DESCRIPCION","A-02 -ADQUISICIÓN DE BIENES  Y SERVICIOS")/GETPIVOTDATA(" APROPIACION
 VIGENTE",$B$6,"DESCRIPCION","A-02 -ADQUISICIÓN DE BIENES  Y SERVICIOS")</f>
        <v>0.20032637937211309</v>
      </c>
      <c r="G45" s="15"/>
      <c r="H45" s="15"/>
      <c r="I45" s="15"/>
      <c r="J45" s="15"/>
      <c r="K45" s="15"/>
    </row>
    <row r="46" spans="1:11" hidden="1" outlineLevel="1" x14ac:dyDescent="0.25">
      <c r="A46" s="35"/>
      <c r="B46" s="108" t="s">
        <v>31</v>
      </c>
      <c r="C46" s="108">
        <f>+GETPIVOTDATA(" APROPIACION
 VIGENTE",$B$6,"DESCRIPCION","A-03-TRANSFERENCIAS CORRIENTES")</f>
        <v>14851.09737</v>
      </c>
      <c r="D46" s="109">
        <f>+GETPIVOTDATA(" COMPROMISOS
 ACUMULADOS",$B$6,"DESCRIPCION","A-03-TRANSFERENCIAS CORRIENTES")/GETPIVOTDATA(" APROPIACION
 VIGENTE",$B$6,"DESCRIPCION","A-03-TRANSFERENCIAS CORRIENTES")</f>
        <v>2.7494074695437807E-3</v>
      </c>
      <c r="E46" s="109">
        <f>+GETPIVOTDATA(" OBLIGACIONES
 ACUMULADAS",$B$6,"DESCRIPCION","A-03-TRANSFERENCIAS CORRIENTES")/GETPIVOTDATA(" APROPIACION
 VIGENTE",$B$6,"DESCRIPCION","A-03-TRANSFERENCIAS CORRIENTES")</f>
        <v>2.7494074695437807E-3</v>
      </c>
      <c r="F46" s="109">
        <f>+GETPIVOTDATA(" PAGOS
 ACUMULADOS",$B$6,"DESCRIPCION","A-03-TRANSFERENCIAS CORRIENTES")/GETPIVOTDATA(" APROPIACION
 VIGENTE",$B$6,"DESCRIPCION","A-03-TRANSFERENCIAS CORRIENTES")</f>
        <v>2.7494074695437807E-3</v>
      </c>
      <c r="G46" s="15"/>
      <c r="H46" s="15"/>
      <c r="I46" s="15"/>
      <c r="J46" s="15"/>
      <c r="K46" s="15"/>
    </row>
    <row r="47" spans="1:11" hidden="1" outlineLevel="1" x14ac:dyDescent="0.25">
      <c r="A47" s="35"/>
      <c r="B47" s="108" t="s">
        <v>32</v>
      </c>
      <c r="C47" s="108">
        <f>+GETPIVOTDATA(" APROPIACION
 VIGENTE",$B$6,"DESCRIPCION","A-08-GASTOS POR TRIBUTOS, MULTAS, SANCIONES E INTERESES DE MORA")</f>
        <v>14051.472</v>
      </c>
      <c r="D47" s="109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</v>
      </c>
      <c r="E47" s="109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</v>
      </c>
      <c r="F47" s="109">
        <f>+GETPIVOTDATA(" PAGOS
 ACUMULADOS",$B$6,"DESCRIPCION","A-08-GASTOS POR TRIBUTOS, MULTAS, SANCIONES E INTERESES DE MORA")/GETPIVOTDATA(" APROPIACION
 VIGENTE",$B$6,"DESCRIPCION","A-08-GASTOS POR TRIBUTOS, MULTAS, SANCIONES E INTERESES DE MORA")</f>
        <v>0</v>
      </c>
      <c r="G47" s="15"/>
      <c r="H47" s="15"/>
      <c r="I47" s="15"/>
      <c r="J47" s="15"/>
      <c r="K47" s="15"/>
    </row>
    <row r="48" spans="1:11" hidden="1" outlineLevel="1" x14ac:dyDescent="0.25">
      <c r="A48" s="35"/>
      <c r="B48" s="112" t="s">
        <v>6</v>
      </c>
      <c r="C48" s="112">
        <f>+GETPIVOTDATA(" APROPIACION
 VIGENTE",$B$6)</f>
        <v>99785.985369999995</v>
      </c>
      <c r="D48" s="119">
        <f>+GETPIVOTDATA(" COMPROMISOS
 ACUMULADOS",$B$6)/GETPIVOTDATA(" APROPIACION
 VIGENTE",$B$6)</f>
        <v>0.23637480765451505</v>
      </c>
      <c r="E48" s="119">
        <f>+GETPIVOTDATA(" OBLIGACIONES
 ACUMULADAS",$B$6)/GETPIVOTDATA(" APROPIACION
 VIGENTE",$B$6)</f>
        <v>0.1503877759496639</v>
      </c>
      <c r="F48" s="119">
        <f>+GETPIVOTDATA(" PAGOS
 ACUMULADOS",$B$6)/GETPIVOTDATA(" APROPIACION
 VIGENTE",$B$6)</f>
        <v>0.1394333241501767</v>
      </c>
      <c r="G48" s="15"/>
      <c r="H48" s="15"/>
      <c r="I48" s="15"/>
      <c r="J48" s="15"/>
      <c r="K48" s="15"/>
    </row>
    <row r="49" spans="1:11" collapsed="1" x14ac:dyDescent="0.25">
      <c r="A49" s="35"/>
      <c r="B49" s="110"/>
      <c r="C49" s="110"/>
      <c r="D49" s="110"/>
      <c r="E49" s="110"/>
      <c r="F49" s="111"/>
      <c r="G49" s="25"/>
      <c r="H49" s="25"/>
      <c r="I49" s="25"/>
      <c r="J49" s="25"/>
      <c r="K49" s="14"/>
    </row>
    <row r="50" spans="1:11" x14ac:dyDescent="0.25">
      <c r="A50" s="35"/>
      <c r="B50" s="35"/>
      <c r="C50" s="35"/>
      <c r="D50" s="35"/>
      <c r="E50" s="35"/>
      <c r="F50" s="25"/>
      <c r="G50" s="25"/>
      <c r="H50" s="25"/>
      <c r="I50" s="25"/>
      <c r="J50" s="25"/>
      <c r="K50" s="14"/>
    </row>
    <row r="51" spans="1:11" x14ac:dyDescent="0.25">
      <c r="A51" s="14"/>
      <c r="B51" s="25"/>
      <c r="C51" s="25"/>
      <c r="D51" s="25"/>
      <c r="E51" s="25"/>
      <c r="F51" s="25"/>
      <c r="G51" s="25"/>
      <c r="H51" s="25"/>
      <c r="I51" s="25"/>
      <c r="J51" s="25"/>
      <c r="K51" s="14"/>
    </row>
    <row r="52" spans="1:11" x14ac:dyDescent="0.25">
      <c r="A52" s="14"/>
      <c r="B52" s="25"/>
      <c r="C52" s="25"/>
      <c r="D52" s="25"/>
      <c r="E52" s="25"/>
      <c r="F52" s="25"/>
      <c r="G52" s="25"/>
      <c r="H52" s="25"/>
      <c r="I52" s="25"/>
      <c r="J52" s="25"/>
      <c r="K52" s="14"/>
    </row>
    <row r="53" spans="1:11" x14ac:dyDescent="0.25">
      <c r="A53" s="10"/>
      <c r="B53" s="25"/>
      <c r="C53" s="25"/>
      <c r="D53" s="25"/>
      <c r="E53" s="25"/>
      <c r="F53" s="25"/>
      <c r="G53" s="25"/>
      <c r="H53" s="25"/>
      <c r="I53" s="25"/>
      <c r="J53" s="25"/>
      <c r="K53" s="14"/>
    </row>
    <row r="54" spans="1:1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14"/>
    </row>
    <row r="55" spans="1:11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14"/>
    </row>
    <row r="56" spans="1:11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14"/>
    </row>
    <row r="57" spans="1:1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14"/>
    </row>
    <row r="58" spans="1:1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14"/>
    </row>
    <row r="59" spans="1:11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14"/>
    </row>
    <row r="60" spans="1:1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14"/>
    </row>
    <row r="61" spans="1:1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6:F40"/>
  <sheetViews>
    <sheetView showGridLines="0" showRowColHeaders="0" workbookViewId="0"/>
  </sheetViews>
  <sheetFormatPr baseColWidth="10" defaultRowHeight="15" x14ac:dyDescent="0.25"/>
  <cols>
    <col min="1" max="1" width="13.140625" customWidth="1"/>
    <col min="2" max="2" width="31.28515625" bestFit="1" customWidth="1"/>
    <col min="3" max="3" width="31.5703125" bestFit="1" customWidth="1"/>
    <col min="4" max="4" width="30.5703125" bestFit="1" customWidth="1"/>
    <col min="5" max="6" width="22.5703125" bestFit="1" customWidth="1"/>
  </cols>
  <sheetData>
    <row r="6" spans="2:6" x14ac:dyDescent="0.25">
      <c r="B6" s="9" t="s">
        <v>1</v>
      </c>
      <c r="C6" s="8" t="s">
        <v>157</v>
      </c>
    </row>
    <row r="8" spans="2:6" x14ac:dyDescent="0.25">
      <c r="B8" t="s">
        <v>156</v>
      </c>
      <c r="C8" t="s">
        <v>15</v>
      </c>
      <c r="D8" t="s">
        <v>16</v>
      </c>
      <c r="E8" t="s">
        <v>17</v>
      </c>
    </row>
    <row r="9" spans="2:6" x14ac:dyDescent="0.25">
      <c r="B9" s="24">
        <v>4505182025012</v>
      </c>
      <c r="C9" s="24">
        <v>4298488448779.46</v>
      </c>
      <c r="D9" s="24">
        <v>323594672987.13995</v>
      </c>
      <c r="E9" s="24">
        <v>323325204311.13995</v>
      </c>
    </row>
    <row r="11" spans="2:6" x14ac:dyDescent="0.25">
      <c r="B11" s="17"/>
      <c r="F11" s="1"/>
    </row>
    <row r="15" spans="2:6" x14ac:dyDescent="0.25">
      <c r="E15" s="5"/>
    </row>
    <row r="36" spans="2:4" x14ac:dyDescent="0.25">
      <c r="B36" s="122" t="str">
        <f>+CONCATENATE("PROYECTO","  ",C6)</f>
        <v>PROYECTO  (Todas)</v>
      </c>
      <c r="C36" s="122"/>
      <c r="D36" s="122"/>
    </row>
    <row r="37" spans="2:4" ht="52.5" customHeight="1" x14ac:dyDescent="0.25">
      <c r="B37" s="122"/>
      <c r="C37" s="122"/>
      <c r="D37" s="122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sqref="A1:E10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5" t="s">
        <v>87</v>
      </c>
      <c r="C2" s="46" t="s">
        <v>88</v>
      </c>
      <c r="D2" s="47" t="s">
        <v>89</v>
      </c>
      <c r="E2" s="48" t="s">
        <v>90</v>
      </c>
    </row>
    <row r="3" spans="2:7" ht="16.5" thickBot="1" x14ac:dyDescent="0.3">
      <c r="B3" s="53" t="s">
        <v>26</v>
      </c>
      <c r="C3" s="54">
        <f>2249648633.2/1000000</f>
        <v>2249.6486331999999</v>
      </c>
      <c r="D3" s="55">
        <v>0</v>
      </c>
      <c r="E3" s="56">
        <f>2135218375.3/1000000</f>
        <v>2135.2183752999999</v>
      </c>
      <c r="F3" s="71"/>
      <c r="G3" s="58"/>
    </row>
    <row r="4" spans="2:7" ht="19.5" thickBot="1" x14ac:dyDescent="0.3">
      <c r="B4" s="49" t="s">
        <v>128</v>
      </c>
      <c r="C4" s="50">
        <f>53197266014.59/1000000</f>
        <v>53197.266014589994</v>
      </c>
      <c r="D4" s="51">
        <f>0/1000000</f>
        <v>0</v>
      </c>
      <c r="E4" s="52">
        <f>18388113526.79/1000000</f>
        <v>18388.113526790003</v>
      </c>
      <c r="F4" s="70"/>
      <c r="G4" s="71"/>
    </row>
    <row r="6" spans="2:7" x14ac:dyDescent="0.25">
      <c r="C6" s="57"/>
      <c r="D6" s="57"/>
      <c r="E6" s="57"/>
    </row>
    <row r="7" spans="2:7" ht="15.75" thickBot="1" x14ac:dyDescent="0.3">
      <c r="E7" s="44"/>
    </row>
    <row r="8" spans="2:7" ht="63.75" thickBot="1" x14ac:dyDescent="0.3">
      <c r="B8" s="45" t="s">
        <v>87</v>
      </c>
      <c r="C8" s="56" t="s">
        <v>99</v>
      </c>
      <c r="E8" s="44"/>
    </row>
    <row r="9" spans="2:7" ht="19.5" thickBot="1" x14ac:dyDescent="0.3">
      <c r="B9" s="53" t="s">
        <v>26</v>
      </c>
      <c r="C9" s="52">
        <f>2249648633.2/1000000</f>
        <v>2249.6486331999999</v>
      </c>
    </row>
    <row r="10" spans="2:7" ht="19.5" thickBot="1" x14ac:dyDescent="0.3">
      <c r="B10" s="49" t="s">
        <v>91</v>
      </c>
      <c r="C10" s="48">
        <f>53197266014.59/1000000</f>
        <v>53197.266014589994</v>
      </c>
      <c r="D10" s="67"/>
    </row>
    <row r="12" spans="2:7" x14ac:dyDescent="0.25">
      <c r="C12" s="67"/>
      <c r="D12" s="67"/>
      <c r="E12" s="67"/>
      <c r="F12" s="71"/>
      <c r="G12" s="72"/>
    </row>
    <row r="13" spans="2:7" x14ac:dyDescent="0.25">
      <c r="C13" s="44"/>
    </row>
    <row r="14" spans="2:7" x14ac:dyDescent="0.25">
      <c r="C14" s="44"/>
    </row>
    <row r="16" spans="2:7" x14ac:dyDescent="0.25">
      <c r="C16" s="44"/>
    </row>
    <row r="17" spans="3:3" x14ac:dyDescent="0.25">
      <c r="C17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7:F12"/>
  <sheetViews>
    <sheetView showGridLines="0" showRowColHeaders="0" zoomScaleNormal="100" workbookViewId="0"/>
  </sheetViews>
  <sheetFormatPr baseColWidth="10" defaultRowHeight="15" x14ac:dyDescent="0.25"/>
  <cols>
    <col min="2" max="2" width="21.42578125" customWidth="1"/>
    <col min="3" max="3" width="18.7109375" customWidth="1"/>
  </cols>
  <sheetData>
    <row r="7" spans="2:6" x14ac:dyDescent="0.25">
      <c r="B7" s="2"/>
      <c r="C7" s="23"/>
    </row>
    <row r="8" spans="2:6" x14ac:dyDescent="0.25">
      <c r="B8" s="62" t="s">
        <v>5</v>
      </c>
      <c r="C8" s="58" t="s">
        <v>100</v>
      </c>
    </row>
    <row r="9" spans="2:6" x14ac:dyDescent="0.25">
      <c r="B9" s="59" t="s">
        <v>26</v>
      </c>
      <c r="C9" s="58">
        <v>2249.6486331999999</v>
      </c>
    </row>
    <row r="10" spans="2:6" x14ac:dyDescent="0.25">
      <c r="B10" s="59" t="s">
        <v>91</v>
      </c>
      <c r="C10" s="58">
        <v>53197.266014589994</v>
      </c>
    </row>
    <row r="11" spans="2:6" x14ac:dyDescent="0.25">
      <c r="B11" s="59" t="s">
        <v>6</v>
      </c>
      <c r="C11" s="58">
        <v>55446.914647789992</v>
      </c>
      <c r="D11" s="66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887A31-34A5-45FE-AECA-A16C6550B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Aura Simona Orozco Mindiola</cp:lastModifiedBy>
  <cp:lastPrinted>2019-07-30T21:44:52Z</cp:lastPrinted>
  <dcterms:created xsi:type="dcterms:W3CDTF">2018-03-13T13:24:17Z</dcterms:created>
  <dcterms:modified xsi:type="dcterms:W3CDTF">2022-08-05T16:24:15Z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