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pivotTables/pivotTable5.xml" ContentType="application/vnd.openxmlformats-officedocument.spreadsheetml.pivotTab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8.xml" ContentType="application/vnd.openxmlformats-officedocument.spreadsheetml.pivotTab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asorozco_ani_gov_co/Documents/PRESUPUESTO/EJECUCIONES PRESUPUESTO/ejecuciones excell2022 publicar/graficas lili/"/>
    </mc:Choice>
  </mc:AlternateContent>
  <xr:revisionPtr revIDLastSave="0" documentId="13_ncr:1_{5A141D47-2926-4E3E-86CC-BEBA6C79256E}" xr6:coauthVersionLast="47" xr6:coauthVersionMax="47" xr10:uidLastSave="{00000000-0000-0000-0000-000000000000}"/>
  <bookViews>
    <workbookView xWindow="-120" yWindow="-120" windowWidth="20730" windowHeight="11160" tabRatio="0" firstSheet="7" activeTab="1" xr2:uid="{00000000-000D-0000-FFFF-FFFF00000000}"/>
  </bookViews>
  <sheets>
    <sheet name="Gráfico1" sheetId="14" state="hidden" r:id="rId1"/>
    <sheet name="Menú" sheetId="8" r:id="rId2"/>
    <sheet name="Participación Apropiación " sheetId="2" r:id="rId3"/>
    <sheet name="Resumen Eje Egreso" sheetId="1" state="hidden" r:id="rId4"/>
    <sheet name="INVERSIÓN" sheetId="4" state="hidden" r:id="rId5"/>
    <sheet name="APR VS RP  Y OBLIGACIÓN Y PAGO" sheetId="3" r:id="rId6"/>
    <sheet name="APR,RP´S,OBL Y PAGO FUNCIONAMIE" sheetId="5" r:id="rId7"/>
    <sheet name="INVERSIÓN APR VS RP Y OBLI" sheetId="7" r:id="rId8"/>
    <sheet name="Reservas Presupuestales" sheetId="9" state="hidden" r:id="rId9"/>
    <sheet name="Participación por Concepto" sheetId="12" r:id="rId10"/>
    <sheet name="EJECUCIÓN  RESERVA" sheetId="10" r:id="rId11"/>
    <sheet name="CXP" sheetId="13" state="hidden" r:id="rId12"/>
    <sheet name="PART. CUENTA X PAGAR CONCEPTO " sheetId="17" r:id="rId13"/>
    <sheet name="EJECUCIÓN CUENTA POR PAGAR " sheetId="19" r:id="rId14"/>
  </sheets>
  <calcPr calcId="191029"/>
  <pivotCaches>
    <pivotCache cacheId="65" r:id="rId15"/>
    <pivotCache cacheId="66" r:id="rId16"/>
    <pivotCache cacheId="67" r:id="rId17"/>
    <pivotCache cacheId="68" r:id="rId18"/>
    <pivotCache cacheId="69" r:id="rId19"/>
    <pivotCache cacheId="70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9" l="1"/>
  <c r="C48" i="19"/>
  <c r="D47" i="10"/>
  <c r="C47" i="10"/>
  <c r="C10" i="13"/>
  <c r="C9" i="13"/>
  <c r="E4" i="13"/>
  <c r="D4" i="13"/>
  <c r="C4" i="13"/>
  <c r="E3" i="13"/>
  <c r="C3" i="13"/>
  <c r="C10" i="9"/>
  <c r="C9" i="9"/>
  <c r="E4" i="9"/>
  <c r="D4" i="9"/>
  <c r="C4" i="9"/>
  <c r="E3" i="9"/>
  <c r="C3" i="9"/>
  <c r="I38" i="4"/>
  <c r="H38" i="4"/>
  <c r="G38" i="4"/>
  <c r="F38" i="4"/>
  <c r="E38" i="4"/>
  <c r="D38" i="4"/>
  <c r="G20" i="1"/>
  <c r="F20" i="1"/>
  <c r="E20" i="1"/>
  <c r="D20" i="1"/>
  <c r="C20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F2" i="1"/>
  <c r="E2" i="1"/>
  <c r="D2" i="1"/>
  <c r="C2" i="1"/>
  <c r="E48" i="19"/>
  <c r="E47" i="19"/>
  <c r="E46" i="19"/>
  <c r="D47" i="19"/>
  <c r="D46" i="19"/>
  <c r="C47" i="19"/>
  <c r="C46" i="19"/>
  <c r="E47" i="10"/>
  <c r="E46" i="10"/>
  <c r="E45" i="10"/>
  <c r="D46" i="10"/>
  <c r="D45" i="10"/>
  <c r="C46" i="10"/>
  <c r="C45" i="10"/>
  <c r="B36" i="7" l="1"/>
  <c r="F46" i="5"/>
  <c r="E45" i="5"/>
  <c r="C42" i="3"/>
  <c r="F42" i="3"/>
  <c r="F44" i="5"/>
  <c r="E44" i="5"/>
  <c r="C44" i="3"/>
  <c r="C47" i="5"/>
  <c r="C45" i="3"/>
  <c r="D44" i="5"/>
  <c r="E43" i="3"/>
  <c r="D48" i="5"/>
  <c r="D46" i="5"/>
  <c r="D45" i="5"/>
  <c r="E45" i="3"/>
  <c r="E47" i="5"/>
  <c r="E46" i="5"/>
  <c r="F44" i="3"/>
  <c r="F48" i="5"/>
  <c r="E44" i="3"/>
  <c r="C45" i="5"/>
  <c r="F45" i="3"/>
  <c r="F45" i="5"/>
  <c r="F47" i="5"/>
  <c r="F43" i="3"/>
  <c r="C48" i="5"/>
  <c r="C46" i="5"/>
  <c r="D45" i="3"/>
  <c r="C44" i="5"/>
  <c r="D47" i="5"/>
  <c r="E48" i="5"/>
  <c r="C43" i="3"/>
  <c r="D43" i="3" l="1"/>
  <c r="E42" i="3"/>
  <c r="D44" i="3"/>
  <c r="D42" i="3"/>
</calcChain>
</file>

<file path=xl/sharedStrings.xml><?xml version="1.0" encoding="utf-8"?>
<sst xmlns="http://schemas.openxmlformats.org/spreadsheetml/2006/main" count="244" uniqueCount="161">
  <si>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</si>
  <si>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</si>
  <si>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</si>
  <si>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</si>
  <si>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</si>
  <si>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</si>
  <si>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</si>
  <si>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</si>
  <si>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</si>
  <si>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</si>
  <si>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</si>
  <si>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</si>
  <si>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</si>
  <si>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</si>
  <si>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</si>
  <si>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</si>
  <si>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3 OBLIGACIONES
 ACUMULADAS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</si>
  <si>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</si>
  <si>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</si>
  <si>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</si>
  <si>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</si>
  <si>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</si>
  <si>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</si>
  <si>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</si>
  <si>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</si>
  <si>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</si>
  <si>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</si>
  <si>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</si>
  <si>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</si>
  <si>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</si>
  <si>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</si>
  <si>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</si>
  <si>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</si>
  <si>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</si>
  <si>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</si>
  <si>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</si>
  <si>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</si>
  <si>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</si>
  <si>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</si>
  <si>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</si>
  <si>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</si>
  <si>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</si>
  <si>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</si>
  <si>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COMPROMISOS</t>
  </si>
  <si>
    <t>C-2499-0600-10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</si>
  <si>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</si>
  <si>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</si>
  <si>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</si>
  <si>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</si>
  <si>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</si>
  <si>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</si>
  <si>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</si>
  <si>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</si>
  <si>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</si>
  <si>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</si>
  <si>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</si>
  <si>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</si>
  <si>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</si>
  <si>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</si>
  <si>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</si>
  <si>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</si>
  <si>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</si>
  <si>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</si>
  <si>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</si>
  <si>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</si>
  <si>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</si>
  <si>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</si>
  <si>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</si>
  <si>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</si>
  <si>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</si>
  <si>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</si>
  <si>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</si>
  <si>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</si>
  <si>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</si>
  <si>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</si>
  <si>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</si>
  <si>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</si>
  <si>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</si>
  <si>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</si>
  <si>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</si>
  <si>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</si>
  <si>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</si>
  <si>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</si>
  <si>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</si>
  <si>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</si>
  <si>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</si>
  <si>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</si>
  <si>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</si>
  <si>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</si>
  <si>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</si>
  <si>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</si>
  <si>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</si>
  <si>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</si>
  <si>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</si>
  <si>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</si>
  <si>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</si>
  <si>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Ejecución Presupuesto de Gastos</t>
  </si>
  <si>
    <t>Ejecución Reserva Presupuestal Constituida</t>
  </si>
  <si>
    <t>Porcentaje Participación de la Reserva por Concepto de Gasto</t>
  </si>
  <si>
    <t>Reservas Vigente</t>
  </si>
  <si>
    <t>Reservas Vigentes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</si>
  <si>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</si>
  <si>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</si>
  <si>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</si>
  <si>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</si>
  <si>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</si>
  <si>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</si>
  <si>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</si>
  <si>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</si>
  <si>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</si>
  <si>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</si>
  <si>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</si>
  <si>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CONTROL Y SEGUIMIENTO A LA OPERACIÓN DE LOS AEROPUERTOS CONCESIONADOS  NACIONAL</t>
  </si>
  <si>
    <t>CONTROL Y SEGUIMIENTO A LA OPERACIÓN DE LAS VÍAS FÉRREAS  NACIONAL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</si>
  <si>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</si>
  <si>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</si>
  <si>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</si>
  <si>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</si>
  <si>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</si>
  <si>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</si>
  <si>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</si>
  <si>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</si>
  <si>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</si>
  <si>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</si>
  <si>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</si>
  <si>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</si>
  <si>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</si>
  <si>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</si>
  <si>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</si>
  <si>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C-2403-0600-5</t>
  </si>
  <si>
    <t>APOYO ESTATAL A LOS AEROPUERTOS A NIVEL NACIONAL  NACIONAL</t>
  </si>
  <si>
    <t>C-2406-0600-1</t>
  </si>
  <si>
    <t>CONTROL Y SEGUIMIENTO A LAS VIAS FLUVIALES  NACIONAL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</si>
  <si>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</si>
  <si>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</si>
  <si>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</si>
  <si>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</si>
  <si>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</si>
  <si>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</si>
  <si>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IMPLEMENTACION DEL SISTEMA DE GESTION DOCUMENTAL DE LA AGENCIA NACIONAL DE INFRAESTRUCTURA NACIONAL</t>
  </si>
  <si>
    <t>CXP CONSTITUIDAS
(1)</t>
  </si>
  <si>
    <t>CANCELACIONES CXP
 (2)</t>
  </si>
  <si>
    <t>CXP VIGENTE</t>
  </si>
  <si>
    <t>Ejecución Cuenta por Pagar Constituida</t>
  </si>
  <si>
    <t>Porcentaje Participación de la Cuenta por Pagar por Concepto de Gasto</t>
  </si>
  <si>
    <t>Ejecución de la Cuenta por Pagar Constituida</t>
  </si>
  <si>
    <t xml:space="preserve">  </t>
  </si>
  <si>
    <t>CUENTA X PAGAR VIGENTE</t>
  </si>
  <si>
    <t>Suma de CXP CONSTITUIDAS
(1)</t>
  </si>
  <si>
    <t>Suma de CANCELACIONES CXP
 (2)</t>
  </si>
  <si>
    <t>Suma de TOTAL PAGOS
ACUMULADOS
(5)</t>
  </si>
  <si>
    <t>CXP CONSTITUIDAS</t>
  </si>
  <si>
    <t>CANCELACIONES CXP</t>
  </si>
  <si>
    <t>TOTAL PAGOS</t>
  </si>
  <si>
    <t>Ejecución Acumulada Cuentas por Pagar</t>
  </si>
  <si>
    <t>Ejecución  Cuentas por Pagar por Concepto</t>
  </si>
  <si>
    <t>Suma de APROPIACION
 VIGENTE</t>
  </si>
  <si>
    <t>(Todas)</t>
  </si>
  <si>
    <t>Ejecución  Presupuestal Acumulada al  31/05/2022</t>
  </si>
  <si>
    <t xml:space="preserve">CXP CONSTITUIDAS
</t>
  </si>
  <si>
    <t xml:space="preserve">CANCELACIONES CXP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</si>
</sst>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8" formatCode="_-* #,##0.00_-;\-* #,##0.00_-;_-* &quot;-&quot;_-;_-@_-"/>
    <numFmt numFmtId="169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/>
        </stop>
        <stop position="1">
          <color theme="4" tint="0.80001220740379042"/>
        </stop>
      </gradient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6" fillId="2" borderId="0" xfId="0" applyFont="1" applyFill="1" applyBorder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 applyFill="1"/>
    <xf numFmtId="0" fontId="0" fillId="2" borderId="0" xfId="0" applyFont="1" applyFill="1"/>
    <xf numFmtId="0" fontId="6" fillId="2" borderId="0" xfId="0" applyFont="1" applyFill="1"/>
    <xf numFmtId="0" fontId="14" fillId="0" borderId="3" xfId="0" applyFont="1" applyBorder="1" applyAlignment="1">
      <alignment horizontal="justify" wrapText="1"/>
    </xf>
    <xf numFmtId="0" fontId="13" fillId="0" borderId="2" xfId="15" applyFont="1" applyAlignment="1">
      <alignment horizontal="justify" wrapText="1"/>
    </xf>
    <xf numFmtId="168" fontId="0" fillId="0" borderId="0" xfId="0" applyNumberFormat="1"/>
    <xf numFmtId="168" fontId="0" fillId="0" borderId="0" xfId="0" applyNumberFormat="1" applyAlignment="1">
      <alignment wrapText="1"/>
    </xf>
    <xf numFmtId="0" fontId="0" fillId="0" borderId="0" xfId="0" applyFont="1" applyFill="1"/>
    <xf numFmtId="0" fontId="16" fillId="2" borderId="0" xfId="0" applyFont="1" applyFill="1"/>
    <xf numFmtId="0" fontId="0" fillId="0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17" fillId="4" borderId="1" xfId="0" applyFont="1" applyFill="1" applyBorder="1" applyAlignment="1">
      <alignment horizontal="center" vertical="center"/>
    </xf>
    <xf numFmtId="41" fontId="17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68" fontId="0" fillId="3" borderId="1" xfId="1" applyNumberFormat="1" applyFont="1" applyFill="1" applyBorder="1"/>
    <xf numFmtId="0" fontId="0" fillId="3" borderId="1" xfId="0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 applyAlignment="1">
      <alignment horizontal="left"/>
    </xf>
    <xf numFmtId="41" fontId="18" fillId="0" borderId="0" xfId="0" applyNumberFormat="1" applyFont="1" applyFill="1" applyBorder="1"/>
    <xf numFmtId="9" fontId="18" fillId="0" borderId="0" xfId="13" applyFont="1" applyFill="1" applyBorder="1"/>
    <xf numFmtId="167" fontId="18" fillId="0" borderId="0" xfId="13" applyNumberFormat="1" applyFont="1" applyFill="1" applyBorder="1"/>
    <xf numFmtId="43" fontId="0" fillId="0" borderId="0" xfId="16" applyFont="1"/>
    <xf numFmtId="0" fontId="19" fillId="2" borderId="5" xfId="0" applyFont="1" applyFill="1" applyBorder="1" applyAlignment="1">
      <alignment horizontal="center" vertical="center" wrapText="1"/>
    </xf>
    <xf numFmtId="164" fontId="19" fillId="2" borderId="5" xfId="3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 wrapText="1"/>
    </xf>
    <xf numFmtId="164" fontId="19" fillId="2" borderId="6" xfId="3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164" fontId="20" fillId="2" borderId="5" xfId="3" applyFont="1" applyFill="1" applyBorder="1" applyAlignment="1">
      <alignment horizontal="right" vertical="center"/>
    </xf>
    <xf numFmtId="4" fontId="20" fillId="2" borderId="5" xfId="3" applyNumberFormat="1" applyFont="1" applyFill="1" applyBorder="1" applyAlignment="1">
      <alignment horizontal="right" vertical="center"/>
    </xf>
    <xf numFmtId="4" fontId="20" fillId="2" borderId="6" xfId="3" applyNumberFormat="1" applyFont="1" applyFill="1" applyBorder="1" applyAlignment="1">
      <alignment horizontal="right" vertical="center"/>
    </xf>
    <xf numFmtId="0" fontId="19" fillId="2" borderId="7" xfId="0" applyFont="1" applyFill="1" applyBorder="1" applyAlignment="1">
      <alignment vertical="center" wrapText="1"/>
    </xf>
    <xf numFmtId="164" fontId="19" fillId="2" borderId="7" xfId="3" applyFont="1" applyFill="1" applyBorder="1" applyAlignment="1">
      <alignment horizontal="right" vertical="center"/>
    </xf>
    <xf numFmtId="4" fontId="19" fillId="2" borderId="7" xfId="3" applyNumberFormat="1" applyFont="1" applyFill="1" applyBorder="1" applyAlignment="1">
      <alignment horizontal="right" vertical="center"/>
    </xf>
    <xf numFmtId="4" fontId="19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pivotButton="1" applyNumberFormat="1"/>
    <xf numFmtId="0" fontId="9" fillId="5" borderId="0" xfId="14" applyFont="1" applyFill="1" applyBorder="1"/>
    <xf numFmtId="0" fontId="9" fillId="0" borderId="0" xfId="14" applyFont="1" applyFill="1" applyBorder="1"/>
    <xf numFmtId="0" fontId="8" fillId="6" borderId="0" xfId="0" applyFont="1" applyFill="1" applyAlignment="1">
      <alignment horizontal="center"/>
    </xf>
    <xf numFmtId="0" fontId="23" fillId="0" borderId="0" xfId="0" applyFont="1"/>
    <xf numFmtId="4" fontId="0" fillId="0" borderId="0" xfId="0" applyNumberFormat="1"/>
    <xf numFmtId="0" fontId="24" fillId="0" borderId="0" xfId="0" applyFont="1"/>
    <xf numFmtId="0" fontId="24" fillId="0" borderId="0" xfId="0" applyFont="1" applyFill="1"/>
    <xf numFmtId="9" fontId="0" fillId="0" borderId="0" xfId="13" applyFont="1"/>
    <xf numFmtId="167" fontId="0" fillId="0" borderId="0" xfId="13" applyNumberFormat="1" applyFont="1"/>
    <xf numFmtId="10" fontId="0" fillId="0" borderId="0" xfId="13" applyNumberFormat="1" applyFont="1"/>
    <xf numFmtId="9" fontId="0" fillId="0" borderId="0" xfId="13" applyNumberFormat="1" applyFont="1"/>
    <xf numFmtId="0" fontId="25" fillId="7" borderId="9" xfId="4" applyFont="1" applyFill="1" applyBorder="1" applyAlignment="1">
      <alignment horizontal="center" vertical="center" wrapText="1"/>
    </xf>
    <xf numFmtId="0" fontId="20" fillId="8" borderId="5" xfId="17" applyFont="1" applyFill="1" applyBorder="1" applyAlignment="1">
      <alignment vertical="center" wrapText="1"/>
    </xf>
    <xf numFmtId="0" fontId="19" fillId="2" borderId="10" xfId="17" applyFont="1" applyFill="1" applyBorder="1" applyAlignment="1">
      <alignment vertical="center" wrapText="1"/>
    </xf>
    <xf numFmtId="164" fontId="25" fillId="7" borderId="9" xfId="5" applyFont="1" applyFill="1" applyBorder="1" applyAlignment="1">
      <alignment horizontal="center" vertical="center" wrapText="1"/>
    </xf>
    <xf numFmtId="164" fontId="25" fillId="7" borderId="11" xfId="5" applyFont="1" applyFill="1" applyBorder="1" applyAlignment="1">
      <alignment horizontal="center" vertical="center" wrapText="1"/>
    </xf>
    <xf numFmtId="39" fontId="20" fillId="8" borderId="5" xfId="18" applyNumberFormat="1" applyFont="1" applyFill="1" applyBorder="1" applyAlignment="1">
      <alignment horizontal="right" vertical="center"/>
    </xf>
    <xf numFmtId="39" fontId="20" fillId="8" borderId="6" xfId="18" applyNumberFormat="1" applyFont="1" applyFill="1" applyBorder="1" applyAlignment="1">
      <alignment horizontal="right" vertical="center"/>
    </xf>
    <xf numFmtId="0" fontId="19" fillId="2" borderId="1" xfId="17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justify" wrapText="1"/>
    </xf>
    <xf numFmtId="4" fontId="26" fillId="2" borderId="10" xfId="17" applyNumberFormat="1" applyFont="1" applyFill="1" applyBorder="1" applyAlignment="1">
      <alignment vertical="center" wrapText="1"/>
    </xf>
    <xf numFmtId="4" fontId="26" fillId="2" borderId="12" xfId="17" applyNumberFormat="1" applyFont="1" applyFill="1" applyBorder="1" applyAlignment="1">
      <alignment vertical="center" wrapText="1"/>
    </xf>
    <xf numFmtId="4" fontId="27" fillId="2" borderId="1" xfId="17" applyNumberFormat="1" applyFont="1" applyFill="1" applyBorder="1" applyAlignment="1">
      <alignment horizontal="right" vertical="center" wrapText="1" readingOrder="1"/>
    </xf>
    <xf numFmtId="4" fontId="27" fillId="2" borderId="13" xfId="17" applyNumberFormat="1" applyFont="1" applyFill="1" applyBorder="1" applyAlignment="1">
      <alignment horizontal="right" vertical="center" wrapText="1" readingOrder="1"/>
    </xf>
    <xf numFmtId="168" fontId="0" fillId="0" borderId="0" xfId="1" applyNumberFormat="1" applyFont="1"/>
    <xf numFmtId="0" fontId="0" fillId="0" borderId="1" xfId="0" applyBorder="1"/>
    <xf numFmtId="4" fontId="0" fillId="0" borderId="1" xfId="0" applyNumberFormat="1" applyBorder="1"/>
    <xf numFmtId="0" fontId="28" fillId="0" borderId="0" xfId="0" applyFont="1"/>
    <xf numFmtId="0" fontId="8" fillId="0" borderId="0" xfId="0" applyFont="1"/>
    <xf numFmtId="9" fontId="11" fillId="0" borderId="0" xfId="13" applyFont="1" applyFill="1"/>
    <xf numFmtId="167" fontId="11" fillId="0" borderId="0" xfId="13" applyNumberFormat="1" applyFont="1" applyFill="1"/>
    <xf numFmtId="10" fontId="11" fillId="0" borderId="0" xfId="13" applyNumberFormat="1" applyFont="1" applyFill="1"/>
    <xf numFmtId="43" fontId="13" fillId="0" borderId="2" xfId="16" applyFont="1" applyBorder="1"/>
    <xf numFmtId="43" fontId="13" fillId="0" borderId="2" xfId="16" applyFont="1" applyBorder="1" applyAlignment="1">
      <alignment horizontal="center"/>
    </xf>
    <xf numFmtId="43" fontId="15" fillId="9" borderId="4" xfId="16" applyFont="1" applyFill="1" applyBorder="1"/>
    <xf numFmtId="43" fontId="15" fillId="0" borderId="4" xfId="16" applyFont="1" applyBorder="1"/>
    <xf numFmtId="43" fontId="15" fillId="2" borderId="4" xfId="16" applyFont="1" applyFill="1" applyBorder="1"/>
    <xf numFmtId="10" fontId="11" fillId="0" borderId="0" xfId="0" applyNumberFormat="1" applyFont="1" applyFill="1"/>
    <xf numFmtId="10" fontId="0" fillId="0" borderId="0" xfId="0" applyNumberFormat="1"/>
    <xf numFmtId="0" fontId="30" fillId="0" borderId="0" xfId="0" applyFont="1" applyFill="1" applyBorder="1"/>
    <xf numFmtId="0" fontId="31" fillId="0" borderId="0" xfId="0" applyFont="1" applyFill="1" applyBorder="1" applyAlignment="1">
      <alignment horizontal="left"/>
    </xf>
    <xf numFmtId="41" fontId="31" fillId="0" borderId="0" xfId="0" applyNumberFormat="1" applyFont="1" applyFill="1" applyBorder="1"/>
    <xf numFmtId="10" fontId="31" fillId="0" borderId="0" xfId="13" applyNumberFormat="1" applyFont="1" applyFill="1" applyBorder="1"/>
    <xf numFmtId="167" fontId="31" fillId="0" borderId="0" xfId="13" applyNumberFormat="1" applyFont="1" applyFill="1" applyBorder="1"/>
    <xf numFmtId="9" fontId="31" fillId="0" borderId="0" xfId="13" applyFont="1" applyFill="1" applyBorder="1"/>
    <xf numFmtId="41" fontId="31" fillId="0" borderId="0" xfId="1" applyFont="1" applyFill="1" applyBorder="1"/>
    <xf numFmtId="0" fontId="30" fillId="0" borderId="0" xfId="0" applyFont="1" applyFill="1" applyBorder="1" applyAlignment="1">
      <alignment horizontal="left"/>
    </xf>
    <xf numFmtId="41" fontId="30" fillId="0" borderId="0" xfId="0" applyNumberFormat="1" applyFont="1" applyFill="1" applyBorder="1"/>
    <xf numFmtId="9" fontId="30" fillId="0" borderId="0" xfId="13" applyFont="1" applyFill="1" applyBorder="1"/>
    <xf numFmtId="167" fontId="30" fillId="0" borderId="0" xfId="13" applyNumberFormat="1" applyFont="1" applyFill="1" applyBorder="1"/>
    <xf numFmtId="10" fontId="0" fillId="0" borderId="0" xfId="0" applyNumberFormat="1" applyFont="1" applyFill="1" applyBorder="1"/>
    <xf numFmtId="0" fontId="31" fillId="0" borderId="0" xfId="0" applyFont="1" applyFill="1"/>
    <xf numFmtId="10" fontId="31" fillId="0" borderId="0" xfId="13" applyNumberFormat="1" applyFont="1" applyFill="1"/>
    <xf numFmtId="0" fontId="30" fillId="0" borderId="0" xfId="0" applyFont="1" applyFill="1"/>
    <xf numFmtId="0" fontId="29" fillId="0" borderId="0" xfId="0" applyFont="1" applyFill="1"/>
    <xf numFmtId="0" fontId="32" fillId="0" borderId="0" xfId="0" applyFont="1" applyFill="1" applyBorder="1"/>
    <xf numFmtId="0" fontId="33" fillId="0" borderId="0" xfId="0" applyFont="1" applyFill="1" applyBorder="1" applyAlignment="1">
      <alignment horizontal="left"/>
    </xf>
    <xf numFmtId="168" fontId="33" fillId="0" borderId="0" xfId="0" applyNumberFormat="1" applyFont="1" applyFill="1" applyBorder="1"/>
    <xf numFmtId="9" fontId="33" fillId="0" borderId="0" xfId="13" applyFont="1" applyFill="1" applyBorder="1"/>
    <xf numFmtId="10" fontId="33" fillId="0" borderId="0" xfId="13" applyNumberFormat="1" applyFont="1" applyFill="1" applyBorder="1"/>
    <xf numFmtId="0" fontId="32" fillId="0" borderId="0" xfId="0" applyFont="1" applyFill="1" applyBorder="1" applyAlignment="1">
      <alignment horizontal="left"/>
    </xf>
    <xf numFmtId="168" fontId="32" fillId="0" borderId="0" xfId="1" applyNumberFormat="1" applyFont="1" applyFill="1" applyBorder="1"/>
    <xf numFmtId="10" fontId="32" fillId="0" borderId="0" xfId="13" applyNumberFormat="1" applyFont="1" applyFill="1" applyBorder="1"/>
    <xf numFmtId="41" fontId="32" fillId="0" borderId="0" xfId="0" applyNumberFormat="1" applyFont="1" applyFill="1" applyBorder="1"/>
    <xf numFmtId="9" fontId="32" fillId="0" borderId="0" xfId="13" applyFont="1" applyFill="1" applyBorder="1"/>
    <xf numFmtId="167" fontId="32" fillId="0" borderId="0" xfId="13" applyNumberFormat="1" applyFont="1" applyFill="1" applyBorder="1"/>
    <xf numFmtId="10" fontId="30" fillId="0" borderId="0" xfId="13" applyNumberFormat="1" applyFont="1" applyFill="1"/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43" fontId="21" fillId="0" borderId="0" xfId="0" applyNumberFormat="1" applyFont="1" applyAlignment="1">
      <alignment horizontal="center"/>
    </xf>
  </cellXfs>
  <cellStyles count="19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64">
    <dxf>
      <numFmt numFmtId="35" formatCode="_-* #,##0.00_-;\-* #,##0.00_-;_-* &quot;-&quot;??_-;_-@_-"/>
    </dxf>
    <dxf>
      <numFmt numFmtId="169" formatCode="0.00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8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8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8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487712"/>
        <c:axId val="1684580784"/>
      </c:barChart>
      <c:catAx>
        <c:axId val="13344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580784"/>
        <c:crosses val="autoZero"/>
        <c:auto val="1"/>
        <c:lblAlgn val="ctr"/>
        <c:lblOffset val="100"/>
        <c:noMultiLvlLbl val="0"/>
      </c:catAx>
      <c:valAx>
        <c:axId val="16845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Mayo_2022.xlsx]EJECUCIÓN CUENTA POR PAGAR !TablaDinámica12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'!$E$46</c:f>
              <c:strCache>
                <c:ptCount val="1"/>
                <c:pt idx="0">
                  <c:v>86,88%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{63B3C397-C7F1-4D7D-9403-F22ACA21EEBC}</c15:txfldGUID>
                  <c15:f>'EJECUCIÓN CUENTA POR PAGAR '!$E$46</c15:f>
                  <c15:dlblFieldTableCache>
                    <c:ptCount val="1"/>
                    <c:pt idx="0">
                      <c:v>86,88%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'!$E$47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{6D056F51-8626-4C8B-A92A-22EB8AD3F3D0}</c15:txfldGUID>
                  <c15:f>'EJECUCIÓN CUENTA POR PAGAR '!$E$47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'!$E$46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58-8A90-AAEE174AFA6B}"/>
            </c:ext>
          </c:extLst>
        </c:ser>
        <c:ser>
          <c:idx val="1"/>
          <c:order val="1"/>
          <c:tx>
            <c:strRef>
              <c:f>'EJECUCIÓN CUENTA POR PAGAR '!$E$46</c:f>
              <c:strCache>
                <c:ptCount val="1"/>
                <c:pt idx="0">
                  <c:v>CANCELACIONES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4-4F58-8A90-AAEE174AFA6B}"/>
            </c:ext>
          </c:extLst>
        </c:ser>
        <c:ser>
          <c:idx val="2"/>
          <c:order val="2"/>
          <c:tx>
            <c:strRef>
              <c:f>'EJECUCIÓN CUENTA POR PAGAR '!$E$46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163-46C7-910C-543B4AF569CC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63-46C7-910C-543B4AF569CC}"/>
              </c:ext>
            </c:extLst>
          </c:dPt>
          <c:dLbls>
            <c:dLbl>
              <c:idx val="0"/>
              <c:tx>
                <c:strRef>
                  <c:f>'EJECUCIÓN CUENTA POR PAGAR '!$E$46</c:f>
                  <c:strCache>
                    <c:ptCount val="1"/>
                    <c:pt idx="0">
                      <c:v>86,88%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{4FBEC822-C141-4990-8F4F-7308855CCAEA}</c15:txfldGUID>
                      <c15:f>'EJECUCIÓN CUENTA POR PAGAR '!$E$46</c15:f>
                      <c15:dlblFieldTableCache>
                        <c:ptCount val="1"/>
                        <c:pt idx="0">
                          <c:v>86,88%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163-46C7-910C-543B4AF569CC}"/>
                </c:ext>
              </c:extLst>
            </c:dLbl>
            <c:dLbl>
              <c:idx val="1"/>
              <c:tx>
                <c:strRef>
                  <c:f>'EJECUCIÓN CUENTA POR PAGAR '!$E$47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{C9DB6BF2-C17A-4700-BB18-094541D2077B}</c15:txfldGUID>
                      <c15:f>'EJECUCIÓN CUENTA POR PAGAR '!$E$47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163-46C7-910C-543B4AF56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6858.4404993999997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4-4F58-8A90-AAEE174AF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4723984"/>
        <c:axId val="1684711504"/>
      </c:barChart>
      <c:catAx>
        <c:axId val="16847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11504"/>
        <c:crosses val="autoZero"/>
        <c:auto val="1"/>
        <c:lblAlgn val="ctr"/>
        <c:lblOffset val="100"/>
        <c:noMultiLvlLbl val="0"/>
      </c:catAx>
      <c:valAx>
        <c:axId val="16847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Mayo_2022.xlsx]EJECUCIÓN CUENTA POR PAGAR !TablaDinámica13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'!$E$48</c:f>
              <c:strCache>
                <c:ptCount val="1"/>
                <c:pt idx="0">
                  <c:v>87,18%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{854C82B9-B375-40AD-9C02-A7C0FB056E77}</c15:txfldGUID>
                  <c15:f>'EJECUCIÓN CUENTA POR PAGAR '!$E$48</c15:f>
                  <c15:dlblFieldTableCache>
                    <c:ptCount val="1"/>
                    <c:pt idx="0">
                      <c:v>87,18%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'!$E$48</c:f>
              <c:strCache>
                <c:ptCount val="1"/>
                <c:pt idx="0">
                  <c:v>Suma de CXP CONSTITUIDAS
(1)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A0F-AD05-C0A64349AE12}"/>
            </c:ext>
          </c:extLst>
        </c:ser>
        <c:ser>
          <c:idx val="1"/>
          <c:order val="1"/>
          <c:tx>
            <c:strRef>
              <c:f>'EJECUCIÓN CUENTA POR PAGAR '!$E$48</c:f>
              <c:strCache>
                <c:ptCount val="1"/>
                <c:pt idx="0">
                  <c:v>Suma de CANCELACIONES CXP
 (2)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C-4A0F-AD05-C0A64349AE12}"/>
            </c:ext>
          </c:extLst>
        </c:ser>
        <c:ser>
          <c:idx val="2"/>
          <c:order val="2"/>
          <c:tx>
            <c:strRef>
              <c:f>'EJECUCIÓN CUENTA POR PAGAR '!$E$48</c:f>
              <c:strCache>
                <c:ptCount val="1"/>
                <c:pt idx="0">
                  <c:v>Suma de TOTAL PAGOS
ACUMULADOS
(5)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D7-46BB-9119-716F161D030B}"/>
              </c:ext>
            </c:extLst>
          </c:dPt>
          <c:dLbls>
            <c:dLbl>
              <c:idx val="0"/>
              <c:tx>
                <c:strRef>
                  <c:f>'EJECUCIÓN CUENTA POR PAGAR '!$E$48</c:f>
                  <c:strCache>
                    <c:ptCount val="1"/>
                    <c:pt idx="0">
                      <c:v>87,18%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{DA33ADFC-DF49-4F75-B294-69625331FBC5}</c15:txfldGUID>
                      <c15:f>'EJECUCIÓN CUENTA POR PAGAR '!$E$48</c15:f>
                      <c15:dlblFieldTableCache>
                        <c:ptCount val="1"/>
                        <c:pt idx="0">
                          <c:v>87,18%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FD7-46BB-9119-716F161D0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7040.8691733999995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C-4A0F-AD05-C0A64349A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0051648"/>
        <c:axId val="1340049568"/>
      </c:barChart>
      <c:catAx>
        <c:axId val="1340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49568"/>
        <c:crosses val="autoZero"/>
        <c:auto val="1"/>
        <c:lblAlgn val="ctr"/>
        <c:lblOffset val="100"/>
        <c:noMultiLvlLbl val="0"/>
      </c:catAx>
      <c:valAx>
        <c:axId val="134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9.4774110331488845E-3"/>
              <c:y val="-4.1119484478336916E-2"/>
            </c:manualLayout>
          </c:layout>
          <c:tx>
            <c:strRef>
              <c:f>'APR VS RP  Y OBLIGACIÓN Y PAGO'!$D$42</c:f>
              <c:strCache>
                <c:ptCount val="1"/>
                <c:pt idx="0">
                  <c:v>33,90%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{AD8A233D-32B9-4191-9940-49B94B010EA0}</c15:txfldGUID>
                  <c15:f>'APR VS RP  Y OBLIGACIÓN Y PAGO'!$D$42</c15:f>
                  <c15:dlblFieldTableCache>
                    <c:ptCount val="1"/>
                    <c:pt idx="0">
                      <c:v>33,90%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6991734855734676E-2"/>
              <c:y val="-7.8641320517316649E-2"/>
            </c:manualLayout>
          </c:layout>
          <c:tx>
            <c:strRef>
              <c:f>'APR VS RP  Y OBLIGACIÓN Y PAGO'!$D$43</c:f>
              <c:strCache>
                <c:ptCount val="1"/>
                <c:pt idx="0">
                  <c:v>13%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{0A02C50A-B56C-4FFB-9573-761A1F83BFFB}</c15:txfldGUID>
                  <c15:f>'APR VS RP  Y OBLIGACIÓN Y PAGO'!$D$43</c15:f>
                  <c15:dlblFieldTableCache>
                    <c:ptCount val="1"/>
                    <c:pt idx="0">
                      <c:v>13%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5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tx>
            <c:strRef>
              <c:f>'APR VS RP  Y OBLIGACIÓN Y PAGO'!$D$44</c:f>
              <c:strCache>
                <c:ptCount val="1"/>
                <c:pt idx="0">
                  <c:v>95,96%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{6FE31FFC-753B-4892-92B9-8C825E4B9336}</c15:txfldGUID>
                  <c15:f>'APR VS RP  Y OBLIGACIÓN Y PAGO'!$D$44</c15:f>
                  <c15:dlblFieldTableCache>
                    <c:ptCount val="1"/>
                    <c:pt idx="0">
                      <c:v>95,96%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tx>
            <c:strRef>
              <c:f>'APR VS RP  Y OBLIGACIÓN Y PAGO'!$E$42</c:f>
              <c:strCache>
                <c:ptCount val="1"/>
                <c:pt idx="0">
                  <c:v>25,9%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{45D9DC63-7D53-4427-A622-BED4EA8D1536}</c15:txfldGUID>
                  <c15:f>'APR VS RP  Y OBLIGACIÓN Y PAGO'!$E$42</c15:f>
                  <c15:dlblFieldTableCache>
                    <c:ptCount val="1"/>
                    <c:pt idx="0">
                      <c:v>25,9%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8949654156953393E-2"/>
              <c:y val="-2.0656560451962472E-2"/>
            </c:manualLayout>
          </c:layout>
          <c:tx>
            <c:strRef>
              <c:f>'APR VS RP  Y OBLIGACIÓN Y PAGO'!$E$43</c:f>
              <c:strCache>
                <c:ptCount val="1"/>
                <c:pt idx="0">
                  <c:v>13%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{55F8EF1F-1722-4A21-87DF-820DFF4AE199}</c15:txfldGUID>
                  <c15:f>'APR VS RP  Y OBLIGACIÓN Y PAGO'!$E$43</c15:f>
                  <c15:dlblFieldTableCache>
                    <c:ptCount val="1"/>
                    <c:pt idx="0">
                      <c:v>13%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9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tx>
            <c:strRef>
              <c:f>'APR VS RP  Y OBLIGACIÓN Y PAGO'!$E$44</c:f>
              <c:strCache>
                <c:ptCount val="1"/>
                <c:pt idx="0">
                  <c:v>7,45%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{A3A3FF68-2FBB-492E-AD81-47A08DAE15D7}</c15:txfldGUID>
                  <c15:f>'APR VS RP  Y OBLIGACIÓN Y PAGO'!$E$44</c15:f>
                  <c15:dlblFieldTableCache>
                    <c:ptCount val="1"/>
                    <c:pt idx="0">
                      <c:v>7,45%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tx>
            <c:strRef>
              <c:f>'APR VS RP  Y OBLIGACIÓN Y PAGO'!$F$42</c:f>
              <c:strCache>
                <c:ptCount val="1"/>
                <c:pt idx="0">
                  <c:v>24,7%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{5929C279-A71D-4512-8ACD-B7036A8DB3CE}</c15:txfldGUID>
                  <c15:f>'APR VS RP  Y OBLIGACIÓN Y PAGO'!$F$42</c15:f>
                  <c15:dlblFieldTableCache>
                    <c:ptCount val="1"/>
                    <c:pt idx="0">
                      <c:v>24,7%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6307887493506355E-2"/>
              <c:y val="-2.5998391072446714E-2"/>
            </c:manualLayout>
          </c:layout>
          <c:tx>
            <c:strRef>
              <c:f>'APR VS RP  Y OBLIGACIÓN Y PAGO'!$F$43</c:f>
              <c:strCache>
                <c:ptCount val="1"/>
                <c:pt idx="0">
                  <c:v>13%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{88065F6C-DA35-4C91-9339-8CD8437FF24E}</c15:txfldGUID>
                  <c15:f>'APR VS RP  Y OBLIGACIÓN Y PAGO'!$F$43</c15:f>
                  <c15:dlblFieldTableCache>
                    <c:ptCount val="1"/>
                    <c:pt idx="0">
                      <c:v>13%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tx>
            <c:strRef>
              <c:f>'APR VS RP  Y OBLIGACIÓN Y PAGO'!$F$44</c:f>
              <c:strCache>
                <c:ptCount val="1"/>
                <c:pt idx="0">
                  <c:v>7,45%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{76DB683D-F918-4C1F-8652-30FEE4F20A23}</c15:txfldGUID>
                  <c15:f>'APR VS RP  Y OBLIGACIÓN Y PAGO'!$F$44</c15:f>
                  <c15:dlblFieldTableCache>
                    <c:ptCount val="1"/>
                    <c:pt idx="0">
                      <c:v>7,45%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PAGO'!$D$42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6CC-45AB-A8A4-1667F93406DB}"/>
            </c:ext>
          </c:extLst>
        </c:ser>
        <c:ser>
          <c:idx val="1"/>
          <c:order val="1"/>
          <c:tx>
            <c:strRef>
              <c:f>'APR VS RP  Y OBLIGACIÓN Y PAGO'!$D$42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E6CC-45AB-A8A4-1667F93406DB}"/>
              </c:ext>
            </c:extLst>
          </c:dPt>
          <c:dLbls>
            <c:dLbl>
              <c:idx val="0"/>
              <c:layout>
                <c:manualLayout>
                  <c:x val="9.4774110331488845E-3"/>
                  <c:y val="-4.1119484478336916E-2"/>
                </c:manualLayout>
              </c:layout>
              <c:tx>
                <c:strRef>
                  <c:f>'APR VS RP  Y OBLIGACIÓN Y PAGO'!$D$42</c:f>
                  <c:strCache>
                    <c:ptCount val="1"/>
                    <c:pt idx="0">
                      <c:v>33,90%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{FEA4BD88-BA37-4ED2-B0C8-7D6D05867AF4}</c15:txfldGUID>
                      <c15:f>'APR VS RP  Y OBLIGACIÓN Y PAGO'!$D$42</c15:f>
                      <c15:dlblFieldTableCache>
                        <c:ptCount val="1"/>
                        <c:pt idx="0">
                          <c:v>33,90%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6CC-45AB-A8A4-1667F93406DB}"/>
                </c:ext>
              </c:extLst>
            </c:dLbl>
            <c:dLbl>
              <c:idx val="1"/>
              <c:layout>
                <c:manualLayout>
                  <c:x val="3.6991734855734676E-2"/>
                  <c:y val="-7.8641320517316649E-2"/>
                </c:manualLayout>
              </c:layout>
              <c:tx>
                <c:strRef>
                  <c:f>'APR VS RP  Y OBLIGACIÓN Y PAGO'!$D$43</c:f>
                  <c:strCache>
                    <c:ptCount val="1"/>
                    <c:pt idx="0">
                      <c:v>13%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{2E1F3A4C-E5F4-4BE4-A63B-DC7D3DBFB5D1}</c15:txfldGUID>
                      <c15:f>'APR VS RP  Y OBLIGACIÓN Y PAGO'!$D$43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6CC-45AB-A8A4-1667F93406DB}"/>
                </c:ext>
              </c:extLst>
            </c:dLbl>
            <c:dLbl>
              <c:idx val="2"/>
              <c:layout>
                <c:manualLayout>
                  <c:x val="5.173499436174879E-2"/>
                  <c:y val="-1.2869966076227953E-2"/>
                </c:manualLayout>
              </c:layout>
              <c:tx>
                <c:strRef>
                  <c:f>'APR VS RP  Y OBLIGACIÓN Y PAGO'!$D$44</c:f>
                  <c:strCache>
                    <c:ptCount val="1"/>
                    <c:pt idx="0">
                      <c:v>95,96%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{1099EBD9-6D08-4991-9BA4-1C51643A2CFE}</c15:txfldGUID>
                      <c15:f>'APR VS RP  Y OBLIGACIÓN Y PAGO'!$D$44</c15:f>
                      <c15:dlblFieldTableCache>
                        <c:ptCount val="1"/>
                        <c:pt idx="0">
                          <c:v>95,96%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33825.69735237</c:v>
                </c:pt>
                <c:pt idx="1">
                  <c:v>157603.58227700001</c:v>
                </c:pt>
                <c:pt idx="2">
                  <c:v>4323130.2833689302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6CC-45AB-A8A4-1667F93406DB}"/>
            </c:ext>
          </c:extLst>
        </c:ser>
        <c:ser>
          <c:idx val="2"/>
          <c:order val="2"/>
          <c:tx>
            <c:strRef>
              <c:f>'APR VS RP  Y OBLIGACIÓN Y PAGO'!$D$42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E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0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2-E6CC-45AB-A8A4-1667F93406DB}"/>
              </c:ext>
            </c:extLst>
          </c:dPt>
          <c:dLbls>
            <c:dLbl>
              <c:idx val="0"/>
              <c:layout>
                <c:manualLayout>
                  <c:x val="1.8603237689921795E-2"/>
                  <c:y val="-2.0592024765557975E-2"/>
                </c:manualLayout>
              </c:layout>
              <c:tx>
                <c:strRef>
                  <c:f>'APR VS RP  Y OBLIGACIÓN Y PAGO'!$E$42</c:f>
                  <c:strCache>
                    <c:ptCount val="1"/>
                    <c:pt idx="0">
                      <c:v>25,9%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{B37A037C-8468-4C95-AB7B-3472F28BB53A}</c15:txfldGUID>
                      <c15:f>'APR VS RP  Y OBLIGACIÓN Y PAGO'!$E$42</c15:f>
                      <c15:dlblFieldTableCache>
                        <c:ptCount val="1"/>
                        <c:pt idx="0">
                          <c:v>25,9%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6CC-45AB-A8A4-1667F93406DB}"/>
                </c:ext>
              </c:extLst>
            </c:dLbl>
            <c:dLbl>
              <c:idx val="1"/>
              <c:layout>
                <c:manualLayout>
                  <c:x val="2.8949654156953393E-2"/>
                  <c:y val="-2.0656560451962472E-2"/>
                </c:manualLayout>
              </c:layout>
              <c:tx>
                <c:strRef>
                  <c:f>'APR VS RP  Y OBLIGACIÓN Y PAGO'!$E$43</c:f>
                  <c:strCache>
                    <c:ptCount val="1"/>
                    <c:pt idx="0">
                      <c:v>13%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{24B99A38-40BB-4100-A147-8778FD2F8979}</c15:txfldGUID>
                      <c15:f>'APR VS RP  Y OBLIGACIÓN Y PAGO'!$E$43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6CC-45AB-A8A4-1667F93406DB}"/>
                </c:ext>
              </c:extLst>
            </c:dLbl>
            <c:dLbl>
              <c:idx val="2"/>
              <c:layout>
                <c:manualLayout>
                  <c:x val="3.4573502550783196E-2"/>
                  <c:y val="-3.9191430798663093E-2"/>
                </c:manualLayout>
              </c:layout>
              <c:tx>
                <c:strRef>
                  <c:f>'APR VS RP  Y OBLIGACIÓN Y PAGO'!$E$44</c:f>
                  <c:strCache>
                    <c:ptCount val="1"/>
                    <c:pt idx="0">
                      <c:v>7,45%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{AB43AEED-9E99-4F1E-890F-51277903C15F}</c15:txfldGUID>
                      <c15:f>'APR VS RP  Y OBLIGACIÓN Y PAGO'!$E$44</c15:f>
                      <c15:dlblFieldTableCache>
                        <c:ptCount val="1"/>
                        <c:pt idx="0">
                          <c:v>7,45%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25839.823353460004</c:v>
                </c:pt>
                <c:pt idx="1">
                  <c:v>157603.58227700001</c:v>
                </c:pt>
                <c:pt idx="2">
                  <c:v>335854.59616277006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6CC-45AB-A8A4-1667F93406DB}"/>
            </c:ext>
          </c:extLst>
        </c:ser>
        <c:ser>
          <c:idx val="3"/>
          <c:order val="3"/>
          <c:tx>
            <c:strRef>
              <c:f>'APR VS RP  Y OBLIGACIÓN Y PAGO'!$D$42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A-E6CC-45AB-A8A4-1667F93406DB}"/>
              </c:ext>
            </c:extLst>
          </c:dPt>
          <c:dLbls>
            <c:dLbl>
              <c:idx val="0"/>
              <c:layout>
                <c:manualLayout>
                  <c:x val="4.1576721279954376E-2"/>
                  <c:y val="-2.0592024765557975E-2"/>
                </c:manualLayout>
              </c:layout>
              <c:tx>
                <c:strRef>
                  <c:f>'APR VS RP  Y OBLIGACIÓN Y PAGO'!$F$42</c:f>
                  <c:strCache>
                    <c:ptCount val="1"/>
                    <c:pt idx="0">
                      <c:v>24,7%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{52CF19C2-02EB-4BCB-BE02-0CFA353763EE}</c15:txfldGUID>
                      <c15:f>'APR VS RP  Y OBLIGACIÓN Y PAGO'!$F$42</c15:f>
                      <c15:dlblFieldTableCache>
                        <c:ptCount val="1"/>
                        <c:pt idx="0">
                          <c:v>24,7%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E6CC-45AB-A8A4-1667F93406DB}"/>
                </c:ext>
              </c:extLst>
            </c:dLbl>
            <c:dLbl>
              <c:idx val="1"/>
              <c:layout>
                <c:manualLayout>
                  <c:x val="5.6307887493506355E-2"/>
                  <c:y val="-2.5998391072446714E-2"/>
                </c:manualLayout>
              </c:layout>
              <c:tx>
                <c:strRef>
                  <c:f>'APR VS RP  Y OBLIGACIÓN Y PAGO'!$F$43</c:f>
                  <c:strCache>
                    <c:ptCount val="1"/>
                    <c:pt idx="0">
                      <c:v>13%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{F2EF73E2-8C1B-4994-8B40-AF235DA4CC20}</c15:txfldGUID>
                      <c15:f>'APR VS RP  Y OBLIGACIÓN Y PAGO'!$F$43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E6CC-45AB-A8A4-1667F93406DB}"/>
                </c:ext>
              </c:extLst>
            </c:dLbl>
            <c:dLbl>
              <c:idx val="2"/>
              <c:layout>
                <c:manualLayout>
                  <c:x val="5.9763932493655338E-2"/>
                  <c:y val="-2.8830843207682963E-2"/>
                </c:manualLayout>
              </c:layout>
              <c:tx>
                <c:strRef>
                  <c:f>'APR VS RP  Y OBLIGACIÓN Y PAGO'!$F$44</c:f>
                  <c:strCache>
                    <c:ptCount val="1"/>
                    <c:pt idx="0">
                      <c:v>7,45%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{60D4FCEF-37FB-41F9-8CBC-F7A770C00198}</c15:txfldGUID>
                      <c15:f>'APR VS RP  Y OBLIGACIÓN Y PAGO'!$F$44</c15:f>
                      <c15:dlblFieldTableCache>
                        <c:ptCount val="1"/>
                        <c:pt idx="0">
                          <c:v>7,45%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24693.090296460003</c:v>
                </c:pt>
                <c:pt idx="1">
                  <c:v>157603.58227700001</c:v>
                </c:pt>
                <c:pt idx="2">
                  <c:v>335667.53357077006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6CC-45AB-A8A4-1667F9340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Mayo_2022.xlsx]APR,RP´S,OBL Y PAGO FUNCIONAMIE!TablaDinámica1</c:name>
    <c:fmtId val="4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8860015369816592E-2"/>
              <c:y val="-1.705539818293525E-2"/>
            </c:manualLayout>
          </c:layout>
          <c:tx>
            <c:strRef>
              <c:f>'APR,RP´S,OBL Y PAGO FUNCIONAMIE'!$F$45</c:f>
              <c:strCache>
                <c:ptCount val="1"/>
                <c:pt idx="0">
                  <c:v>34,27%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{D127BBCA-6292-49C4-A83A-800D9D2B1EBB}</c15:txfldGUID>
                  <c15:f>'APR,RP´S,OBL Y PAGO FUNCIONAMIE'!$F$45</c15:f>
                  <c15:dlblFieldTableCache>
                    <c:ptCount val="1"/>
                    <c:pt idx="0">
                      <c:v>34,27%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1323852089949281E-2"/>
              <c:y val="-1.9522082610657722E-2"/>
            </c:manualLayout>
          </c:layout>
          <c:tx>
            <c:strRef>
              <c:f>'APR,RP´S,OBL Y PAGO FUNCIONAMIE'!$E$45</c:f>
              <c:strCache>
                <c:ptCount val="1"/>
                <c:pt idx="0">
                  <c:v>35,35%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{459C80C0-BF93-4F17-82DA-8939CC006240}</c15:txfldGUID>
                  <c15:f>'APR,RP´S,OBL Y PAGO FUNCIONAMIE'!$E$45</c15:f>
                  <c15:dlblFieldTableCache>
                    <c:ptCount val="1"/>
                    <c:pt idx="0">
                      <c:v>35,35%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2.5901445612527225E-2"/>
              <c:y val="2.7083072807642327E-3"/>
            </c:manualLayout>
          </c:layout>
          <c:tx>
            <c:strRef>
              <c:f>'APR,RP´S,OBL Y PAGO FUNCIONAMIE'!$F$44</c:f>
              <c:strCache>
                <c:ptCount val="1"/>
                <c:pt idx="0">
                  <c:v>34,95%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{F1C7C64E-1F7E-4D35-AA49-EFE45C1DB9B9}</c15:txfldGUID>
                  <c15:f>'APR,RP´S,OBL Y PAGO FUNCIONAMIE'!$F$44</c15:f>
                  <c15:dlblFieldTableCache>
                    <c:ptCount val="1"/>
                    <c:pt idx="0">
                      <c:v>34,95%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3.0757911653794146E-2"/>
              <c:y val="-8.366607617302145E-3"/>
            </c:manualLayout>
          </c:layout>
          <c:tx>
            <c:strRef>
              <c:f>'APR,RP´S,OBL Y PAGO FUNCIONAMIE'!$D$45</c:f>
              <c:strCache>
                <c:ptCount val="1"/>
                <c:pt idx="0">
                  <c:v>76,48%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{C56BFC22-DD4F-4A80-98B5-25309C5A1D3A}</c15:txfldGUID>
                  <c15:f>'APR,RP´S,OBL Y PAGO FUNCIONAMIE'!$D$45</c15:f>
                  <c15:dlblFieldTableCache>
                    <c:ptCount val="1"/>
                    <c:pt idx="0">
                      <c:v>76,48%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4.614262388517474E-2"/>
              <c:y val="-3.4605894858174342E-2"/>
            </c:manualLayout>
          </c:layout>
          <c:tx>
            <c:strRef>
              <c:f>'APR,RP´S,OBL Y PAGO FUNCIONAMIE'!$E$44</c:f>
              <c:strCache>
                <c:ptCount val="1"/>
                <c:pt idx="0">
                  <c:v>36,77%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5.49078595699437E-2"/>
                  <c:h val="3.0930552459453135E-2"/>
                </c:manualLayout>
              </c15:layout>
              <c15:dlblFieldTable>
                <c15:dlblFTEntry>
                  <c15:txfldGUID>{5F7694DB-CD15-441C-9E0B-9F5B1E7874F9}</c15:txfldGUID>
                  <c15:f>'APR,RP´S,OBL Y PAGO FUNCIONAMIE'!$E$44</c15:f>
                  <c15:dlblFieldTableCache>
                    <c:ptCount val="1"/>
                    <c:pt idx="0">
                      <c:v>36,77%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4570320738700486E-2"/>
              <c:y val="-2.4992415304230575E-2"/>
            </c:manualLayout>
          </c:layout>
          <c:tx>
            <c:strRef>
              <c:f>'APR,RP´S,OBL Y PAGO FUNCIONAMIE'!$D$44</c:f>
              <c:strCache>
                <c:ptCount val="1"/>
                <c:pt idx="0">
                  <c:v>36,77%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{DBA8D2D3-874C-4DCE-8625-92CA96C90C9B}</c15:txfldGUID>
                  <c15:f>'APR,RP´S,OBL Y PAGO FUNCIONAMIE'!$D$44</c15:f>
                  <c15:dlblFieldTableCache>
                    <c:ptCount val="1"/>
                    <c:pt idx="0">
                      <c:v>36,77%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1327041907439347E-2"/>
              <c:y val="-2.7888627305992182E-2"/>
            </c:manualLayout>
          </c:layout>
          <c:tx>
            <c:strRef>
              <c:f>'APR,RP´S,OBL Y PAGO FUNCIONAMIE'!$D$46</c:f>
              <c:strCache>
                <c:ptCount val="1"/>
                <c:pt idx="0">
                  <c:v>0,34%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{96DAF120-A540-4D57-9985-D27A060C9458}</c15:txfldGUID>
                  <c15:f>'APR,RP´S,OBL Y PAGO FUNCIONAMIE'!$D$46</c15:f>
                  <c15:dlblFieldTableCache>
                    <c:ptCount val="1"/>
                    <c:pt idx="0">
                      <c:v>0,34%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2954121648279193E-2"/>
              <c:y val="-1.0225735625909853E-1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6.4753498218513995E-3"/>
              <c:y val="-5.577738411534763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1.2963418279874331E-2"/>
              <c:y val="-1.0127309522087815E-16"/>
            </c:manualLayout>
          </c:layout>
          <c:tx>
            <c:strRef>
              <c:f>'APR,RP´S,OBL Y PAGO FUNCIONAMIE'!$F$46</c:f>
              <c:strCache>
                <c:ptCount val="1"/>
                <c:pt idx="0">
                  <c:v>0,34%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{4B9F0173-9312-4579-8523-D5C982D33FD8}</c15:txfldGUID>
                  <c15:f>'APR,RP´S,OBL Y PAGO FUNCIONAMIE'!$F$46</c15:f>
                  <c15:dlblFieldTableCache>
                    <c:ptCount val="1"/>
                    <c:pt idx="0">
                      <c:v>0,34%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tx>
            <c:strRef>
              <c:f>'APR,RP´S,OBL Y PAGO FUNCIONAMIE'!$E$46</c:f>
              <c:strCache>
                <c:ptCount val="1"/>
                <c:pt idx="0">
                  <c:v>0,34%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{DDD65823-072A-49CA-9D43-C44524CD3D10}</c15:txfldGUID>
                  <c15:f>'APR,RP´S,OBL Y PAGO FUNCIONAMIE'!$E$46</c15:f>
                  <c15:dlblFieldTableCache>
                    <c:ptCount val="1"/>
                    <c:pt idx="0">
                      <c:v>0,34%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5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2963418279874331E-2"/>
              <c:y val="-3.8668355779320797E-2"/>
            </c:manualLayout>
          </c:layout>
          <c:tx>
            <c:strRef>
              <c:f>'APR,RP´S,OBL Y PAGO FUNCIONAMIE'!$D$47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{2E14FD33-FAAD-4F8F-AC04-04B28EBA180F}</c15:txfldGUID>
                  <c15:f>'APR,RP´S,OBL Y PAGO FUNCIONAMIE'!$D$47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1342990994890039E-2"/>
              <c:y val="-5.5240508256172421E-3"/>
            </c:manualLayout>
          </c:layout>
          <c:tx>
            <c:strRef>
              <c:f>'APR,RP´S,OBL Y PAGO FUNCIONAMIE'!$E$47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{B5E93B60-2391-4DBB-B7FB-2F1B911E5095}</c15:txfldGUID>
                  <c15:f>'APR,RP´S,OBL Y PAGO FUNCIONAMIE'!$E$47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2.5926836559748662E-2"/>
              <c:y val="-5.5240508256172421E-3"/>
            </c:manualLayout>
          </c:layout>
          <c:tx>
            <c:strRef>
              <c:f>'APR,RP´S,OBL Y PAGO FUNCIONAMIE'!$F$47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{46D555C9-D781-4504-ABF3-CBF4219EDA3F}</c15:txfldGUID>
                  <c15:f>'APR,RP´S,OBL Y PAGO FUNCIONAMIE'!$F$47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FUNCIONAMIE'!$F$45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C1C-43BA-AF73-2DAD61FE14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C1C-43BA-AF73-2DAD61FE146F}"/>
              </c:ext>
            </c:extLst>
          </c:dPt>
          <c:dLbls>
            <c:dLbl>
              <c:idx val="1"/>
              <c:layout>
                <c:manualLayout>
                  <c:x val="1.2954121648279193E-2"/>
                  <c:y val="-1.022573562590985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C-43BA-AF73-2DAD61FE146F}"/>
                </c:ext>
              </c:extLst>
            </c:dLbl>
            <c:dLbl>
              <c:idx val="2"/>
              <c:layout>
                <c:manualLayout>
                  <c:x val="6.4753498218513995E-3"/>
                  <c:y val="-5.577738411534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1C-43BA-AF73-2DAD61FE14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51464.345000000001</c:v>
                </c:pt>
                <c:pt idx="1">
                  <c:v>19419.071</c:v>
                </c:pt>
                <c:pt idx="2">
                  <c:v>14851.09737</c:v>
                </c:pt>
                <c:pt idx="3">
                  <c:v>14051.472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E6F-4898-A82B-B58C66A3D72A}"/>
            </c:ext>
          </c:extLst>
        </c:ser>
        <c:ser>
          <c:idx val="1"/>
          <c:order val="1"/>
          <c:tx>
            <c:strRef>
              <c:f>'APR,RP´S,OBL Y PAGO FUNCIONAMIE'!$F$45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EE6F-4898-A82B-B58C66A3D7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E02A-417B-8088-C82007E187AB}"/>
              </c:ext>
            </c:extLst>
          </c:dPt>
          <c:dLbls>
            <c:dLbl>
              <c:idx val="0"/>
              <c:layout>
                <c:manualLayout>
                  <c:x val="1.4570320738700486E-2"/>
                  <c:y val="-2.4992415304230575E-2"/>
                </c:manualLayout>
              </c:layout>
              <c:tx>
                <c:strRef>
                  <c:f>'APR,RP´S,OBL Y PAGO FUNCIONAMIE'!$D$44</c:f>
                  <c:strCache>
                    <c:ptCount val="1"/>
                    <c:pt idx="0">
                      <c:v>36,77%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{5E1AC1D1-9CA9-4CD7-820D-0147A5E52742}</c15:txfldGUID>
                      <c15:f>'APR,RP´S,OBL Y PAGO FUNCIONAMIE'!$D$44</c15:f>
                      <c15:dlblFieldTableCache>
                        <c:ptCount val="1"/>
                        <c:pt idx="0">
                          <c:v>36,77%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E6F-4898-A82B-B58C66A3D72A}"/>
                </c:ext>
              </c:extLst>
            </c:dLbl>
            <c:dLbl>
              <c:idx val="1"/>
              <c:layout>
                <c:manualLayout>
                  <c:x val="3.0757911653794146E-2"/>
                  <c:y val="-8.366607617302145E-3"/>
                </c:manualLayout>
              </c:layout>
              <c:tx>
                <c:strRef>
                  <c:f>'APR,RP´S,OBL Y PAGO FUNCIONAMIE'!$D$45</c:f>
                  <c:strCache>
                    <c:ptCount val="1"/>
                    <c:pt idx="0">
                      <c:v>76,48%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{EFFC9921-96FD-4841-9F4A-818D7E4E3B33}</c15:txfldGUID>
                      <c15:f>'APR,RP´S,OBL Y PAGO FUNCIONAMIE'!$D$45</c15:f>
                      <c15:dlblFieldTableCache>
                        <c:ptCount val="1"/>
                        <c:pt idx="0">
                          <c:v>76,48%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E6F-4898-A82B-B58C66A3D72A}"/>
                </c:ext>
              </c:extLst>
            </c:dLbl>
            <c:dLbl>
              <c:idx val="2"/>
              <c:layout>
                <c:manualLayout>
                  <c:x val="1.1327041907439347E-2"/>
                  <c:y val="-2.7888627305992182E-2"/>
                </c:manualLayout>
              </c:layout>
              <c:tx>
                <c:strRef>
                  <c:f>'APR,RP´S,OBL Y PAGO FUNCIONAMIE'!$D$46</c:f>
                  <c:strCache>
                    <c:ptCount val="1"/>
                    <c:pt idx="0">
                      <c:v>0,34%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{BE7BBC6E-1B43-43C8-A34C-250F638C9F48}</c15:txfldGUID>
                      <c15:f>'APR,RP´S,OBL Y PAGO FUNCIONAMIE'!$D$46</c15:f>
                      <c15:dlblFieldTableCache>
                        <c:ptCount val="1"/>
                        <c:pt idx="0">
                          <c:v>0,34%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E6F-4898-A82B-B58C66A3D72A}"/>
                </c:ext>
              </c:extLst>
            </c:dLbl>
            <c:dLbl>
              <c:idx val="3"/>
              <c:layout>
                <c:manualLayout>
                  <c:x val="1.2963418279874331E-2"/>
                  <c:y val="-3.8668355779320797E-2"/>
                </c:manualLayout>
              </c:layout>
              <c:tx>
                <c:strRef>
                  <c:f>'APR,RP´S,OBL Y PAGO FUNCIONAMIE'!$D$47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{E15BB7C6-36F4-4226-B0D1-E9AFD4A86749}</c15:txfldGUID>
                      <c15:f>'APR,RP´S,OBL Y PAGO FUNCIONAMIE'!$D$47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18923.725936360002</c:v>
                </c:pt>
                <c:pt idx="1">
                  <c:v>14850.801670969999</c:v>
                </c:pt>
                <c:pt idx="2">
                  <c:v>51.169745040000002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E6F-4898-A82B-B58C66A3D72A}"/>
            </c:ext>
          </c:extLst>
        </c:ser>
        <c:ser>
          <c:idx val="2"/>
          <c:order val="2"/>
          <c:tx>
            <c:strRef>
              <c:f>'APR,RP´S,OBL Y PAGO FUNCIONAMIE'!$F$45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02A-417B-8088-C82007E187AB}"/>
              </c:ext>
            </c:extLst>
          </c:dPt>
          <c:dLbls>
            <c:dLbl>
              <c:idx val="0"/>
              <c:layout>
                <c:manualLayout>
                  <c:x val="4.614262388517474E-2"/>
                  <c:y val="-3.4605894858174342E-2"/>
                </c:manualLayout>
              </c:layout>
              <c:tx>
                <c:strRef>
                  <c:f>'APR,RP´S,OBL Y PAGO FUNCIONAMIE'!$E$44</c:f>
                  <c:strCache>
                    <c:ptCount val="1"/>
                    <c:pt idx="0">
                      <c:v>36,77%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9078595699437E-2"/>
                      <c:h val="3.0930552459453135E-2"/>
                    </c:manualLayout>
                  </c15:layout>
                  <c15:dlblFieldTable>
                    <c15:dlblFTEntry>
                      <c15:txfldGUID>{7B1C953F-FC62-47A4-921D-972A06C9E8A1}</c15:txfldGUID>
                      <c15:f>'APR,RP´S,OBL Y PAGO FUNCIONAMIE'!$E$44</c15:f>
                      <c15:dlblFieldTableCache>
                        <c:ptCount val="1"/>
                        <c:pt idx="0">
                          <c:v>36,77%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E6F-4898-A82B-B58C66A3D72A}"/>
                </c:ext>
              </c:extLst>
            </c:dLbl>
            <c:dLbl>
              <c:idx val="1"/>
              <c:layout>
                <c:manualLayout>
                  <c:x val="1.1323852089949281E-2"/>
                  <c:y val="-1.9522082610657722E-2"/>
                </c:manualLayout>
              </c:layout>
              <c:tx>
                <c:strRef>
                  <c:f>'APR,RP´S,OBL Y PAGO FUNCIONAMIE'!$E$45</c:f>
                  <c:strCache>
                    <c:ptCount val="1"/>
                    <c:pt idx="0">
                      <c:v>35,35%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{F7457846-3D94-4F21-91CB-A252AC1A4A56}</c15:txfldGUID>
                      <c15:f>'APR,RP´S,OBL Y PAGO FUNCIONAMIE'!$E$45</c15:f>
                      <c15:dlblFieldTableCache>
                        <c:ptCount val="1"/>
                        <c:pt idx="0">
                          <c:v>35,35%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E6F-4898-A82B-B58C66A3D72A}"/>
                </c:ext>
              </c:extLst>
            </c:dLbl>
            <c:dLbl>
              <c:idx val="2"/>
              <c:tx>
                <c:strRef>
                  <c:f>'APR,RP´S,OBL Y PAGO FUNCIONAMIE'!$E$46</c:f>
                  <c:strCache>
                    <c:ptCount val="1"/>
                    <c:pt idx="0">
                      <c:v>0,34%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{C4BC339C-B5F8-4FFD-89A6-C4D5F3ACC215}</c15:txfldGUID>
                      <c15:f>'APR,RP´S,OBL Y PAGO FUNCIONAMIE'!$E$46</c15:f>
                      <c15:dlblFieldTableCache>
                        <c:ptCount val="1"/>
                        <c:pt idx="0">
                          <c:v>0,34%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02A-417B-8088-C82007E187AB}"/>
                </c:ext>
              </c:extLst>
            </c:dLbl>
            <c:dLbl>
              <c:idx val="3"/>
              <c:layout>
                <c:manualLayout>
                  <c:x val="1.1342990994890039E-2"/>
                  <c:y val="-5.5240508256172421E-3"/>
                </c:manualLayout>
              </c:layout>
              <c:tx>
                <c:strRef>
                  <c:f>'APR,RP´S,OBL Y PAGO FUNCIONAMIE'!$E$47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{7CE16E20-D028-4742-B125-3D70E9F563DE}</c15:txfldGUID>
                      <c15:f>'APR,RP´S,OBL Y PAGO FUNCIONAMIE'!$E$47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18923.725936360002</c:v>
                </c:pt>
                <c:pt idx="1">
                  <c:v>6864.9276720600001</c:v>
                </c:pt>
                <c:pt idx="2">
                  <c:v>51.169745040000002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E6F-4898-A82B-B58C66A3D72A}"/>
            </c:ext>
          </c:extLst>
        </c:ser>
        <c:ser>
          <c:idx val="3"/>
          <c:order val="3"/>
          <c:tx>
            <c:strRef>
              <c:f>'APR,RP´S,OBL Y PAGO FUNCIONAMIE'!$F$45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E02A-417B-8088-C82007E187AB}"/>
              </c:ext>
            </c:extLst>
          </c:dPt>
          <c:dLbls>
            <c:dLbl>
              <c:idx val="0"/>
              <c:layout>
                <c:manualLayout>
                  <c:x val="2.5901445612527225E-2"/>
                  <c:y val="2.7083072807642327E-3"/>
                </c:manualLayout>
              </c:layout>
              <c:tx>
                <c:strRef>
                  <c:f>'APR,RP´S,OBL Y PAGO FUNCIONAMIE'!$F$44</c:f>
                  <c:strCache>
                    <c:ptCount val="1"/>
                    <c:pt idx="0">
                      <c:v>34,95%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{B10782B2-A3A8-4F3F-8EBE-3B57507EADFD}</c15:txfldGUID>
                      <c15:f>'APR,RP´S,OBL Y PAGO FUNCIONAMIE'!$F$44</c15:f>
                      <c15:dlblFieldTableCache>
                        <c:ptCount val="1"/>
                        <c:pt idx="0">
                          <c:v>34,95%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E6F-4898-A82B-B58C66A3D72A}"/>
                </c:ext>
              </c:extLst>
            </c:dLbl>
            <c:dLbl>
              <c:idx val="1"/>
              <c:layout>
                <c:manualLayout>
                  <c:x val="3.8860015369816592E-2"/>
                  <c:y val="-1.705539818293525E-2"/>
                </c:manualLayout>
              </c:layout>
              <c:tx>
                <c:strRef>
                  <c:f>'APR,RP´S,OBL Y PAGO FUNCIONAMIE'!$F$45</c:f>
                  <c:strCache>
                    <c:ptCount val="1"/>
                    <c:pt idx="0">
                      <c:v>34,27%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{FDB31208-6699-4029-9114-7C20A2175CDD}</c15:txfldGUID>
                      <c15:f>'APR,RP´S,OBL Y PAGO FUNCIONAMIE'!$F$45</c15:f>
                      <c15:dlblFieldTableCache>
                        <c:ptCount val="1"/>
                        <c:pt idx="0">
                          <c:v>34,27%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E6F-4898-A82B-B58C66A3D72A}"/>
                </c:ext>
              </c:extLst>
            </c:dLbl>
            <c:dLbl>
              <c:idx val="2"/>
              <c:layout>
                <c:manualLayout>
                  <c:x val="1.2963418279874331E-2"/>
                  <c:y val="-1.0127309522087815E-16"/>
                </c:manualLayout>
              </c:layout>
              <c:tx>
                <c:strRef>
                  <c:f>'APR,RP´S,OBL Y PAGO FUNCIONAMIE'!$F$46</c:f>
                  <c:strCache>
                    <c:ptCount val="1"/>
                    <c:pt idx="0">
                      <c:v>0,34%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{C6C86FF5-2043-4CDC-9EF8-DD0BA9247A28}</c15:txfldGUID>
                      <c15:f>'APR,RP´S,OBL Y PAGO FUNCIONAMIE'!$F$46</c15:f>
                      <c15:dlblFieldTableCache>
                        <c:ptCount val="1"/>
                        <c:pt idx="0">
                          <c:v>0,34%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02A-417B-8088-C82007E187AB}"/>
                </c:ext>
              </c:extLst>
            </c:dLbl>
            <c:dLbl>
              <c:idx val="3"/>
              <c:layout>
                <c:manualLayout>
                  <c:x val="2.5926836559748662E-2"/>
                  <c:y val="-5.5240508256172421E-3"/>
                </c:manualLayout>
              </c:layout>
              <c:tx>
                <c:strRef>
                  <c:f>'APR,RP´S,OBL Y PAGO FUNCIONAMIE'!$F$47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{0469DCD1-CB15-4EA3-804F-091E90265B7E}</c15:txfldGUID>
                      <c15:f>'APR,RP´S,OBL Y PAGO FUNCIONAMIE'!$F$47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17986.57081836</c:v>
                </c:pt>
                <c:pt idx="1">
                  <c:v>6655.3497330600003</c:v>
                </c:pt>
                <c:pt idx="2">
                  <c:v>51.169745040000002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E6F-4898-A82B-B58C66A3D7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0227727"/>
        <c:axId val="1990241039"/>
        <c:axId val="0"/>
      </c:bar3DChart>
      <c:catAx>
        <c:axId val="199022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41039"/>
        <c:crosses val="autoZero"/>
        <c:auto val="1"/>
        <c:lblAlgn val="ctr"/>
        <c:lblOffset val="100"/>
        <c:noMultiLvlLbl val="0"/>
      </c:catAx>
      <c:valAx>
        <c:axId val="199024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2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Suma de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4505182025012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4323130283368.9307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335854596162.77002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B0C-4425-80AC-ACDB10979743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C-4425-80AC-ACDB10979743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335667533570.77002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A-403E-A763-1D815D20D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Mayo_2022.xlsx]Participación por Concepto!TablaDinámica4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 mayo de 2022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0022762150937441"/>
          <c:y val="8.7685444403705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BAE0-4DF7-A809-603F7EE01DF5}"/>
              </c:ext>
            </c:extLst>
          </c:dPt>
          <c:dPt>
            <c:idx val="1"/>
            <c:bubble3D val="0"/>
            <c:explosion val="6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BAE0-4DF7-A809-603F7EE01DF5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0-4DF7-A809-603F7EE01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Concepto'!$C$9:$C$11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0-4DF7-A809-603F7EE01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 RESERVA'!$E$47</c:f>
              <c:strCache>
                <c:ptCount val="1"/>
                <c:pt idx="0">
                  <c:v>68,98%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{93B3FEE9-97AB-4FB1-8934-C28FC79CF083}</c15:txfldGUID>
                  <c15:f>'EJECUCIÓN  RESERVA'!$E$47</c15:f>
                  <c15:dlblFieldTableCache>
                    <c:ptCount val="1"/>
                    <c:pt idx="0">
                      <c:v>68,98%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RESERVA'!$E$47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55446.914647789992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RESERVA'!$E$47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RESERVA'!$E$47</c:f>
              <c:strCache>
                <c:ptCount val="1"/>
                <c:pt idx="0">
                  <c:v>PAGOS
ACUMULADOS
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strRef>
                  <c:f>'EJECUCIÓN  RESERVA'!$E$47</c:f>
                  <c:strCache>
                    <c:ptCount val="1"/>
                    <c:pt idx="0">
                      <c:v>68,98%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{7ACB54C6-8A59-45C9-9CB4-EC98056D3C8F}</c15:txfldGUID>
                      <c15:f>'EJECUCIÓN  RESERVA'!$E$47</c15:f>
                      <c15:dlblFieldTableCache>
                        <c:ptCount val="1"/>
                        <c:pt idx="0">
                          <c:v>68,98%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38248.130880069999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Mayo_2022.xlsx]EJECUCIÓN  RESERVA!TablaDinámica2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tx>
            <c:strRef>
              <c:f>'EJECUCIÓN  RESERVA'!$E$46</c:f>
              <c:strCache>
                <c:ptCount val="1"/>
                <c:pt idx="0">
                  <c:v>67,76%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{2117054D-25DA-49B2-8EAB-B160583FEE77}</c15:txfldGUID>
                  <c15:f>'EJECUCIÓN  RESERVA'!$E$46</c15:f>
                  <c15:dlblFieldTableCache>
                    <c:ptCount val="1"/>
                    <c:pt idx="0">
                      <c:v>67,76%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dLbl>
          <c:idx val="0"/>
          <c:tx>
            <c:strRef>
              <c:f>'EJECUCIÓN  RESERVA'!$E$45</c:f>
              <c:strCache>
                <c:ptCount val="1"/>
                <c:pt idx="0">
                  <c:v>97,80%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{6A69B4FD-003A-457D-8C46-8DAD9B48022B}</c15:txfldGUID>
                  <c15:f>'EJECUCIÓN  RESERVA'!$E$45</c15:f>
                  <c15:dlblFieldTableCache>
                    <c:ptCount val="1"/>
                    <c:pt idx="0">
                      <c:v>97,80%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 RESERVA'!$E$46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7-46E8-AC6C-A42DB97A7843}"/>
            </c:ext>
          </c:extLst>
        </c:ser>
        <c:ser>
          <c:idx val="1"/>
          <c:order val="1"/>
          <c:tx>
            <c:strRef>
              <c:f>'EJECUCIÓN  RESERVA'!$E$46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7-46E8-AC6C-A42DB97A7843}"/>
            </c:ext>
          </c:extLst>
        </c:ser>
        <c:ser>
          <c:idx val="2"/>
          <c:order val="2"/>
          <c:tx>
            <c:strRef>
              <c:f>'EJECUCIÓN  RESERVA'!$E$46</c:f>
              <c:strCache>
                <c:ptCount val="1"/>
                <c:pt idx="0">
                  <c:v>PAGOS
ACUMULADOS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389-4762-A993-BF496872769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389-4762-A993-BF496872769D}"/>
              </c:ext>
            </c:extLst>
          </c:dPt>
          <c:dLbls>
            <c:dLbl>
              <c:idx val="0"/>
              <c:tx>
                <c:strRef>
                  <c:f>'EJECUCIÓN  RESERVA'!$E$45</c:f>
                  <c:strCache>
                    <c:ptCount val="1"/>
                    <c:pt idx="0">
                      <c:v>97,80%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{E6412920-C349-4CFF-8046-1F309C00300F}</c15:txfldGUID>
                      <c15:f>'EJECUCIÓN  RESERVA'!$E$45</c15:f>
                      <c15:dlblFieldTableCache>
                        <c:ptCount val="1"/>
                        <c:pt idx="0">
                          <c:v>97,80%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389-4762-A993-BF496872769D}"/>
                </c:ext>
              </c:extLst>
            </c:dLbl>
            <c:dLbl>
              <c:idx val="1"/>
              <c:tx>
                <c:strRef>
                  <c:f>'EJECUCIÓN  RESERVA'!$E$46</c:f>
                  <c:strCache>
                    <c:ptCount val="1"/>
                    <c:pt idx="0">
                      <c:v>67,76%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{4A0AC195-1B26-4C9C-8718-8D2CB2A3CD5F}</c15:txfldGUID>
                      <c15:f>'EJECUCIÓN  RESERVA'!$E$46</c15:f>
                      <c15:dlblFieldTableCache>
                        <c:ptCount val="1"/>
                        <c:pt idx="0">
                          <c:v>67,76%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389-4762-A993-BF4968727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2200.20879655</c:v>
                </c:pt>
                <c:pt idx="1">
                  <c:v>36047.922083519996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7-46E8-AC6C-A42DB97A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3162799"/>
        <c:axId val="1723175279"/>
      </c:barChart>
      <c:catAx>
        <c:axId val="172316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75279"/>
        <c:crosses val="autoZero"/>
        <c:auto val="1"/>
        <c:lblAlgn val="ctr"/>
        <c:lblOffset val="100"/>
        <c:noMultiLvlLbl val="0"/>
      </c:catAx>
      <c:valAx>
        <c:axId val="172317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6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58099439566316"/>
          <c:y val="0.21411790456482391"/>
          <c:w val="0.24976548199903259"/>
          <c:h val="0.571764190870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Mayo_2022.xlsx]PART. CUENTA X PAGAR CONCEPTO 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Cuenta por Pagar Vigentes al Cierre de mayo de 2022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endPara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'PART. CUENTA X PAGAR CONCEPTO 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9C1-47E6-9063-61FAD12C23D5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E9C1-47E6-9063-61FAD12C2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'PART. CUENTA X PAGAR CONCEPTO 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'PART. CUENTA X PAGAR CONCEPTO '!$C$9:$C$11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1-47E6-9063-61FAD12C23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69850"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C3485-A233-4AE4-ABB5-5507948553DC}">
  <sheetPr codeName="Gráfico1"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'Aforo Vs Recaudo Rec Propios'!A1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chart" Target="../charts/chart5.xml"/><Relationship Id="rId6" Type="http://schemas.microsoft.com/office/2007/relationships/hdphoto" Target="../media/hdphoto2.wdp"/><Relationship Id="rId5" Type="http://schemas.openxmlformats.org/officeDocument/2006/relationships/image" Target="../media/image8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DDA9C-01EF-C5C3-A678-57D1ACBA5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1043433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de Gestión Corporativa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31 de mayo de 2022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495299</xdr:colOff>
      <xdr:row>11</xdr:row>
      <xdr:rowOff>161924</xdr:rowOff>
    </xdr:from>
    <xdr:to>
      <xdr:col>7</xdr:col>
      <xdr:colOff>9525</xdr:colOff>
      <xdr:row>31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1312923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 Ejecución Reservas a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mayo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 editAs="oneCell">
    <xdr:from>
      <xdr:col>7</xdr:col>
      <xdr:colOff>409575</xdr:colOff>
      <xdr:row>4</xdr:row>
      <xdr:rowOff>47625</xdr:rowOff>
    </xdr:from>
    <xdr:to>
      <xdr:col>9</xdr:col>
      <xdr:colOff>742949</xdr:colOff>
      <xdr:row>8</xdr:row>
      <xdr:rowOff>133831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096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76585</xdr:colOff>
      <xdr:row>28</xdr:row>
      <xdr:rowOff>173182</xdr:rowOff>
    </xdr:from>
    <xdr:to>
      <xdr:col>6</xdr:col>
      <xdr:colOff>48011</xdr:colOff>
      <xdr:row>54</xdr:row>
      <xdr:rowOff>38485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47143</xdr:colOff>
      <xdr:row>11</xdr:row>
      <xdr:rowOff>134118</xdr:rowOff>
    </xdr:from>
    <xdr:to>
      <xdr:col>7</xdr:col>
      <xdr:colOff>48106</xdr:colOff>
      <xdr:row>26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1EC5F7-5023-B12A-3037-D9764BB5A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0.63353</cdr:x>
      <cdr:y>0.8355</cdr:y>
    </cdr:from>
    <cdr:to>
      <cdr:x>0.97856</cdr:x>
      <cdr:y>0.96537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095625" y="1838325"/>
          <a:ext cx="16859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1"/>
              </a:solidFill>
            </a:rPr>
            <a:t>Cifras en millones</a:t>
          </a:r>
          <a:r>
            <a:rPr lang="en-US" sz="1100" baseline="0">
              <a:solidFill>
                <a:schemeClr val="accent1"/>
              </a:solidFill>
            </a:rPr>
            <a:t> de Pesos</a:t>
          </a:r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1148208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DCFF59-F25A-4580-B40D-77087F05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D5348C-90D5-4600-98AE-5435660CC32A}"/>
            </a:ext>
          </a:extLst>
        </xdr:cNvPr>
        <xdr:cNvSpPr/>
      </xdr:nvSpPr>
      <xdr:spPr>
        <a:xfrm>
          <a:off x="3886200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mayo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C7E67-D313-4BDA-B548-9FD49819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9525</xdr:colOff>
      <xdr:row>12</xdr:row>
      <xdr:rowOff>90487</xdr:rowOff>
    </xdr:from>
    <xdr:to>
      <xdr:col>6</xdr:col>
      <xdr:colOff>742950</xdr:colOff>
      <xdr:row>32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FAD7EB-D3B4-3828-892A-033511F50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928075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845C8F-1F6F-4BF4-B006-2B676484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3212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92AB5CA-C827-4C2E-9F97-C76E5B70D5E8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mayo de 2022</a:t>
          </a:r>
        </a:p>
      </xdr:txBody>
    </xdr:sp>
    <xdr:clientData/>
  </xdr:oneCellAnchor>
  <xdr:twoCellAnchor editAs="oneCell">
    <xdr:from>
      <xdr:col>8</xdr:col>
      <xdr:colOff>44996</xdr:colOff>
      <xdr:row>3</xdr:row>
      <xdr:rowOff>96212</xdr:rowOff>
    </xdr:from>
    <xdr:to>
      <xdr:col>12</xdr:col>
      <xdr:colOff>685223</xdr:colOff>
      <xdr:row>10</xdr:row>
      <xdr:rowOff>115455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A7AA1-B250-4A19-807B-CD6F9783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890" y="673485"/>
          <a:ext cx="1400302" cy="13662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740833</xdr:colOff>
      <xdr:row>12</xdr:row>
      <xdr:rowOff>162983</xdr:rowOff>
    </xdr:from>
    <xdr:to>
      <xdr:col>7</xdr:col>
      <xdr:colOff>355986</xdr:colOff>
      <xdr:row>27</xdr:row>
      <xdr:rowOff>19819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1DAE07-578D-2800-D4B6-C54EE7DD0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37619</xdr:colOff>
      <xdr:row>29</xdr:row>
      <xdr:rowOff>86879</xdr:rowOff>
    </xdr:from>
    <xdr:to>
      <xdr:col>5</xdr:col>
      <xdr:colOff>574387</xdr:colOff>
      <xdr:row>55</xdr:row>
      <xdr:rowOff>48971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22CAB3-100A-6864-6DAA-A3B0869E1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1529208</xdr:colOff>
      <xdr:row>1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1628774</xdr:colOff>
      <xdr:row>0</xdr:row>
      <xdr:rowOff>123825</xdr:rowOff>
    </xdr:from>
    <xdr:ext cx="8201025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199" y="123825"/>
          <a:ext cx="8201025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Gestión Corporativa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mayo de 2022</a:t>
          </a:r>
        </a:p>
      </xdr:txBody>
    </xdr:sp>
    <xdr:clientData/>
  </xdr:oneCellAnchor>
  <xdr:twoCellAnchor editAs="oneCell">
    <xdr:from>
      <xdr:col>0</xdr:col>
      <xdr:colOff>476250</xdr:colOff>
      <xdr:row>23</xdr:row>
      <xdr:rowOff>180975</xdr:rowOff>
    </xdr:from>
    <xdr:to>
      <xdr:col>1</xdr:col>
      <xdr:colOff>5086350</xdr:colOff>
      <xdr:row>28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029575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48162</xdr:colOff>
      <xdr:row>8</xdr:row>
      <xdr:rowOff>400050</xdr:rowOff>
    </xdr:from>
    <xdr:to>
      <xdr:col>1</xdr:col>
      <xdr:colOff>171987</xdr:colOff>
      <xdr:row>10</xdr:row>
      <xdr:rowOff>323850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7" y="219075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48163</xdr:colOff>
      <xdr:row>14</xdr:row>
      <xdr:rowOff>9525</xdr:rowOff>
    </xdr:from>
    <xdr:ext cx="1238250" cy="83820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9629775</xdr:colOff>
      <xdr:row>7</xdr:row>
      <xdr:rowOff>371475</xdr:rowOff>
    </xdr:from>
    <xdr:to>
      <xdr:col>1</xdr:col>
      <xdr:colOff>10125075</xdr:colOff>
      <xdr:row>9</xdr:row>
      <xdr:rowOff>114300</xdr:rowOff>
    </xdr:to>
    <xdr:pic>
      <xdr:nvPicPr>
        <xdr:cNvPr id="9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7049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7305675</xdr:colOff>
      <xdr:row>8</xdr:row>
      <xdr:rowOff>419100</xdr:rowOff>
    </xdr:from>
    <xdr:to>
      <xdr:col>1</xdr:col>
      <xdr:colOff>7800975</xdr:colOff>
      <xdr:row>10</xdr:row>
      <xdr:rowOff>161925</xdr:rowOff>
    </xdr:to>
    <xdr:pic>
      <xdr:nvPicPr>
        <xdr:cNvPr id="10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2098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10525125</xdr:colOff>
      <xdr:row>9</xdr:row>
      <xdr:rowOff>419100</xdr:rowOff>
    </xdr:from>
    <xdr:to>
      <xdr:col>1</xdr:col>
      <xdr:colOff>11020425</xdr:colOff>
      <xdr:row>11</xdr:row>
      <xdr:rowOff>161925</xdr:rowOff>
    </xdr:to>
    <xdr:pic>
      <xdr:nvPicPr>
        <xdr:cNvPr id="11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6670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8181975</xdr:colOff>
      <xdr:row>10</xdr:row>
      <xdr:rowOff>400050</xdr:rowOff>
    </xdr:from>
    <xdr:to>
      <xdr:col>1</xdr:col>
      <xdr:colOff>8677275</xdr:colOff>
      <xdr:row>12</xdr:row>
      <xdr:rowOff>142875</xdr:rowOff>
    </xdr:to>
    <xdr:pic>
      <xdr:nvPicPr>
        <xdr:cNvPr id="12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105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8753475</xdr:colOff>
      <xdr:row>13</xdr:row>
      <xdr:rowOff>381000</xdr:rowOff>
    </xdr:from>
    <xdr:to>
      <xdr:col>1</xdr:col>
      <xdr:colOff>9248775</xdr:colOff>
      <xdr:row>15</xdr:row>
      <xdr:rowOff>123825</xdr:rowOff>
    </xdr:to>
    <xdr:pic>
      <xdr:nvPicPr>
        <xdr:cNvPr id="13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44577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6229350</xdr:colOff>
      <xdr:row>14</xdr:row>
      <xdr:rowOff>381000</xdr:rowOff>
    </xdr:from>
    <xdr:to>
      <xdr:col>1</xdr:col>
      <xdr:colOff>6724650</xdr:colOff>
      <xdr:row>16</xdr:row>
      <xdr:rowOff>123825</xdr:rowOff>
    </xdr:to>
    <xdr:pic>
      <xdr:nvPicPr>
        <xdr:cNvPr id="14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49149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48163</xdr:colOff>
      <xdr:row>19</xdr:row>
      <xdr:rowOff>9525</xdr:rowOff>
    </xdr:from>
    <xdr:ext cx="1238250" cy="838200"/>
    <xdr:pic>
      <xdr:nvPicPr>
        <xdr:cNvPr id="15" name="Imagen 14">
          <a:extLst>
            <a:ext uri="{FF2B5EF4-FFF2-40B4-BE49-F238E27FC236}">
              <a16:creationId xmlns:a16="http://schemas.microsoft.com/office/drawing/2014/main" id="{6B5B2787-6459-4156-A14A-07103BE85D7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10182225</xdr:colOff>
      <xdr:row>18</xdr:row>
      <xdr:rowOff>438150</xdr:rowOff>
    </xdr:from>
    <xdr:to>
      <xdr:col>1</xdr:col>
      <xdr:colOff>10677525</xdr:colOff>
      <xdr:row>20</xdr:row>
      <xdr:rowOff>180975</xdr:rowOff>
    </xdr:to>
    <xdr:pic>
      <xdr:nvPicPr>
        <xdr:cNvPr id="16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FBE764-B396-4042-AF2C-B3A6C74608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6534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6715125</xdr:colOff>
      <xdr:row>19</xdr:row>
      <xdr:rowOff>400050</xdr:rowOff>
    </xdr:from>
    <xdr:to>
      <xdr:col>1</xdr:col>
      <xdr:colOff>7210425</xdr:colOff>
      <xdr:row>21</xdr:row>
      <xdr:rowOff>142875</xdr:rowOff>
    </xdr:to>
    <xdr:pic>
      <xdr:nvPicPr>
        <xdr:cNvPr id="17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1037F0-D3CF-4F75-B8F9-6A51B245B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5959928</xdr:colOff>
      <xdr:row>20</xdr:row>
      <xdr:rowOff>381000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CFE50D-14FC-1B13-FCDF-3328260449DA}"/>
            </a:ext>
          </a:extLst>
        </xdr:cNvPr>
        <xdr:cNvSpPr txBox="1"/>
      </xdr:nvSpPr>
      <xdr:spPr>
        <a:xfrm>
          <a:off x="7075714" y="772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161925</xdr:rowOff>
    </xdr:from>
    <xdr:to>
      <xdr:col>7</xdr:col>
      <xdr:colOff>247650</xdr:colOff>
      <xdr:row>36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9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mayo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5</xdr:col>
      <xdr:colOff>440055</xdr:colOff>
      <xdr:row>107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0.69385</cdr:x>
      <cdr:y>0.91503</cdr:y>
    </cdr:from>
    <cdr:to>
      <cdr:x>0.96257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1B3752C-34EE-4853-91C4-36B20CEEF4A5}"/>
            </a:ext>
          </a:extLst>
        </cdr:cNvPr>
        <cdr:cNvSpPr txBox="1"/>
      </cdr:nvSpPr>
      <cdr:spPr>
        <a:xfrm xmlns:a="http://schemas.openxmlformats.org/drawingml/2006/main">
          <a:off x="4943474" y="4000500"/>
          <a:ext cx="1914525" cy="371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mayo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0</xdr:col>
      <xdr:colOff>504821</xdr:colOff>
      <xdr:row>11</xdr:row>
      <xdr:rowOff>133350</xdr:rowOff>
    </xdr:from>
    <xdr:to>
      <xdr:col>12</xdr:col>
      <xdr:colOff>485774</xdr:colOff>
      <xdr:row>37</xdr:row>
      <xdr:rowOff>114299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504821" y="2228850"/>
          <a:ext cx="11080085" cy="4933949"/>
          <a:chOff x="476246" y="2324100"/>
          <a:chExt cx="10982328" cy="4933949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76246" y="23241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400051</xdr:colOff>
      <xdr:row>9</xdr:row>
      <xdr:rowOff>85725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504821</xdr:colOff>
      <xdr:row>11</xdr:row>
      <xdr:rowOff>133350</xdr:rowOff>
    </xdr:from>
    <xdr:to>
      <xdr:col>1</xdr:col>
      <xdr:colOff>226041</xdr:colOff>
      <xdr:row>12</xdr:row>
      <xdr:rowOff>121734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EF1EE2F-F644-4B3E-9B06-62AA8F376A1D}"/>
            </a:ext>
          </a:extLst>
        </xdr:cNvPr>
        <xdr:cNvSpPr txBox="1"/>
      </xdr:nvSpPr>
      <xdr:spPr>
        <a:xfrm>
          <a:off x="504821" y="2177740"/>
          <a:ext cx="487866" cy="174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 b="1"/>
            <a:t>455%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1600200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166634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2747529</xdr:colOff>
      <xdr:row>0</xdr:row>
      <xdr:rowOff>134216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41097" y="134216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mayo de 2022</a:t>
          </a:r>
        </a:p>
      </xdr:txBody>
    </xdr:sp>
    <xdr:clientData/>
  </xdr:one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242455</xdr:colOff>
      <xdr:row>12</xdr:row>
      <xdr:rowOff>865</xdr:rowOff>
    </xdr:from>
    <xdr:to>
      <xdr:col>5</xdr:col>
      <xdr:colOff>883227</xdr:colOff>
      <xdr:row>35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E5FF625-6B9B-148C-FE1B-2E60EDFF7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6</xdr:col>
      <xdr:colOff>561975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481458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1314450</xdr:colOff>
      <xdr:row>0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mayo de 2022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0.7624</cdr:x>
      <cdr:y>0.90754</cdr:y>
    </cdr:from>
    <cdr:to>
      <cdr:x>0.98501</cdr:x>
      <cdr:y>0.9781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05C195F-B02C-4D96-AEB9-DF120BD90A31}"/>
            </a:ext>
          </a:extLst>
        </cdr:cNvPr>
        <cdr:cNvSpPr txBox="1"/>
      </cdr:nvSpPr>
      <cdr:spPr>
        <a:xfrm xmlns:a="http://schemas.openxmlformats.org/drawingml/2006/main">
          <a:off x="6296024" y="3552823"/>
          <a:ext cx="18383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22537615741" createdVersion="6" refreshedVersion="8" minRefreshableVersion="3" recordCount="2" xr:uid="{00000000-000A-0000-FFFF-FFFF15000000}">
  <cacheSource type="worksheet">
    <worksheetSource ref="B8:C10" sheet="Reservas Presupuestales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0">
      <sharedItems containsSemiMixedTypes="0" containsString="0" containsNumber="1" minValue="2249.6486331999999" maxValue="53197.26601458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22537962964" createdVersion="8" refreshedVersion="8" minRefreshableVersion="3" recordCount="35" xr:uid="{43C55DC2-2A1A-4A14-87E7-DE790057C0A3}">
  <cacheSource type="worksheet">
    <worksheetSource ref="B1:H36" sheet="INVERSIÓN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"/>
        <s v="CONTROL Y SEGUIMIENTO A LA OPERACIÓN DE LOS AEROPUERTOS CONCESIONADOS  NACIONAL"/>
        <s v="APOYO ESTATAL A LOS AEROPUERTOS A NIVEL NACIONAL  NACIONAL"/>
        <s v="REHABILITACIÓN CONSTRUCCIÓN Y MANTENIMIENTO DE LA RED FÉRREA A NIVEL NACIONAL  NACIONAL"/>
        <s v="CONTROL Y SEGUIMIENTO A LA OPERACIÓN DE LAS VÍAS FÉRREAS  NACIONAL"/>
        <s v="APOYO ESTATAL A LOS PUERTOS A NIVEL NACIONAL   NACIONAL"/>
        <s v="CONTROL Y SEGUIMIENTO A LA OPERACIÓN DE LOS PUERTOS CONCESIONADOS   NACIONAL"/>
        <s v="CONTROL Y SEGUIMIENTO A LAS VIAS FLUVIALE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4">
      <sharedItems containsSemiMixedTypes="0" containsString="0" containsNumber="1" containsInteger="1" minValue="200000000" maxValue="326484319237"/>
    </cacheField>
    <cacheField name="CERTIFICADOS_x000a_ ACUMULADOS" numFmtId="4">
      <sharedItems containsSemiMixedTypes="0" containsString="0" containsNumber="1" minValue="144566687" maxValue="326484319237"/>
    </cacheField>
    <cacheField name="COMPROMISOS_x000a_ ACUMULADOS" numFmtId="4">
      <sharedItems containsSemiMixedTypes="0" containsString="0" containsNumber="1" minValue="79901202.659999996" maxValue="326484319237"/>
    </cacheField>
    <cacheField name="OBLIGACIONES_x000a_ ACUMULADAS" numFmtId="4">
      <sharedItems containsSemiMixedTypes="0" containsString="0" containsNumber="1" minValue="0" maxValue="65829708441"/>
    </cacheField>
    <cacheField name="PAGOS_x000a_ ACUMULADOS" numFmtId="4">
      <sharedItems containsSemiMixedTypes="0" containsString="0" containsNumber="1" minValue="0" maxValue="658297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22538425926" createdVersion="6" refreshedVersion="8" minRefreshableVersion="3" recordCount="2" xr:uid="{00000000-000A-0000-FFFF-FFFF12000000}">
  <cacheSource type="worksheet">
    <worksheetSource ref="B2:E4" sheet="Reservas Presupuestales"/>
  </cacheSource>
  <cacheFields count="4">
    <cacheField name="DENOMINACIÓN DEL CÓDIGO PRESUPUESTAL_x000a_" numFmtId="0">
      <sharedItems count="3">
        <s v="A-FUNCIONAMIENTO"/>
        <s v="C-INVERSIÓN"/>
        <s v="B-INVERSIÓN" u="1"/>
      </sharedItems>
    </cacheField>
    <cacheField name="RESERVAS CONSTITUIDAS_x000a_(1)" numFmtId="164">
      <sharedItems containsSemiMixedTypes="0" containsString="0" containsNumber="1" minValue="2249.6486331999999" maxValue="53197.266014589994"/>
    </cacheField>
    <cacheField name="CANCELACIONES RESERVAS PRESUPUESTALES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2200.20879655" maxValue="36047.92208351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2253935185" createdVersion="8" refreshedVersion="8" minRefreshableVersion="3" recordCount="2" xr:uid="{5CAAD5DA-7FE5-4B09-911A-9449B72E6A2D}">
  <cacheSource type="worksheet">
    <worksheetSource ref="B8:C10" sheet="CXP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CXP VIGENTE" numFmtId="0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2254039352" createdVersion="6" refreshedVersion="8" minRefreshableVersion="3" recordCount="7" xr:uid="{00000000-000A-0000-FFFF-FFFF21000000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8">
      <sharedItems containsSemiMixedTypes="0" containsString="0" containsNumber="1" minValue="14051.472" maxValue="4505182.0250120005"/>
    </cacheField>
    <cacheField name="CERTIFICADOS_x000a_ ACUMULADOS" numFmtId="168">
      <sharedItems containsSemiMixedTypes="0" containsString="0" containsNumber="1" minValue="0" maxValue="4340863.9743114803"/>
    </cacheField>
    <cacheField name="COMPROMISOS_x000a_ ACUMULADOS" numFmtId="168">
      <sharedItems containsSemiMixedTypes="0" containsString="0" containsNumber="1" minValue="0" maxValue="4323130.2833689302"/>
    </cacheField>
    <cacheField name="OBLIGACIONES_x000a_ ACUMULADAS" numFmtId="168">
      <sharedItems containsSemiMixedTypes="0" containsString="0" containsNumber="1" minValue="0" maxValue="335854.59616277006"/>
    </cacheField>
    <cacheField name="PAGOS_x000a_A CUMULADOS" numFmtId="168">
      <sharedItems containsSemiMixedTypes="0" containsString="0" containsNumber="1" minValue="0" maxValue="335667.53357077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4.368232870373" createdVersion="8" refreshedVersion="8" minRefreshableVersion="3" recordCount="2" xr:uid="{FF0EDD7A-82B8-4566-9084-31FDF2F0A7EF}">
  <cacheSource type="worksheet">
    <worksheetSource ref="B2:E4" sheet="CXP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CXP CONSTITUIDAS_x000a_(1)" numFmtId="164">
      <sharedItems containsSemiMixedTypes="0" containsString="0" containsNumber="1" minValue="182.428674" maxValue="7893.7849103999997"/>
    </cacheField>
    <cacheField name="CANCELACIONES CXP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182.428674" maxValue="6858.440499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</r>
  <r>
    <x v="1"/>
    <n v="53197.2660145899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38"/>
    <x v="0"/>
    <n v="199229942693"/>
    <n v="199229942693"/>
    <n v="199229942693"/>
    <n v="667460180"/>
    <n v="667460180"/>
  </r>
  <r>
    <s v="C-2401-0600-54"/>
    <x v="1"/>
    <n v="3111246158"/>
    <n v="3111246158"/>
    <n v="3111246158"/>
    <n v="0"/>
    <n v="0"/>
  </r>
  <r>
    <s v="C-2401-0600-59"/>
    <x v="2"/>
    <n v="267568660974"/>
    <n v="267568660974"/>
    <n v="267568660974"/>
    <n v="515340818"/>
    <n v="515340818"/>
  </r>
  <r>
    <s v="C-2401-0600-60"/>
    <x v="3"/>
    <n v="175859178607"/>
    <n v="175859178607"/>
    <n v="175859178607"/>
    <n v="589163443"/>
    <n v="589163443"/>
  </r>
  <r>
    <s v="C-2401-0600-61"/>
    <x v="4"/>
    <n v="253083219752"/>
    <n v="253083219752"/>
    <n v="253083219752"/>
    <n v="8076357952"/>
    <n v="8076357952"/>
  </r>
  <r>
    <s v="C-2401-0600-62"/>
    <x v="5"/>
    <n v="243923443489"/>
    <n v="243923443489"/>
    <n v="243923443489"/>
    <n v="21653320129"/>
    <n v="21653320129"/>
  </r>
  <r>
    <s v="C-2401-0600-63"/>
    <x v="6"/>
    <n v="173754342655"/>
    <n v="173754342655"/>
    <n v="173754342655"/>
    <n v="26218470693"/>
    <n v="26218470693"/>
  </r>
  <r>
    <s v="C-2401-0600-64"/>
    <x v="7"/>
    <n v="188036887431"/>
    <n v="188036887431"/>
    <n v="188036887431"/>
    <n v="31914916292"/>
    <n v="31914916292"/>
  </r>
  <r>
    <s v="C-2401-0600-65"/>
    <x v="8"/>
    <n v="230526549416"/>
    <n v="230526549416"/>
    <n v="230526549416"/>
    <n v="27184528940"/>
    <n v="27184528940"/>
  </r>
  <r>
    <s v="C-2401-0600-66"/>
    <x v="9"/>
    <n v="12654096592"/>
    <n v="11854015066.5"/>
    <n v="11161664019.690001"/>
    <n v="3439259072.0799999"/>
    <n v="3391591966.0799999"/>
  </r>
  <r>
    <s v="C-2401-0600-67"/>
    <x v="10"/>
    <n v="222571821813"/>
    <n v="222571821813"/>
    <n v="222571821813"/>
    <n v="7839829655"/>
    <n v="7839829655"/>
  </r>
  <r>
    <s v="C-2401-0600-68"/>
    <x v="11"/>
    <n v="256174672458"/>
    <n v="256174672458"/>
    <n v="256174672458"/>
    <n v="783848182"/>
    <n v="783848182"/>
  </r>
  <r>
    <s v="C-2401-0600-69"/>
    <x v="12"/>
    <n v="133566456234"/>
    <n v="133566456234"/>
    <n v="133566456234"/>
    <n v="426302018"/>
    <n v="426302018"/>
  </r>
  <r>
    <s v="C-2401-0600-70"/>
    <x v="13"/>
    <n v="92126982346"/>
    <n v="92126982346"/>
    <n v="92126982346"/>
    <n v="308643829"/>
    <n v="308643829"/>
  </r>
  <r>
    <s v="C-2401-0600-71"/>
    <x v="14"/>
    <n v="177242188803"/>
    <n v="177242188803"/>
    <n v="177242188803"/>
    <n v="12868469971"/>
    <n v="12868469971"/>
  </r>
  <r>
    <s v="C-2401-0600-72"/>
    <x v="15"/>
    <n v="186661572672"/>
    <n v="186661572672"/>
    <n v="186661572672"/>
    <n v="65829708441"/>
    <n v="65829708441"/>
  </r>
  <r>
    <s v="C-2401-0600-73"/>
    <x v="16"/>
    <n v="217966528302"/>
    <n v="217966528302"/>
    <n v="217966528302"/>
    <n v="35582322411"/>
    <n v="35582322411"/>
  </r>
  <r>
    <s v="C-2401-0600-74"/>
    <x v="17"/>
    <n v="264689746048"/>
    <n v="264689746048"/>
    <n v="264689746048"/>
    <n v="18890851579"/>
    <n v="18890851579"/>
  </r>
  <r>
    <s v="C-2401-0600-75"/>
    <x v="18"/>
    <n v="141607661383"/>
    <n v="141607661383"/>
    <n v="141607661383"/>
    <n v="35860807678"/>
    <n v="35860807678"/>
  </r>
  <r>
    <s v="C-2401-0600-76"/>
    <x v="19"/>
    <n v="326484319237"/>
    <n v="326484319237"/>
    <n v="326484319237"/>
    <n v="18896410145"/>
    <n v="18896410145"/>
  </r>
  <r>
    <s v="C-2401-0600-77"/>
    <x v="20"/>
    <n v="103270216578"/>
    <n v="103270216578"/>
    <n v="103270216578"/>
    <n v="2037283578"/>
    <n v="2037283578"/>
  </r>
  <r>
    <s v="C-2401-0600-78"/>
    <x v="21"/>
    <n v="323578411182"/>
    <n v="323578411182"/>
    <n v="323578411182"/>
    <n v="1121067275"/>
    <n v="1121067275"/>
  </r>
  <r>
    <s v="C-2401-0600-79"/>
    <x v="22"/>
    <n v="53127095469"/>
    <n v="53127095469"/>
    <n v="53127095469"/>
    <n v="0"/>
    <n v="0"/>
  </r>
  <r>
    <s v="C-2401-0600-80"/>
    <x v="23"/>
    <n v="105000000000"/>
    <n v="4357331701.8699999"/>
    <n v="2199548525.96"/>
    <n v="715167733.46000004"/>
    <n v="715167733.46000004"/>
  </r>
  <r>
    <s v="C-2403-0600-4"/>
    <x v="24"/>
    <n v="2257022926"/>
    <n v="2032934127.5"/>
    <n v="1988051121.6400001"/>
    <n v="674609824.63999999"/>
    <n v="626917187.63999999"/>
  </r>
  <r>
    <s v="C-2403-0600-5"/>
    <x v="25"/>
    <n v="3785000000"/>
    <n v="2088011826"/>
    <n v="2088011826"/>
    <n v="0"/>
    <n v="0"/>
  </r>
  <r>
    <s v="C-2404-0600-2"/>
    <x v="26"/>
    <n v="76235881312"/>
    <n v="49002053305"/>
    <n v="48135153984"/>
    <n v="5967172210.8000002"/>
    <n v="5967172210.8000002"/>
  </r>
  <r>
    <s v="C-2404-0600-4"/>
    <x v="27"/>
    <n v="1124097372"/>
    <n v="900206198"/>
    <n v="850941931.99000001"/>
    <n v="276202846.99000001"/>
    <n v="269703332.99000001"/>
  </r>
  <r>
    <s v="C-2405-0600-2"/>
    <x v="28"/>
    <n v="1000000000"/>
    <n v="874002500"/>
    <n v="367250432"/>
    <n v="0"/>
    <n v="0"/>
  </r>
  <r>
    <s v="C-2405-0600-4"/>
    <x v="29"/>
    <n v="3056837754"/>
    <n v="2887620760"/>
    <n v="2795559471"/>
    <n v="870672361.20000005"/>
    <n v="850028334.20000005"/>
  </r>
  <r>
    <s v="C-2406-0600-1"/>
    <x v="30"/>
    <n v="907945356"/>
    <n v="155805484"/>
    <n v="151684501.33000001"/>
    <n v="55258282.82"/>
    <n v="55258282.82"/>
  </r>
  <r>
    <s v="C-2499-0600-7"/>
    <x v="31"/>
    <n v="200000000"/>
    <n v="144566687"/>
    <n v="79901202.659999996"/>
    <n v="28386757.66"/>
    <n v="24298309.66"/>
  </r>
  <r>
    <s v="C-2499-0600-8"/>
    <x v="32"/>
    <n v="58800000000"/>
    <n v="28076102349.82"/>
    <n v="15001329664.83"/>
    <n v="4466042110.29"/>
    <n v="4424144332.29"/>
  </r>
  <r>
    <s v="C-2499-0600-9"/>
    <x v="33"/>
    <n v="5000000000"/>
    <n v="3419411389.79"/>
    <n v="3239307873.0799999"/>
    <n v="1802598510.0799999"/>
    <n v="1786712122.0799999"/>
  </r>
  <r>
    <s v="C-2499-0600-10"/>
    <x v="34"/>
    <n v="1000000000"/>
    <n v="910769216"/>
    <n v="910735114.75"/>
    <n v="294123243.75"/>
    <n v="291436549.7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  <n v="0"/>
    <n v="2200.20879655"/>
  </r>
  <r>
    <x v="1"/>
    <n v="53197.266014589994"/>
    <n v="0"/>
    <n v="36047.92208351999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</r>
  <r>
    <x v="1"/>
    <n v="182.42867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99785.985369999995"/>
    <n v="65628.170666089994"/>
    <n v="33825.69735237"/>
    <n v="25839.823353460004"/>
    <n v="24693.090296460003"/>
  </r>
  <r>
    <s v="A-01"/>
    <x v="1"/>
    <n v="51464.345000000001"/>
    <n v="49182.286999999997"/>
    <n v="18923.725936360002"/>
    <n v="18923.725936360002"/>
    <n v="17986.57081836"/>
  </r>
  <r>
    <s v="A-02"/>
    <x v="2"/>
    <n v="19419.071"/>
    <n v="16203.36966609"/>
    <n v="14850.801670969999"/>
    <n v="6864.9276720600001"/>
    <n v="6655.3497330600003"/>
  </r>
  <r>
    <s v="A-03"/>
    <x v="3"/>
    <n v="14851.09737"/>
    <n v="242.51400000000001"/>
    <n v="51.169745040000002"/>
    <n v="51.169745040000002"/>
    <n v="51.169745040000002"/>
  </r>
  <r>
    <s v="A-08"/>
    <x v="4"/>
    <n v="14051.472"/>
    <n v="0"/>
    <n v="0"/>
    <n v="0"/>
    <n v="0"/>
  </r>
  <r>
    <s v="B"/>
    <x v="5"/>
    <n v="1167604.3350470001"/>
    <n v="157603.58227700001"/>
    <n v="157603.58227700001"/>
    <n v="157603.58227700001"/>
    <n v="157603.58227700001"/>
  </r>
  <r>
    <s v="C"/>
    <x v="6"/>
    <n v="4505182.0250120005"/>
    <n v="4340863.9743114803"/>
    <n v="4323130.2833689302"/>
    <n v="335854.59616277006"/>
    <n v="335667.5335707700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  <n v="0"/>
    <n v="6858.4404993999997"/>
  </r>
  <r>
    <x v="1"/>
    <n v="182.428674"/>
    <n v="0"/>
    <n v="182.4286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6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8"/>
  </dataFields>
  <formats count="1">
    <format dxfId="63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C2ADB7-6F79-45D5-AB1F-2135A759B712}" name="TablaDinámica13" cacheId="7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J3:L4" firstHeaderRow="0" firstDataRow="1" firstDataCol="0"/>
  <pivotFields count="4">
    <pivotField showAll="0"/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uma de CXP CONSTITUIDAS_x000a_(1)" fld="1" baseField="0" baseItem="0"/>
    <dataField name="Suma de CANCELACIONES CXP_x000a_ (2)" fld="2" baseField="0" baseItem="0"/>
    <dataField name="Suma de TOTAL PAGOS_x000a_ACUMULADOS_x000a_(5)" fld="3" baseField="0" baseItem="0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6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2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62">
      <pivotArea outline="0" fieldPosition="0">
        <references count="1">
          <reference field="4294967294" count="1">
            <x v="0"/>
          </reference>
        </references>
      </pivotArea>
    </format>
    <format dxfId="61">
      <pivotArea outline="0" fieldPosition="0">
        <references count="1">
          <reference field="4294967294" count="1">
            <x v="2"/>
          </reference>
        </references>
      </pivotArea>
    </format>
    <format dxfId="60">
      <pivotArea outline="0" fieldPosition="0">
        <references count="1">
          <reference field="4294967294" count="1">
            <x v="3"/>
          </reference>
        </references>
      </pivotArea>
    </format>
    <format dxfId="59">
      <pivotArea outline="0" fieldPosition="0">
        <references count="1">
          <reference field="4294967294" count="1">
            <x v="0"/>
          </reference>
        </references>
      </pivotArea>
    </format>
    <format dxfId="58">
      <pivotArea outline="0" fieldPosition="0">
        <references count="1">
          <reference field="4294967294" count="1">
            <x v="2"/>
          </reference>
        </references>
      </pivotArea>
    </format>
    <format dxfId="57">
      <pivotArea outline="0" fieldPosition="0">
        <references count="1">
          <reference field="4294967294" count="1">
            <x v="3"/>
          </reference>
        </references>
      </pivotArea>
    </format>
    <format dxfId="56">
      <pivotArea outline="0" fieldPosition="0">
        <references count="1">
          <reference field="4294967294" count="1">
            <x v="0"/>
          </reference>
        </references>
      </pivotArea>
    </format>
    <format dxfId="55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5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2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1">
      <pivotArea outline="0" fieldPosition="0">
        <references count="1">
          <reference field="4294967294" count="1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">
      <pivotArea outline="0" collapsedLevelsAreSubtotals="1" fieldPosition="0"/>
    </format>
  </formats>
  <chartFormats count="13">
    <chartFormat chart="29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5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53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54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55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29" format="5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5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5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59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6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61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62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63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6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5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48">
      <pivotArea dataOnly="0" labelOnly="1" fieldPosition="0">
        <references count="1">
          <reference field="1" count="1">
            <x v="4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">
      <pivotArea outline="0" collapsedLevelsAreSubtotals="1" fieldPosition="0"/>
    </format>
  </formats>
  <chartFormats count="44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4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44" format="5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44" format="6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44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4" format="8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44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4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44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4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4" format="13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44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44" format="15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44" format="1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4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DC81A-63C4-4529-BFC8-329A0A6E8EA0}" name="TablaDinámica1" cacheId="6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36">
        <item x="1"/>
        <item x="26"/>
        <item x="28"/>
        <item x="31"/>
        <item x="32"/>
        <item x="33"/>
        <item x="34"/>
        <item x="2"/>
        <item x="3"/>
        <item x="4"/>
        <item x="6"/>
        <item x="7"/>
        <item x="8"/>
        <item x="9"/>
        <item x="10"/>
        <item x="14"/>
        <item x="16"/>
        <item x="17"/>
        <item x="18"/>
        <item x="19"/>
        <item x="20"/>
        <item x="22"/>
        <item x="29"/>
        <item x="0"/>
        <item x="5"/>
        <item x="11"/>
        <item x="12"/>
        <item x="13"/>
        <item x="15"/>
        <item x="21"/>
        <item x="24"/>
        <item x="27"/>
        <item x="23"/>
        <item x="25"/>
        <item x="30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40">
      <pivotArea collapsedLevelsAreSubtotals="1" fieldPosition="0">
        <references count="1">
          <reference field="1" count="0"/>
        </references>
      </pivotArea>
    </format>
    <format dxfId="39">
      <pivotArea grandRow="1" outline="0" collapsedLevelsAreSubtotals="1" fieldPosition="0"/>
    </format>
    <format dxfId="38">
      <pivotArea collapsedLevelsAreSubtotals="1" fieldPosition="0">
        <references count="1">
          <reference field="1" count="0"/>
        </references>
      </pivotArea>
    </format>
    <format dxfId="3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5">
      <pivotArea dataOnly="0" outline="0" fieldPosition="0">
        <references count="1">
          <reference field="1" count="0"/>
        </references>
      </pivotArea>
    </format>
    <format dxfId="34">
      <pivotArea field="1" type="button" dataOnly="0" labelOnly="1" outline="0" axis="axisPage" fieldPosition="0"/>
    </format>
    <format dxfId="33">
      <pivotArea outline="0" collapsedLevelsAreSubtotals="1" fieldPosition="0"/>
    </format>
  </formats>
  <chartFormats count="7"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4" cacheId="6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 numFmtId="43"/>
  </dataFields>
  <formats count="8">
    <format dxfId="32">
      <pivotArea collapsedLevelsAreSubtotals="1" fieldPosition="0">
        <references count="1">
          <reference field="0" count="0"/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laDinámica5" cacheId="6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31:D32" firstHeaderRow="0" firstDataRow="1" firstDataCol="0"/>
  <pivotFields count="4">
    <pivotField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1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/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0" type="button" dataOnly="0" labelOnly="1" outline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0" type="button" dataOnly="0" labelOnly="1" outline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0" type="button" dataOnly="0" labelOnly="1" outline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2" cacheId="6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6:E9" firstHeaderRow="0" firstDataRow="1" firstDataCol="1"/>
  <pivotFields count="4">
    <pivotField axis="axisRow"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2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3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4AD76-E726-4EDC-9CEA-DD45F7E1F33A}" name="TablaDinámica2" cacheId="6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UENTA X PAGAR VIGENTE" fld="1" baseField="0" baseItem="0" numFmtId="169"/>
  </dataFields>
  <formats count="1">
    <format dxfId="1">
      <pivotArea outline="0" collapsedLevelsAreSubtotals="1" fieldPosition="0"/>
    </format>
  </formats>
  <chartFormats count="3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5708-094E-45B6-BA75-B79845BB5591}" name="TablaDinámica12" cacheId="7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B6:E9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1"/>
    <dataField name="CANCELACIONES CXP" fld="2" baseField="0" baseItem="1"/>
    <dataField name="TOTAL PAGOS" fld="3" baseField="0" baseItem="1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5" tint="-0.249977111117893"/>
  </sheetPr>
  <dimension ref="A1:B22"/>
  <sheetViews>
    <sheetView showGridLines="0" showRowColHeaders="0" tabSelected="1" zoomScale="70" zoomScaleNormal="70" workbookViewId="0">
      <selection activeCell="I12" sqref="I12"/>
    </sheetView>
  </sheetViews>
  <sheetFormatPr baseColWidth="10" defaultRowHeight="15" x14ac:dyDescent="0.25"/>
  <cols>
    <col min="1" max="1" width="16.7109375" customWidth="1"/>
    <col min="2" max="2" width="165.5703125" bestFit="1" customWidth="1"/>
  </cols>
  <sheetData>
    <row r="1" spans="1:2" ht="36" x14ac:dyDescent="0.55000000000000004">
      <c r="A1" s="88" t="s">
        <v>146</v>
      </c>
    </row>
    <row r="8" spans="1:2" ht="36" x14ac:dyDescent="0.55000000000000004">
      <c r="B8" s="62" t="s">
        <v>96</v>
      </c>
    </row>
    <row r="9" spans="1:2" ht="36" x14ac:dyDescent="0.55000000000000004">
      <c r="B9" s="60" t="s">
        <v>45</v>
      </c>
    </row>
    <row r="10" spans="1:2" ht="36" x14ac:dyDescent="0.55000000000000004">
      <c r="B10" s="60" t="s">
        <v>158</v>
      </c>
    </row>
    <row r="11" spans="1:2" ht="36" x14ac:dyDescent="0.55000000000000004">
      <c r="B11" s="60" t="s">
        <v>46</v>
      </c>
    </row>
    <row r="12" spans="1:2" ht="36" x14ac:dyDescent="0.55000000000000004">
      <c r="B12" s="60" t="s">
        <v>47</v>
      </c>
    </row>
    <row r="13" spans="1:2" ht="36" x14ac:dyDescent="0.55000000000000004">
      <c r="B13" s="61"/>
    </row>
    <row r="14" spans="1:2" ht="36" x14ac:dyDescent="0.55000000000000004">
      <c r="B14" s="62" t="s">
        <v>97</v>
      </c>
    </row>
    <row r="15" spans="1:2" ht="36" x14ac:dyDescent="0.55000000000000004">
      <c r="B15" s="60" t="s">
        <v>98</v>
      </c>
    </row>
    <row r="16" spans="1:2" ht="36" x14ac:dyDescent="0.55000000000000004">
      <c r="B16" s="60" t="s">
        <v>97</v>
      </c>
    </row>
    <row r="17" spans="2:2" ht="36" x14ac:dyDescent="0.55000000000000004">
      <c r="B17" s="13"/>
    </row>
    <row r="19" spans="2:2" ht="36" x14ac:dyDescent="0.55000000000000004">
      <c r="B19" s="62" t="s">
        <v>143</v>
      </c>
    </row>
    <row r="20" spans="2:2" ht="36" x14ac:dyDescent="0.55000000000000004">
      <c r="B20" s="60" t="s">
        <v>144</v>
      </c>
    </row>
    <row r="21" spans="2:2" ht="36" x14ac:dyDescent="0.55000000000000004">
      <c r="B21" s="60" t="s">
        <v>145</v>
      </c>
    </row>
    <row r="22" spans="2:2" ht="36" x14ac:dyDescent="0.55000000000000004">
      <c r="B22" s="87"/>
    </row>
  </sheetData>
  <hyperlinks>
    <hyperlink ref="B9" location="'Participación Apropiación '!A1" display="Porcentaje Participación de la apropiación  por concepto de Gasto" xr:uid="{00000000-0004-0000-0000-000000000000}"/>
    <hyperlink ref="B10" location="'APR VS RP  Y OBLIGACIÓN Y PAGO'!A1" display="Ejecución Acumulada al  31/05/2019" xr:uid="{00000000-0004-0000-0000-000001000000}"/>
    <hyperlink ref="B11" location="'APR,RP´S,OBL Y PAGO FUNCIONAMIE'!A1" display="Comparativo presupuesto de Funcionamiento " xr:uid="{00000000-0004-0000-0000-000002000000}"/>
    <hyperlink ref="B12" location="'INVERSIÓN APR VS RP Y OBLI'!A1" display="Detalle Ejecución Preupuestal por Proyecto de Inversión " xr:uid="{00000000-0004-0000-0000-000003000000}"/>
    <hyperlink ref="B16" location="'EJECUCIÓN  RESERVA'!A1" display="Ejecución Reserva Presupuestal Constituida" xr:uid="{00000000-0004-0000-0000-000004000000}"/>
    <hyperlink ref="B15" location="'Participación por Concepto'!A1" display="Porcentaje Participación de la Reserva por Concepto de Gasto" xr:uid="{00000000-0004-0000-0000-000005000000}"/>
    <hyperlink ref="B20" location="'PART. CUENTA X PAGAR CONCEPTO '!A1" display="Porcentaje Participación de la Cuenta por Pagar por Concepto de Gasto" xr:uid="{AC55130B-CC29-44F9-B1D7-AF40CD196286}"/>
    <hyperlink ref="B21" location="'EJECUCION CUENTA POR PAGAR '!A1" display="Ejecución de la Cuenta por Pagar Constituida" xr:uid="{22F13090-CBF9-4CA4-8D59-CB20EE444C46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 tint="-0.249977111117893"/>
  </sheetPr>
  <dimension ref="A6:N75"/>
  <sheetViews>
    <sheetView showGridLines="0" showRowColHeaders="0" zoomScale="99" workbookViewId="0">
      <selection activeCell="J1" sqref="J1"/>
    </sheetView>
  </sheetViews>
  <sheetFormatPr baseColWidth="10" defaultRowHeight="15" outlineLevelRow="2" x14ac:dyDescent="0.25"/>
  <cols>
    <col min="2" max="2" width="14.28515625" bestFit="1" customWidth="1"/>
    <col min="3" max="3" width="26" bestFit="1" customWidth="1"/>
    <col min="4" max="4" width="14.140625" bestFit="1" customWidth="1"/>
    <col min="5" max="5" width="14.140625" customWidth="1"/>
    <col min="6" max="6" width="11.5703125" bestFit="1" customWidth="1"/>
  </cols>
  <sheetData>
    <row r="6" spans="2:10" ht="90" x14ac:dyDescent="0.25">
      <c r="B6" s="57" t="s">
        <v>93</v>
      </c>
      <c r="C6" s="58" t="s">
        <v>92</v>
      </c>
      <c r="D6" s="58" t="s">
        <v>94</v>
      </c>
      <c r="E6" s="58" t="s">
        <v>95</v>
      </c>
      <c r="F6" s="23"/>
    </row>
    <row r="7" spans="2:10" x14ac:dyDescent="0.25">
      <c r="B7" s="56" t="s">
        <v>26</v>
      </c>
      <c r="C7" s="55">
        <v>2249.6486331999999</v>
      </c>
      <c r="D7" s="55">
        <v>0</v>
      </c>
      <c r="E7" s="55">
        <v>2200.20879655</v>
      </c>
      <c r="F7" s="67"/>
    </row>
    <row r="8" spans="2:10" x14ac:dyDescent="0.25">
      <c r="B8" s="56" t="s">
        <v>128</v>
      </c>
      <c r="C8" s="55">
        <v>53197.266014589994</v>
      </c>
      <c r="D8" s="55">
        <v>0</v>
      </c>
      <c r="E8" s="55">
        <v>36047.922083519996</v>
      </c>
      <c r="F8" s="68"/>
    </row>
    <row r="9" spans="2:10" x14ac:dyDescent="0.25">
      <c r="B9" s="56" t="s">
        <v>6</v>
      </c>
      <c r="C9" s="55">
        <v>55446.914647789992</v>
      </c>
      <c r="D9" s="55">
        <v>0</v>
      </c>
      <c r="E9" s="55">
        <v>38248.130880069999</v>
      </c>
    </row>
    <row r="10" spans="2:10" x14ac:dyDescent="0.25">
      <c r="B10" s="56"/>
      <c r="C10" s="55"/>
      <c r="D10" s="55"/>
      <c r="E10" s="55"/>
    </row>
    <row r="11" spans="2:10" ht="18.75" x14ac:dyDescent="0.3">
      <c r="B11" s="129" t="s">
        <v>102</v>
      </c>
      <c r="C11" s="129"/>
      <c r="D11" s="129"/>
      <c r="E11" s="129"/>
      <c r="F11" s="129"/>
      <c r="G11" s="129"/>
    </row>
    <row r="12" spans="2:10" x14ac:dyDescent="0.25">
      <c r="H12" s="5"/>
      <c r="J12" s="5"/>
    </row>
    <row r="14" spans="2:10" x14ac:dyDescent="0.25">
      <c r="E14" s="18"/>
      <c r="F14" s="18"/>
    </row>
    <row r="15" spans="2:10" x14ac:dyDescent="0.25">
      <c r="E15" s="18"/>
      <c r="F15" s="18"/>
    </row>
    <row r="16" spans="2:10" x14ac:dyDescent="0.25">
      <c r="B16" s="65"/>
      <c r="C16" s="65"/>
      <c r="D16" s="65"/>
      <c r="E16" s="66"/>
      <c r="F16" s="66"/>
    </row>
    <row r="17" spans="1:14" x14ac:dyDescent="0.25">
      <c r="B17" s="65"/>
      <c r="C17" s="65"/>
      <c r="D17" s="65"/>
      <c r="E17" s="66"/>
      <c r="F17" s="66"/>
    </row>
    <row r="18" spans="1:14" x14ac:dyDescent="0.25">
      <c r="A18" s="18"/>
      <c r="B18" s="65"/>
      <c r="C18" s="65"/>
      <c r="D18" s="65"/>
      <c r="E18" s="66"/>
      <c r="F18" s="66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65"/>
      <c r="C19" s="65"/>
      <c r="D19" s="65"/>
      <c r="E19" s="66"/>
      <c r="F19" s="66"/>
      <c r="G19" s="18"/>
      <c r="H19" s="18"/>
      <c r="I19" s="97"/>
      <c r="J19" s="18"/>
      <c r="K19" s="18"/>
      <c r="L19" s="18"/>
      <c r="M19" s="18"/>
      <c r="N19" s="18"/>
    </row>
    <row r="20" spans="1:14" x14ac:dyDescent="0.25">
      <c r="A20" s="18"/>
      <c r="B20" s="65"/>
      <c r="C20" s="65"/>
      <c r="D20" s="65"/>
      <c r="E20" s="66"/>
      <c r="F20" s="66"/>
      <c r="G20" s="18"/>
      <c r="H20" s="18"/>
      <c r="I20" s="90"/>
      <c r="J20" s="18"/>
      <c r="K20" s="18"/>
      <c r="L20" s="18"/>
      <c r="M20" s="18"/>
      <c r="N20" s="18"/>
    </row>
    <row r="21" spans="1:14" x14ac:dyDescent="0.25">
      <c r="A21" s="18"/>
      <c r="B21" s="65"/>
      <c r="C21" s="65"/>
      <c r="D21" s="65"/>
      <c r="E21" s="66"/>
      <c r="F21" s="66"/>
      <c r="G21" s="18"/>
      <c r="H21" s="18"/>
      <c r="I21" s="91"/>
      <c r="J21" s="97"/>
      <c r="K21" s="18"/>
      <c r="L21" s="18"/>
      <c r="M21" s="18"/>
      <c r="N21" s="18"/>
    </row>
    <row r="22" spans="1:14" x14ac:dyDescent="0.25">
      <c r="A22" s="18"/>
      <c r="B22" s="65"/>
      <c r="C22" s="65"/>
      <c r="D22" s="65"/>
      <c r="E22" s="66"/>
      <c r="F22" s="66"/>
      <c r="G22" s="18"/>
      <c r="H22" s="18"/>
      <c r="I22" s="18"/>
      <c r="J22" s="91"/>
      <c r="K22" s="18"/>
      <c r="L22" s="18"/>
      <c r="M22" s="18"/>
      <c r="N22" s="18"/>
    </row>
    <row r="23" spans="1:14" x14ac:dyDescent="0.25">
      <c r="A23" s="18"/>
      <c r="B23" s="65"/>
      <c r="C23" s="65"/>
      <c r="D23" s="65"/>
      <c r="E23" s="66"/>
      <c r="F23" s="66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5"/>
      <c r="C24" s="65"/>
      <c r="D24" s="65"/>
      <c r="E24" s="66"/>
      <c r="F24" s="66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5"/>
      <c r="C25" s="65"/>
      <c r="D25" s="65"/>
      <c r="E25" s="66"/>
      <c r="F25" s="66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6"/>
      <c r="C26" s="66"/>
      <c r="D26" s="66"/>
      <c r="E26" s="66"/>
      <c r="F26" s="66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97"/>
      <c r="K27" s="18"/>
      <c r="L27" s="18"/>
      <c r="M27" s="18"/>
      <c r="N27" s="18"/>
    </row>
    <row r="28" spans="1:14" ht="18.75" x14ac:dyDescent="0.3">
      <c r="A28" s="18"/>
      <c r="B28" s="128" t="s">
        <v>101</v>
      </c>
      <c r="C28" s="128"/>
      <c r="D28" s="128"/>
      <c r="E28" s="128"/>
      <c r="F28" s="12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60" hidden="1" outlineLevel="2" x14ac:dyDescent="0.25">
      <c r="A31" s="18"/>
      <c r="B31" s="58" t="s">
        <v>92</v>
      </c>
      <c r="C31" s="58" t="s">
        <v>94</v>
      </c>
      <c r="D31" s="58" t="s">
        <v>95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hidden="1" outlineLevel="2" x14ac:dyDescent="0.25">
      <c r="A32" s="18"/>
      <c r="B32" s="55">
        <v>55446.914647789992</v>
      </c>
      <c r="C32" s="55">
        <v>0</v>
      </c>
      <c r="D32" s="55">
        <v>38248.130880069999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collapsed="1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97"/>
      <c r="J37" s="18"/>
      <c r="K37" s="18"/>
      <c r="L37" s="18"/>
      <c r="M37" s="18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97"/>
      <c r="K40" s="18"/>
      <c r="L40" s="18"/>
      <c r="M40" s="18"/>
      <c r="N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8"/>
      <c r="B42" s="35"/>
      <c r="C42" s="35"/>
      <c r="D42" s="35"/>
      <c r="E42" s="35"/>
      <c r="F42" s="35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97"/>
      <c r="K43" s="18"/>
      <c r="L43" s="18"/>
      <c r="M43" s="18"/>
      <c r="N43" s="18"/>
    </row>
    <row r="44" spans="1:14" hidden="1" outlineLevel="1" x14ac:dyDescent="0.25">
      <c r="A44" s="18"/>
      <c r="B44" s="115" t="s">
        <v>93</v>
      </c>
      <c r="C44" s="115" t="s">
        <v>92</v>
      </c>
      <c r="D44" s="115" t="s">
        <v>94</v>
      </c>
      <c r="E44" s="115" t="s">
        <v>95</v>
      </c>
      <c r="F44" s="115"/>
      <c r="G44" s="18"/>
      <c r="H44" s="18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116" t="s">
        <v>26</v>
      </c>
      <c r="C45" s="117">
        <f>GETPIVOTDATA("RESERVAS CONSTITUIDAS
",$B$6,"DENOMINACIÓN DEL CÓDIGO PRESUPUESTAL
","A-FUNCIONAMIENTO")</f>
        <v>2249.6486331999999</v>
      </c>
      <c r="D45" s="117">
        <f>GETPIVOTDATA("CANCELACIONES RESERVAS PRESUPUESTALES
 ",$B$6,"DENOMINACIÓN DEL CÓDIGO PRESUPUESTAL
","A-FUNCIONAMIENTO")</f>
        <v>0</v>
      </c>
      <c r="E45" s="119">
        <f>+GETPIVOTDATA("PAGOS
ACUMULADOS
",$B$6,"DENOMINACIÓN DEL CÓDIGO PRESUPUESTAL
","A-FUNCIONAMIENTO")/GETPIVOTDATA("RESERVAS CONSTITUIDAS
",$B$6,"DENOMINACIÓN DEL CÓDIGO PRESUPUESTAL
","A-FUNCIONAMIENTO")</f>
        <v>0.97802330731991927</v>
      </c>
      <c r="F45" s="118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35"/>
      <c r="B46" s="116" t="s">
        <v>128</v>
      </c>
      <c r="C46" s="117">
        <f>GETPIVOTDATA("RESERVAS CONSTITUIDAS
",$B$6,"DENOMINACIÓN DEL CÓDIGO PRESUPUESTAL
","C-INVERSIÓN")</f>
        <v>53197.266014589994</v>
      </c>
      <c r="D46" s="117">
        <f>GETPIVOTDATA("CANCELACIONES RESERVAS PRESUPUESTALES
 ",$B$6,"DENOMINACIÓN DEL CÓDIGO PRESUPUESTAL
","C-INVERSIÓN")</f>
        <v>0</v>
      </c>
      <c r="E46" s="119">
        <f>+GETPIVOTDATA("PAGOS
ACUMULADOS
",$B$6,"DENOMINACIÓN DEL CÓDIGO PRESUPUESTAL
","C-INVERSIÓN")/GETPIVOTDATA("RESERVAS CONSTITUIDAS
",$B$6,"DENOMINACIÓN DEL CÓDIGO PRESUPUESTAL
","C-INVERSIÓN")</f>
        <v>0.6776273441126357</v>
      </c>
      <c r="F46" s="118"/>
      <c r="G46" s="35"/>
      <c r="H46" s="35"/>
      <c r="I46" s="35"/>
      <c r="J46" s="18"/>
      <c r="K46" s="18"/>
      <c r="L46" s="18"/>
      <c r="M46" s="18"/>
      <c r="N46" s="18"/>
    </row>
    <row r="47" spans="1:14" hidden="1" outlineLevel="1" x14ac:dyDescent="0.25">
      <c r="A47" s="35"/>
      <c r="B47" s="120" t="s">
        <v>6</v>
      </c>
      <c r="C47" s="121">
        <f>+C45+C46</f>
        <v>55446.914647789992</v>
      </c>
      <c r="D47" s="121">
        <f>+D46+D45</f>
        <v>0</v>
      </c>
      <c r="E47" s="122">
        <f>+GETPIVOTDATA("PAGOS
ACUMULADOS
",$B$6)/GETPIVOTDATA("RESERVAS CONSTITUIDAS
",$B$6)</f>
        <v>0.68981531475700419</v>
      </c>
      <c r="F47" s="119"/>
      <c r="G47" s="35"/>
      <c r="H47" s="35"/>
      <c r="I47" s="35"/>
      <c r="J47" s="20"/>
      <c r="K47" s="20"/>
      <c r="L47" s="18"/>
      <c r="M47" s="18"/>
      <c r="N47" s="18"/>
    </row>
    <row r="48" spans="1:14" s="11" customFormat="1" collapsed="1" x14ac:dyDescent="0.25">
      <c r="A48" s="36"/>
      <c r="B48" s="37"/>
      <c r="C48" s="38"/>
      <c r="D48" s="39"/>
      <c r="E48" s="40"/>
      <c r="F48" s="40"/>
      <c r="G48" s="36"/>
      <c r="H48" s="36"/>
      <c r="I48" s="36"/>
      <c r="L48" s="27"/>
      <c r="M48" s="27"/>
      <c r="N48" s="27"/>
    </row>
    <row r="49" spans="1:14" s="11" customFormat="1" x14ac:dyDescent="0.25">
      <c r="A49" s="36"/>
      <c r="B49" s="36"/>
      <c r="C49" s="36"/>
      <c r="D49" s="36"/>
      <c r="E49" s="36"/>
      <c r="F49" s="36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5"/>
      <c r="C50" s="35"/>
      <c r="D50" s="35"/>
      <c r="E50" s="35"/>
      <c r="F50" s="35"/>
      <c r="G50" s="36"/>
      <c r="H50" s="36"/>
      <c r="I50" s="36"/>
      <c r="L50" s="27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L51" s="27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L52" s="27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L53" s="28"/>
      <c r="M53" s="28"/>
      <c r="N53" s="28"/>
    </row>
    <row r="54" spans="1:14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20"/>
      <c r="L54" s="29"/>
      <c r="M54" s="29"/>
      <c r="N54" s="29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20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20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20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5"/>
      <c r="K64" s="29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6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0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14"/>
      <c r="C71" s="14"/>
      <c r="D71" s="14"/>
      <c r="E71" s="14"/>
      <c r="F71" s="14"/>
      <c r="G71" s="35"/>
      <c r="H71" s="35"/>
      <c r="I71" s="35"/>
    </row>
    <row r="72" spans="1:14" x14ac:dyDescent="0.25">
      <c r="A72" s="35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14"/>
      <c r="G75" s="14"/>
      <c r="H75" s="14"/>
      <c r="I75" s="14"/>
    </row>
  </sheetData>
  <mergeCells count="2">
    <mergeCell ref="B28:F28"/>
    <mergeCell ref="B11:G11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0BA-B5FE-4C3A-A4D1-688A1B94DB53}">
  <sheetPr codeName="Hoja12"/>
  <dimension ref="B1:G17"/>
  <sheetViews>
    <sheetView workbookViewId="0">
      <selection activeCell="D12" sqref="D12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2" t="s">
        <v>87</v>
      </c>
      <c r="C2" s="43" t="s">
        <v>140</v>
      </c>
      <c r="D2" s="44" t="s">
        <v>141</v>
      </c>
      <c r="E2" s="45" t="s">
        <v>90</v>
      </c>
    </row>
    <row r="3" spans="2:7" ht="16.5" thickBot="1" x14ac:dyDescent="0.3">
      <c r="B3" s="50" t="s">
        <v>26</v>
      </c>
      <c r="C3" s="51">
        <f>7893784910.4/1000000</f>
        <v>7893.7849103999997</v>
      </c>
      <c r="D3" s="52">
        <v>0</v>
      </c>
      <c r="E3" s="53">
        <f>6858440499.4/1000000</f>
        <v>6858.4404993999997</v>
      </c>
      <c r="F3" s="68"/>
      <c r="G3" s="55"/>
    </row>
    <row r="4" spans="2:7" ht="19.5" thickBot="1" x14ac:dyDescent="0.3">
      <c r="B4" s="46" t="s">
        <v>128</v>
      </c>
      <c r="C4" s="47">
        <f>182428674/1000000</f>
        <v>182.428674</v>
      </c>
      <c r="D4" s="48">
        <f>0/1000000</f>
        <v>0</v>
      </c>
      <c r="E4" s="49">
        <f>182428674/1000000</f>
        <v>182.428674</v>
      </c>
      <c r="F4" s="70"/>
      <c r="G4" s="68"/>
    </row>
    <row r="6" spans="2:7" x14ac:dyDescent="0.25">
      <c r="C6" s="54"/>
      <c r="D6" s="54"/>
      <c r="E6" s="54"/>
    </row>
    <row r="7" spans="2:7" ht="15.75" thickBot="1" x14ac:dyDescent="0.3">
      <c r="E7" s="41"/>
    </row>
    <row r="8" spans="2:7" ht="63.75" thickBot="1" x14ac:dyDescent="0.3">
      <c r="B8" s="42" t="s">
        <v>87</v>
      </c>
      <c r="C8" s="53" t="s">
        <v>142</v>
      </c>
      <c r="E8" s="41"/>
    </row>
    <row r="9" spans="2:7" ht="19.5" thickBot="1" x14ac:dyDescent="0.3">
      <c r="B9" s="50" t="s">
        <v>26</v>
      </c>
      <c r="C9" s="49">
        <f>7893784910.4/1000000</f>
        <v>7893.7849103999997</v>
      </c>
      <c r="E9" s="55"/>
    </row>
    <row r="10" spans="2:7" ht="19.5" thickBot="1" x14ac:dyDescent="0.3">
      <c r="B10" s="46" t="s">
        <v>91</v>
      </c>
      <c r="C10" s="45">
        <f>182428674/1000000</f>
        <v>182.428674</v>
      </c>
      <c r="D10" s="64"/>
    </row>
    <row r="12" spans="2:7" x14ac:dyDescent="0.25">
      <c r="C12" s="64"/>
      <c r="D12" s="64"/>
      <c r="E12" s="64"/>
      <c r="F12" s="68"/>
      <c r="G12" s="69"/>
    </row>
    <row r="13" spans="2:7" x14ac:dyDescent="0.25">
      <c r="C13" s="41"/>
    </row>
    <row r="14" spans="2:7" x14ac:dyDescent="0.25">
      <c r="C14" s="41"/>
    </row>
    <row r="16" spans="2:7" x14ac:dyDescent="0.25">
      <c r="C16" s="41"/>
    </row>
    <row r="17" spans="3:3" x14ac:dyDescent="0.25">
      <c r="C17" s="4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E189-FBDC-4B85-88CE-0AE8C9919750}">
  <sheetPr codeName="Hoja13">
    <tabColor theme="5" tint="-0.249977111117893"/>
    <pageSetUpPr fitToPage="1"/>
  </sheetPr>
  <dimension ref="B7:F12"/>
  <sheetViews>
    <sheetView showGridLines="0" showRowColHeaders="0" zoomScale="90" zoomScaleNormal="90" workbookViewId="0">
      <selection activeCell="F9" sqref="F9"/>
    </sheetView>
  </sheetViews>
  <sheetFormatPr baseColWidth="10" defaultRowHeight="15" x14ac:dyDescent="0.25"/>
  <cols>
    <col min="2" max="2" width="19.85546875" bestFit="1" customWidth="1"/>
    <col min="3" max="3" width="25" bestFit="1" customWidth="1"/>
    <col min="4" max="4" width="11" bestFit="1" customWidth="1"/>
    <col min="5" max="5" width="12.5703125" bestFit="1" customWidth="1"/>
  </cols>
  <sheetData>
    <row r="7" spans="2:6" x14ac:dyDescent="0.25">
      <c r="B7" s="2"/>
      <c r="C7" s="23"/>
    </row>
    <row r="8" spans="2:6" x14ac:dyDescent="0.25">
      <c r="B8" s="4" t="s">
        <v>5</v>
      </c>
      <c r="C8" t="s">
        <v>147</v>
      </c>
    </row>
    <row r="9" spans="2:6" x14ac:dyDescent="0.25">
      <c r="B9" s="2" t="s">
        <v>26</v>
      </c>
      <c r="C9" s="55">
        <v>7893.7849103999997</v>
      </c>
    </row>
    <row r="10" spans="2:6" x14ac:dyDescent="0.25">
      <c r="B10" s="2" t="s">
        <v>91</v>
      </c>
      <c r="C10" s="55">
        <v>182.428674</v>
      </c>
    </row>
    <row r="11" spans="2:6" x14ac:dyDescent="0.25">
      <c r="B11" s="2" t="s">
        <v>6</v>
      </c>
      <c r="C11" s="55">
        <v>8076.2135843999995</v>
      </c>
      <c r="D11" s="63" t="s">
        <v>103</v>
      </c>
    </row>
    <row r="12" spans="2:6" x14ac:dyDescent="0.25">
      <c r="C12" s="55"/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C28-0C4C-49C0-B53A-3107A69136B4}">
  <sheetPr codeName="Hoja15">
    <tabColor theme="5" tint="-0.249977111117893"/>
  </sheetPr>
  <dimension ref="A3:N76"/>
  <sheetViews>
    <sheetView zoomScaleNormal="100" workbookViewId="0">
      <selection activeCell="G9" sqref="G9"/>
    </sheetView>
  </sheetViews>
  <sheetFormatPr baseColWidth="10" defaultRowHeight="15" outlineLevelRow="2" x14ac:dyDescent="0.25"/>
  <cols>
    <col min="2" max="2" width="20" bestFit="1" customWidth="1"/>
    <col min="3" max="3" width="18.28515625" bestFit="1" customWidth="1"/>
    <col min="4" max="4" width="19.85546875" bestFit="1" customWidth="1"/>
    <col min="5" max="5" width="13.42578125" bestFit="1" customWidth="1"/>
    <col min="6" max="6" width="11.5703125" bestFit="1" customWidth="1"/>
    <col min="10" max="10" width="30.28515625" hidden="1" customWidth="1"/>
    <col min="11" max="11" width="32.42578125" hidden="1" customWidth="1"/>
    <col min="12" max="12" width="40.140625" hidden="1" customWidth="1"/>
  </cols>
  <sheetData>
    <row r="3" spans="2:12" x14ac:dyDescent="0.25">
      <c r="J3" t="s">
        <v>148</v>
      </c>
      <c r="K3" t="s">
        <v>149</v>
      </c>
      <c r="L3" t="s">
        <v>150</v>
      </c>
    </row>
    <row r="4" spans="2:12" x14ac:dyDescent="0.25">
      <c r="J4" s="55">
        <v>8076.2135843999995</v>
      </c>
      <c r="K4" s="55">
        <v>0</v>
      </c>
      <c r="L4" s="55">
        <v>7040.8691733999995</v>
      </c>
    </row>
    <row r="6" spans="2:12" x14ac:dyDescent="0.25">
      <c r="B6" s="4" t="s">
        <v>5</v>
      </c>
      <c r="C6" t="s">
        <v>151</v>
      </c>
      <c r="D6" t="s">
        <v>152</v>
      </c>
      <c r="E6" t="s">
        <v>153</v>
      </c>
    </row>
    <row r="7" spans="2:12" x14ac:dyDescent="0.25">
      <c r="B7" s="2" t="s">
        <v>26</v>
      </c>
      <c r="C7" s="55">
        <v>7893.7849103999997</v>
      </c>
      <c r="D7" s="55">
        <v>0</v>
      </c>
      <c r="E7" s="55">
        <v>6858.4404993999997</v>
      </c>
    </row>
    <row r="8" spans="2:12" x14ac:dyDescent="0.25">
      <c r="B8" s="2" t="s">
        <v>128</v>
      </c>
      <c r="C8" s="55">
        <v>182.428674</v>
      </c>
      <c r="D8" s="55">
        <v>0</v>
      </c>
      <c r="E8" s="55">
        <v>182.428674</v>
      </c>
    </row>
    <row r="9" spans="2:12" x14ac:dyDescent="0.25">
      <c r="B9" s="2" t="s">
        <v>6</v>
      </c>
      <c r="C9" s="55">
        <v>8076.2135843999995</v>
      </c>
      <c r="D9" s="55">
        <v>0</v>
      </c>
      <c r="E9" s="55">
        <v>7040.8691733999995</v>
      </c>
    </row>
    <row r="11" spans="2:12" x14ac:dyDescent="0.25">
      <c r="B11" s="56"/>
      <c r="C11" s="55"/>
      <c r="D11" s="55"/>
      <c r="E11" s="55"/>
    </row>
    <row r="12" spans="2:12" ht="18.75" x14ac:dyDescent="0.3">
      <c r="B12" s="129" t="s">
        <v>155</v>
      </c>
      <c r="C12" s="129"/>
      <c r="D12" s="129"/>
      <c r="E12" s="129"/>
      <c r="F12" s="129"/>
      <c r="G12" s="129"/>
    </row>
    <row r="13" spans="2:12" x14ac:dyDescent="0.25">
      <c r="H13" s="5"/>
    </row>
    <row r="15" spans="2:12" x14ac:dyDescent="0.25">
      <c r="E15" s="18"/>
      <c r="F15" s="18"/>
    </row>
    <row r="16" spans="2:12" x14ac:dyDescent="0.25">
      <c r="E16" s="18"/>
      <c r="F16" s="18"/>
    </row>
    <row r="17" spans="1:14" x14ac:dyDescent="0.25">
      <c r="B17" s="65"/>
      <c r="C17" s="65"/>
      <c r="D17" s="65"/>
      <c r="E17" s="66"/>
      <c r="F17" s="66"/>
      <c r="N17" s="98"/>
    </row>
    <row r="18" spans="1:14" x14ac:dyDescent="0.25">
      <c r="B18" s="65"/>
      <c r="C18" s="65"/>
      <c r="D18" s="65"/>
      <c r="E18" s="66"/>
      <c r="F18" s="66"/>
    </row>
    <row r="19" spans="1:14" x14ac:dyDescent="0.25">
      <c r="A19" s="18"/>
      <c r="B19" s="65"/>
      <c r="C19" s="65"/>
      <c r="D19" s="65"/>
      <c r="E19" s="66"/>
      <c r="F19" s="66"/>
      <c r="G19" s="18"/>
      <c r="H19" s="18"/>
      <c r="I19" s="18"/>
      <c r="M19" s="97"/>
      <c r="N19" s="18"/>
    </row>
    <row r="20" spans="1:14" x14ac:dyDescent="0.25">
      <c r="A20" s="18"/>
      <c r="B20" s="65"/>
      <c r="C20" s="65"/>
      <c r="D20" s="65"/>
      <c r="E20" s="66"/>
      <c r="F20" s="66"/>
      <c r="G20" s="18"/>
      <c r="H20" s="18"/>
      <c r="I20" s="89"/>
      <c r="M20" s="18"/>
      <c r="N20" s="18"/>
    </row>
    <row r="21" spans="1:14" x14ac:dyDescent="0.25">
      <c r="A21" s="18"/>
      <c r="B21" s="65"/>
      <c r="C21" s="65"/>
      <c r="D21" s="65"/>
      <c r="E21" s="66"/>
      <c r="F21" s="66"/>
      <c r="G21" s="18"/>
      <c r="H21" s="18"/>
      <c r="I21" s="91"/>
      <c r="J21" s="18"/>
      <c r="K21" s="18"/>
      <c r="L21" s="18"/>
      <c r="M21" s="18"/>
      <c r="N21" s="18"/>
    </row>
    <row r="22" spans="1:14" x14ac:dyDescent="0.25">
      <c r="A22" s="18"/>
      <c r="B22" s="65"/>
      <c r="C22" s="65"/>
      <c r="D22" s="65"/>
      <c r="E22" s="66"/>
      <c r="F22" s="66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65"/>
      <c r="C23" s="65"/>
      <c r="D23" s="65"/>
      <c r="E23" s="66"/>
      <c r="F23" s="66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5"/>
      <c r="C24" s="65"/>
      <c r="D24" s="65"/>
      <c r="E24" s="66"/>
      <c r="F24" s="66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5"/>
      <c r="C25" s="65"/>
      <c r="D25" s="65"/>
      <c r="E25" s="66"/>
      <c r="F25" s="66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5"/>
      <c r="C26" s="65"/>
      <c r="D26" s="65"/>
      <c r="E26" s="66"/>
      <c r="F26" s="66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66"/>
      <c r="C27" s="66"/>
      <c r="D27" s="66"/>
      <c r="E27" s="66"/>
      <c r="F27" s="66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x14ac:dyDescent="0.3">
      <c r="A29" s="18"/>
      <c r="B29" s="128" t="s">
        <v>154</v>
      </c>
      <c r="C29" s="128"/>
      <c r="D29" s="128"/>
      <c r="E29" s="128"/>
      <c r="F29" s="12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idden="1" outlineLevel="2" x14ac:dyDescent="0.25">
      <c r="A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idden="1" outlineLevel="2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collapsed="1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18"/>
      <c r="J37" s="18"/>
      <c r="K37" s="18"/>
      <c r="L37" s="18"/>
      <c r="M37" s="97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18"/>
      <c r="K43" s="18"/>
      <c r="L43" s="18"/>
      <c r="M43" s="18"/>
      <c r="N43" s="18"/>
    </row>
    <row r="44" spans="1:14" x14ac:dyDescent="0.25">
      <c r="A44" s="18"/>
      <c r="B44" s="35"/>
      <c r="C44" s="35"/>
      <c r="D44" s="35"/>
      <c r="E44" s="35"/>
      <c r="F44" s="35"/>
      <c r="G44" s="18"/>
      <c r="H44" s="91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115" t="s">
        <v>93</v>
      </c>
      <c r="C45" s="115" t="s">
        <v>159</v>
      </c>
      <c r="D45" s="115" t="s">
        <v>160</v>
      </c>
      <c r="E45" s="115" t="s">
        <v>95</v>
      </c>
      <c r="F45" s="115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18"/>
      <c r="B46" s="116" t="s">
        <v>26</v>
      </c>
      <c r="C46" s="117">
        <f>GETPIVOTDATA("CXP CONSTITUIDAS",$B$6,"DENOMINACIÓN DEL CÓDIGO PRESUPUESTAL
","A-FUNCIONAMIENTO")</f>
        <v>7893.7849103999997</v>
      </c>
      <c r="D46" s="117">
        <f>GETPIVOTDATA("CANCELACIONES CXP",$B$6,"DENOMINACIÓN DEL CÓDIGO PRESUPUESTAL
","A-FUNCIONAMIENTO")</f>
        <v>0</v>
      </c>
      <c r="E46" s="119">
        <f>+GETPIVOTDATA("TOTAL PAGOS",$B$6,"DENOMINACIÓN DEL CÓDIGO PRESUPUESTAL
","A-FUNCIONAMIENTO")/GETPIVOTDATA("CXP CONSTITUIDAS",$B$6,"DENOMINACIÓN DEL CÓDIGO PRESUPUESTAL
","A-FUNCIONAMIENTO")</f>
        <v>0.86884055966157103</v>
      </c>
      <c r="F46" s="118"/>
      <c r="G46" s="18"/>
      <c r="H46" s="18"/>
      <c r="I46" s="18"/>
      <c r="J46" s="18"/>
      <c r="K46" s="18"/>
      <c r="L46" s="18"/>
      <c r="M46" s="18"/>
      <c r="N46" s="18"/>
    </row>
    <row r="47" spans="1:14" hidden="1" outlineLevel="1" x14ac:dyDescent="0.25">
      <c r="A47" s="35"/>
      <c r="B47" s="116" t="s">
        <v>128</v>
      </c>
      <c r="C47" s="117">
        <f>+GETPIVOTDATA("CXP CONSTITUIDAS",$B$6,"DENOMINACIÓN DEL CÓDIGO PRESUPUESTAL
","C-INVERSIÓN")</f>
        <v>182.428674</v>
      </c>
      <c r="D47" s="117">
        <f>GETPIVOTDATA("CANCELACIONES CXP",$B$6,"DENOMINACIÓN DEL CÓDIGO PRESUPUESTAL
","C-INVERSIÓN")</f>
        <v>0</v>
      </c>
      <c r="E47" s="119">
        <f>+GETPIVOTDATA("TOTAL PAGOS",$B$6,"DENOMINACIÓN DEL CÓDIGO PRESUPUESTAL
","C-INVERSIÓN")/GETPIVOTDATA("CXP CONSTITUIDAS",$B$6,"DENOMINACIÓN DEL CÓDIGO PRESUPUESTAL
","C-INVERSIÓN")</f>
        <v>1</v>
      </c>
      <c r="F47" s="118"/>
      <c r="G47" s="35"/>
      <c r="H47" s="35"/>
      <c r="I47" s="35"/>
      <c r="J47" s="18"/>
      <c r="K47" s="18"/>
      <c r="L47" s="18"/>
      <c r="M47" s="18"/>
      <c r="N47" s="18"/>
    </row>
    <row r="48" spans="1:14" hidden="1" outlineLevel="1" x14ac:dyDescent="0.25">
      <c r="A48" s="35"/>
      <c r="B48" s="120" t="s">
        <v>6</v>
      </c>
      <c r="C48" s="121">
        <f>+C46+C47</f>
        <v>8076.2135843999995</v>
      </c>
      <c r="D48" s="121">
        <f>+D46+D47</f>
        <v>0</v>
      </c>
      <c r="E48" s="122">
        <f>+GETPIVOTDATA("TOTAL PAGOS",$B$6)/GETPIVOTDATA("CXP CONSTITUIDAS",$B$6)</f>
        <v>0.87180324044427582</v>
      </c>
      <c r="F48" s="119"/>
      <c r="G48" s="35"/>
      <c r="H48" s="35"/>
      <c r="I48" s="35"/>
      <c r="J48" s="20"/>
      <c r="K48" s="20"/>
      <c r="L48" s="18"/>
      <c r="M48" s="18"/>
      <c r="N48" s="18"/>
    </row>
    <row r="49" spans="1:14" s="11" customFormat="1" collapsed="1" x14ac:dyDescent="0.25">
      <c r="A49" s="36"/>
      <c r="B49" s="120"/>
      <c r="C49" s="123"/>
      <c r="D49" s="124"/>
      <c r="E49" s="125"/>
      <c r="F49" s="125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6"/>
      <c r="C50" s="36"/>
      <c r="D50" s="36"/>
      <c r="E50" s="36"/>
      <c r="F50" s="36"/>
      <c r="G50" s="36"/>
      <c r="H50" s="36"/>
      <c r="I50" s="36"/>
      <c r="L50" s="27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L51" s="27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L52" s="27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L53" s="27"/>
      <c r="M53" s="27"/>
      <c r="N53" s="27"/>
    </row>
    <row r="54" spans="1:14" s="11" customFormat="1" x14ac:dyDescent="0.25">
      <c r="A54" s="36"/>
      <c r="B54" s="35"/>
      <c r="C54" s="35"/>
      <c r="D54" s="35"/>
      <c r="E54" s="35"/>
      <c r="F54" s="35"/>
      <c r="G54" s="36"/>
      <c r="H54" s="36"/>
      <c r="I54" s="36"/>
      <c r="L54" s="28"/>
      <c r="M54" s="28"/>
      <c r="N54" s="28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20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20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20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0"/>
      <c r="K64" s="20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5"/>
      <c r="K67" s="29"/>
      <c r="L67" s="29"/>
      <c r="M67" s="29"/>
      <c r="N67" s="29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6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20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35"/>
      <c r="C71" s="35"/>
      <c r="D71" s="35"/>
      <c r="E71" s="35"/>
      <c r="F71" s="35"/>
      <c r="G71" s="35"/>
      <c r="H71" s="35"/>
      <c r="I71" s="35"/>
    </row>
    <row r="72" spans="1:14" x14ac:dyDescent="0.25">
      <c r="A72" s="35"/>
      <c r="B72" s="14"/>
      <c r="C72" s="14"/>
      <c r="D72" s="14"/>
      <c r="E72" s="14"/>
      <c r="F72" s="14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35"/>
      <c r="G75" s="35"/>
      <c r="H75" s="35"/>
      <c r="I75" s="35"/>
    </row>
    <row r="76" spans="1:14" x14ac:dyDescent="0.25">
      <c r="A76" s="14"/>
      <c r="G76" s="14"/>
      <c r="H76" s="14"/>
      <c r="I76" s="14"/>
    </row>
  </sheetData>
  <mergeCells count="2">
    <mergeCell ref="B12:G12"/>
    <mergeCell ref="B29:F29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  <pageSetUpPr fitToPage="1"/>
  </sheetPr>
  <dimension ref="B6:F39"/>
  <sheetViews>
    <sheetView showGridLines="0" showRowColHeaders="0" zoomScaleNormal="100" workbookViewId="0"/>
  </sheetViews>
  <sheetFormatPr baseColWidth="10" defaultRowHeight="15" x14ac:dyDescent="0.25"/>
  <cols>
    <col min="2" max="2" width="31.140625" bestFit="1" customWidth="1"/>
    <col min="3" max="3" width="23.5703125" customWidth="1"/>
  </cols>
  <sheetData>
    <row r="6" spans="2:6" x14ac:dyDescent="0.25">
      <c r="B6" s="4" t="s">
        <v>5</v>
      </c>
      <c r="C6" t="s">
        <v>21</v>
      </c>
    </row>
    <row r="7" spans="2:6" x14ac:dyDescent="0.25">
      <c r="B7" s="2" t="s">
        <v>26</v>
      </c>
      <c r="C7" s="23">
        <v>99785.985369999995</v>
      </c>
    </row>
    <row r="8" spans="2:6" x14ac:dyDescent="0.25">
      <c r="B8" s="2" t="s">
        <v>27</v>
      </c>
      <c r="C8" s="23">
        <v>1167604.3350470001</v>
      </c>
    </row>
    <row r="9" spans="2:6" x14ac:dyDescent="0.25">
      <c r="B9" s="2" t="s">
        <v>28</v>
      </c>
      <c r="C9" s="23">
        <v>4505182.0250120005</v>
      </c>
    </row>
    <row r="10" spans="2:6" x14ac:dyDescent="0.25">
      <c r="B10" s="2" t="s">
        <v>6</v>
      </c>
      <c r="C10" s="23">
        <v>5772572.3454290004</v>
      </c>
    </row>
    <row r="12" spans="2:6" x14ac:dyDescent="0.25">
      <c r="F12" s="5"/>
    </row>
    <row r="38" ht="14.25" customHeight="1" x14ac:dyDescent="0.25"/>
    <row r="39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21"/>
  <sheetViews>
    <sheetView zoomScale="86" zoomScaleNormal="86" workbookViewId="0">
      <selection sqref="A1:G20"/>
    </sheetView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</cols>
  <sheetData>
    <row r="1" spans="1:7" ht="30" x14ac:dyDescent="0.25">
      <c r="A1" s="30" t="s">
        <v>0</v>
      </c>
      <c r="B1" s="30" t="s">
        <v>1</v>
      </c>
      <c r="C1" s="31" t="s">
        <v>7</v>
      </c>
      <c r="D1" s="31" t="s">
        <v>8</v>
      </c>
      <c r="E1" s="31" t="s">
        <v>9</v>
      </c>
      <c r="F1" s="31" t="s">
        <v>10</v>
      </c>
      <c r="G1" s="31" t="s">
        <v>11</v>
      </c>
    </row>
    <row r="2" spans="1:7" x14ac:dyDescent="0.25">
      <c r="A2" s="32" t="s">
        <v>2</v>
      </c>
      <c r="B2" s="34" t="s">
        <v>26</v>
      </c>
      <c r="C2" s="33">
        <f>+C12/1000000</f>
        <v>99785.985369999995</v>
      </c>
      <c r="D2" s="33">
        <f t="shared" ref="D2:G2" si="0">+D12/1000000</f>
        <v>65628.170666089994</v>
      </c>
      <c r="E2" s="33">
        <f t="shared" si="0"/>
        <v>33825.69735237</v>
      </c>
      <c r="F2" s="33">
        <f t="shared" si="0"/>
        <v>25839.823353460004</v>
      </c>
      <c r="G2" s="33">
        <f t="shared" si="0"/>
        <v>24693.090296460003</v>
      </c>
    </row>
    <row r="3" spans="1:7" x14ac:dyDescent="0.25">
      <c r="A3" s="32" t="s">
        <v>22</v>
      </c>
      <c r="B3" s="34" t="s">
        <v>29</v>
      </c>
      <c r="C3" s="33">
        <f t="shared" ref="C3:G8" si="1">+C13/1000000</f>
        <v>51464.345000000001</v>
      </c>
      <c r="D3" s="33">
        <f t="shared" si="1"/>
        <v>49182.286999999997</v>
      </c>
      <c r="E3" s="33">
        <f t="shared" si="1"/>
        <v>18923.725936360002</v>
      </c>
      <c r="F3" s="33">
        <f t="shared" si="1"/>
        <v>18923.725936360002</v>
      </c>
      <c r="G3" s="33">
        <f t="shared" si="1"/>
        <v>17986.57081836</v>
      </c>
    </row>
    <row r="4" spans="1:7" x14ac:dyDescent="0.25">
      <c r="A4" s="32" t="s">
        <v>23</v>
      </c>
      <c r="B4" s="34" t="s">
        <v>30</v>
      </c>
      <c r="C4" s="33">
        <f t="shared" si="1"/>
        <v>19419.071</v>
      </c>
      <c r="D4" s="33">
        <f t="shared" si="1"/>
        <v>16203.36966609</v>
      </c>
      <c r="E4" s="33">
        <f t="shared" si="1"/>
        <v>14850.801670969999</v>
      </c>
      <c r="F4" s="33">
        <f t="shared" si="1"/>
        <v>6864.9276720600001</v>
      </c>
      <c r="G4" s="33">
        <f t="shared" si="1"/>
        <v>6655.3497330600003</v>
      </c>
    </row>
    <row r="5" spans="1:7" x14ac:dyDescent="0.25">
      <c r="A5" s="32" t="s">
        <v>24</v>
      </c>
      <c r="B5" s="34" t="s">
        <v>31</v>
      </c>
      <c r="C5" s="33">
        <f t="shared" si="1"/>
        <v>14851.09737</v>
      </c>
      <c r="D5" s="33">
        <f t="shared" si="1"/>
        <v>242.51400000000001</v>
      </c>
      <c r="E5" s="33">
        <f t="shared" si="1"/>
        <v>51.169745040000002</v>
      </c>
      <c r="F5" s="33">
        <f t="shared" si="1"/>
        <v>51.169745040000002</v>
      </c>
      <c r="G5" s="33">
        <f t="shared" si="1"/>
        <v>51.169745040000002</v>
      </c>
    </row>
    <row r="6" spans="1:7" ht="30" x14ac:dyDescent="0.25">
      <c r="A6" s="32" t="s">
        <v>25</v>
      </c>
      <c r="B6" s="34" t="s">
        <v>32</v>
      </c>
      <c r="C6" s="33">
        <f t="shared" si="1"/>
        <v>14051.472</v>
      </c>
      <c r="D6" s="33">
        <f t="shared" si="1"/>
        <v>0</v>
      </c>
      <c r="E6" s="33">
        <f t="shared" si="1"/>
        <v>0</v>
      </c>
      <c r="F6" s="33">
        <f t="shared" si="1"/>
        <v>0</v>
      </c>
      <c r="G6" s="33">
        <f t="shared" si="1"/>
        <v>0</v>
      </c>
    </row>
    <row r="7" spans="1:7" x14ac:dyDescent="0.25">
      <c r="A7" s="32" t="s">
        <v>3</v>
      </c>
      <c r="B7" s="34" t="s">
        <v>27</v>
      </c>
      <c r="C7" s="33">
        <f t="shared" si="1"/>
        <v>1167604.3350470001</v>
      </c>
      <c r="D7" s="33">
        <f t="shared" si="1"/>
        <v>157603.58227700001</v>
      </c>
      <c r="E7" s="33">
        <f t="shared" si="1"/>
        <v>157603.58227700001</v>
      </c>
      <c r="F7" s="33">
        <f t="shared" si="1"/>
        <v>157603.58227700001</v>
      </c>
      <c r="G7" s="33">
        <f t="shared" si="1"/>
        <v>157603.58227700001</v>
      </c>
    </row>
    <row r="8" spans="1:7" x14ac:dyDescent="0.25">
      <c r="A8" s="32" t="s">
        <v>4</v>
      </c>
      <c r="B8" s="34" t="s">
        <v>28</v>
      </c>
      <c r="C8" s="33">
        <f t="shared" si="1"/>
        <v>4505182.0250120005</v>
      </c>
      <c r="D8" s="33">
        <f t="shared" si="1"/>
        <v>4340863.9743114803</v>
      </c>
      <c r="E8" s="33">
        <f t="shared" si="1"/>
        <v>4323130.2833689302</v>
      </c>
      <c r="F8" s="33">
        <f t="shared" si="1"/>
        <v>335854.59616277006</v>
      </c>
      <c r="G8" s="33">
        <f t="shared" si="1"/>
        <v>335667.53357077006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71" t="s">
        <v>115</v>
      </c>
      <c r="C11" s="74" t="s">
        <v>118</v>
      </c>
      <c r="D11" s="74" t="s">
        <v>119</v>
      </c>
      <c r="E11" s="74" t="s">
        <v>120</v>
      </c>
      <c r="F11" s="74" t="s">
        <v>121</v>
      </c>
      <c r="G11" s="75" t="s">
        <v>122</v>
      </c>
    </row>
    <row r="12" spans="1:7" ht="19.5" thickBot="1" x14ac:dyDescent="0.3">
      <c r="B12" s="72" t="s">
        <v>116</v>
      </c>
      <c r="C12" s="76">
        <v>99785985370</v>
      </c>
      <c r="D12" s="76">
        <v>65628170666.089996</v>
      </c>
      <c r="E12" s="76">
        <v>33825697352.370003</v>
      </c>
      <c r="F12" s="76">
        <v>25839823353.460003</v>
      </c>
      <c r="G12" s="77">
        <v>24693090296.460003</v>
      </c>
    </row>
    <row r="13" spans="1:7" ht="15.75" x14ac:dyDescent="0.25">
      <c r="B13" s="73" t="s">
        <v>117</v>
      </c>
      <c r="C13" s="80">
        <v>51464345000</v>
      </c>
      <c r="D13" s="80">
        <v>49182287000</v>
      </c>
      <c r="E13" s="80">
        <v>18923725936.360001</v>
      </c>
      <c r="F13" s="80">
        <v>18923725936.360001</v>
      </c>
      <c r="G13" s="81">
        <v>17986570818.360001</v>
      </c>
    </row>
    <row r="14" spans="1:7" ht="15.75" x14ac:dyDescent="0.25">
      <c r="B14" s="78" t="s">
        <v>123</v>
      </c>
      <c r="C14" s="82">
        <v>19419071000</v>
      </c>
      <c r="D14" s="82">
        <v>16203369666.09</v>
      </c>
      <c r="E14" s="82">
        <v>14850801670.969999</v>
      </c>
      <c r="F14" s="82">
        <v>6864927672.0600004</v>
      </c>
      <c r="G14" s="83">
        <v>6655349733.0600004</v>
      </c>
    </row>
    <row r="15" spans="1:7" ht="15.75" x14ac:dyDescent="0.25">
      <c r="B15" s="78" t="s">
        <v>124</v>
      </c>
      <c r="C15" s="82">
        <v>14851097370</v>
      </c>
      <c r="D15" s="82">
        <v>242514000</v>
      </c>
      <c r="E15" s="82">
        <v>51169745.039999999</v>
      </c>
      <c r="F15" s="82">
        <v>51169745.039999999</v>
      </c>
      <c r="G15" s="83">
        <v>51169745.039999999</v>
      </c>
    </row>
    <row r="16" spans="1:7" ht="32.25" thickBot="1" x14ac:dyDescent="0.3">
      <c r="B16" s="78" t="s">
        <v>125</v>
      </c>
      <c r="C16" s="82">
        <v>14051472000</v>
      </c>
      <c r="D16" s="82">
        <v>0</v>
      </c>
      <c r="E16" s="82">
        <v>0</v>
      </c>
      <c r="F16" s="82">
        <v>0</v>
      </c>
      <c r="G16" s="83">
        <v>0</v>
      </c>
    </row>
    <row r="17" spans="2:7" ht="19.5" thickBot="1" x14ac:dyDescent="0.3">
      <c r="B17" s="72" t="s">
        <v>126</v>
      </c>
      <c r="C17" s="76">
        <v>1167604335047</v>
      </c>
      <c r="D17" s="76">
        <v>157603582277</v>
      </c>
      <c r="E17" s="76">
        <v>157603582277</v>
      </c>
      <c r="F17" s="76">
        <v>157603582277</v>
      </c>
      <c r="G17" s="77">
        <v>157603582277</v>
      </c>
    </row>
    <row r="18" spans="2:7" ht="19.5" thickBot="1" x14ac:dyDescent="0.3">
      <c r="B18" s="72" t="s">
        <v>127</v>
      </c>
      <c r="C18" s="76">
        <v>4505182025012</v>
      </c>
      <c r="D18" s="76">
        <v>4340863974311.48</v>
      </c>
      <c r="E18" s="76">
        <v>4323130283368.9302</v>
      </c>
      <c r="F18" s="76">
        <v>335854596162.77008</v>
      </c>
      <c r="G18" s="77">
        <v>335667533570.77008</v>
      </c>
    </row>
    <row r="20" spans="2:7" x14ac:dyDescent="0.25">
      <c r="C20" s="84">
        <f>+SUM(C13:C18)</f>
        <v>5772572345429</v>
      </c>
      <c r="D20" s="84">
        <f t="shared" ref="D20:G20" si="2">+SUM(D13:D18)</f>
        <v>4564095727254.5703</v>
      </c>
      <c r="E20" s="84">
        <f t="shared" si="2"/>
        <v>4514559562998.2998</v>
      </c>
      <c r="F20" s="84">
        <f t="shared" si="2"/>
        <v>519298001793.2301</v>
      </c>
      <c r="G20" s="84">
        <f t="shared" si="2"/>
        <v>517964206144.2301</v>
      </c>
    </row>
    <row r="21" spans="2:7" x14ac:dyDescent="0.25">
      <c r="C21" s="84"/>
      <c r="D21" s="84"/>
      <c r="E21" s="84"/>
      <c r="F21" s="84"/>
      <c r="G21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B1:I38"/>
  <sheetViews>
    <sheetView workbookViewId="0">
      <pane xSplit="2" ySplit="1" topLeftCell="D19" activePane="bottomRight" state="frozen"/>
      <selection pane="topRight" activeCell="C1" sqref="C1"/>
      <selection pane="bottomLeft" activeCell="A2" sqref="A2"/>
      <selection pane="bottomRight" activeCell="I33" sqref="I33"/>
    </sheetView>
  </sheetViews>
  <sheetFormatPr baseColWidth="10" defaultRowHeight="15" x14ac:dyDescent="0.25"/>
  <cols>
    <col min="2" max="2" width="15.42578125" customWidth="1"/>
    <col min="3" max="3" width="94.42578125" customWidth="1"/>
    <col min="4" max="4" width="23" style="41" bestFit="1" customWidth="1"/>
    <col min="5" max="5" width="33.28515625" style="41" bestFit="1" customWidth="1"/>
    <col min="6" max="6" width="30.7109375" style="41" bestFit="1" customWidth="1"/>
    <col min="7" max="7" width="28.28515625" style="41" customWidth="1"/>
    <col min="8" max="8" width="23" style="41" bestFit="1" customWidth="1"/>
    <col min="9" max="9" width="37.7109375" style="41" bestFit="1" customWidth="1"/>
  </cols>
  <sheetData>
    <row r="1" spans="2:9" ht="15.75" thickBot="1" x14ac:dyDescent="0.3">
      <c r="B1" s="22" t="s">
        <v>33</v>
      </c>
      <c r="C1" s="22" t="s">
        <v>1</v>
      </c>
      <c r="D1" s="92" t="s">
        <v>7</v>
      </c>
      <c r="E1" s="92" t="s">
        <v>8</v>
      </c>
      <c r="F1" s="92" t="s">
        <v>9</v>
      </c>
      <c r="G1" s="92" t="s">
        <v>10</v>
      </c>
      <c r="H1" s="92" t="s">
        <v>14</v>
      </c>
      <c r="I1" s="93" t="s">
        <v>114</v>
      </c>
    </row>
    <row r="2" spans="2:9" ht="15.75" thickTop="1" x14ac:dyDescent="0.25">
      <c r="B2" s="21" t="s">
        <v>34</v>
      </c>
      <c r="C2" s="85" t="s">
        <v>105</v>
      </c>
      <c r="D2" s="86">
        <v>199229942693</v>
      </c>
      <c r="E2" s="86">
        <v>199229942693</v>
      </c>
      <c r="F2" s="86">
        <v>199229942693</v>
      </c>
      <c r="G2" s="86">
        <v>667460180</v>
      </c>
      <c r="H2" s="86">
        <v>667460180</v>
      </c>
      <c r="I2" s="94">
        <v>0</v>
      </c>
    </row>
    <row r="3" spans="2:9" x14ac:dyDescent="0.25">
      <c r="B3" s="21" t="s">
        <v>35</v>
      </c>
      <c r="C3" s="85" t="s">
        <v>36</v>
      </c>
      <c r="D3" s="86">
        <v>3111246158</v>
      </c>
      <c r="E3" s="86">
        <v>3111246158</v>
      </c>
      <c r="F3" s="86">
        <v>3111246158</v>
      </c>
      <c r="G3" s="86">
        <v>0</v>
      </c>
      <c r="H3" s="86">
        <v>0</v>
      </c>
      <c r="I3" s="95">
        <v>0</v>
      </c>
    </row>
    <row r="4" spans="2:9" x14ac:dyDescent="0.25">
      <c r="B4" s="21" t="s">
        <v>64</v>
      </c>
      <c r="C4" s="85" t="s">
        <v>48</v>
      </c>
      <c r="D4" s="86">
        <v>267568660974</v>
      </c>
      <c r="E4" s="86">
        <v>267568660974</v>
      </c>
      <c r="F4" s="86">
        <v>267568660974</v>
      </c>
      <c r="G4" s="86">
        <v>515340818</v>
      </c>
      <c r="H4" s="86">
        <v>515340818</v>
      </c>
      <c r="I4" s="95">
        <v>0</v>
      </c>
    </row>
    <row r="5" spans="2:9" x14ac:dyDescent="0.25">
      <c r="B5" s="21" t="s">
        <v>65</v>
      </c>
      <c r="C5" s="85" t="s">
        <v>49</v>
      </c>
      <c r="D5" s="86">
        <v>175859178607</v>
      </c>
      <c r="E5" s="86">
        <v>175859178607</v>
      </c>
      <c r="F5" s="86">
        <v>175859178607</v>
      </c>
      <c r="G5" s="86">
        <v>589163443</v>
      </c>
      <c r="H5" s="86">
        <v>589163443</v>
      </c>
      <c r="I5" s="95">
        <v>0</v>
      </c>
    </row>
    <row r="6" spans="2:9" x14ac:dyDescent="0.25">
      <c r="B6" s="21" t="s">
        <v>66</v>
      </c>
      <c r="C6" s="85" t="s">
        <v>50</v>
      </c>
      <c r="D6" s="86">
        <v>253083219752</v>
      </c>
      <c r="E6" s="86">
        <v>253083219752</v>
      </c>
      <c r="F6" s="86">
        <v>253083219752</v>
      </c>
      <c r="G6" s="86">
        <v>8076357952</v>
      </c>
      <c r="H6" s="86">
        <v>8076357952</v>
      </c>
      <c r="I6" s="95">
        <v>0</v>
      </c>
    </row>
    <row r="7" spans="2:9" x14ac:dyDescent="0.25">
      <c r="B7" s="21" t="s">
        <v>67</v>
      </c>
      <c r="C7" s="85" t="s">
        <v>106</v>
      </c>
      <c r="D7" s="86">
        <v>243923443489</v>
      </c>
      <c r="E7" s="86">
        <v>243923443489</v>
      </c>
      <c r="F7" s="86">
        <v>243923443489</v>
      </c>
      <c r="G7" s="86">
        <v>21653320129</v>
      </c>
      <c r="H7" s="86">
        <v>21653320129</v>
      </c>
      <c r="I7" s="95">
        <v>0</v>
      </c>
    </row>
    <row r="8" spans="2:9" x14ac:dyDescent="0.25">
      <c r="B8" s="21" t="s">
        <v>68</v>
      </c>
      <c r="C8" s="85" t="s">
        <v>51</v>
      </c>
      <c r="D8" s="86">
        <v>173754342655</v>
      </c>
      <c r="E8" s="86">
        <v>173754342655</v>
      </c>
      <c r="F8" s="86">
        <v>173754342655</v>
      </c>
      <c r="G8" s="86">
        <v>26218470693</v>
      </c>
      <c r="H8" s="86">
        <v>26218470693</v>
      </c>
      <c r="I8" s="95">
        <v>0</v>
      </c>
    </row>
    <row r="9" spans="2:9" x14ac:dyDescent="0.25">
      <c r="B9" s="21" t="s">
        <v>69</v>
      </c>
      <c r="C9" s="85" t="s">
        <v>52</v>
      </c>
      <c r="D9" s="86">
        <v>188036887431</v>
      </c>
      <c r="E9" s="86">
        <v>188036887431</v>
      </c>
      <c r="F9" s="86">
        <v>188036887431</v>
      </c>
      <c r="G9" s="86">
        <v>31914916292</v>
      </c>
      <c r="H9" s="86">
        <v>31914916292</v>
      </c>
      <c r="I9" s="95">
        <v>0</v>
      </c>
    </row>
    <row r="10" spans="2:9" x14ac:dyDescent="0.25">
      <c r="B10" s="21" t="s">
        <v>70</v>
      </c>
      <c r="C10" s="85" t="s">
        <v>53</v>
      </c>
      <c r="D10" s="86">
        <v>230526549416</v>
      </c>
      <c r="E10" s="86">
        <v>230526549416</v>
      </c>
      <c r="F10" s="86">
        <v>230526549416</v>
      </c>
      <c r="G10" s="86">
        <v>27184528940</v>
      </c>
      <c r="H10" s="86">
        <v>27184528940</v>
      </c>
      <c r="I10" s="95">
        <v>0</v>
      </c>
    </row>
    <row r="11" spans="2:9" x14ac:dyDescent="0.25">
      <c r="B11" s="21" t="s">
        <v>71</v>
      </c>
      <c r="C11" s="85" t="s">
        <v>133</v>
      </c>
      <c r="D11" s="86">
        <v>12654096592</v>
      </c>
      <c r="E11" s="86">
        <v>11854015066.5</v>
      </c>
      <c r="F11" s="86">
        <v>11161664019.690001</v>
      </c>
      <c r="G11" s="86">
        <v>3439259072.0799999</v>
      </c>
      <c r="H11" s="86">
        <v>3391591966.0799999</v>
      </c>
      <c r="I11" s="95">
        <v>0</v>
      </c>
    </row>
    <row r="12" spans="2:9" x14ac:dyDescent="0.25">
      <c r="B12" s="21" t="s">
        <v>72</v>
      </c>
      <c r="C12" s="85" t="s">
        <v>54</v>
      </c>
      <c r="D12" s="86">
        <v>222571821813</v>
      </c>
      <c r="E12" s="86">
        <v>222571821813</v>
      </c>
      <c r="F12" s="86">
        <v>222571821813</v>
      </c>
      <c r="G12" s="86">
        <v>7839829655</v>
      </c>
      <c r="H12" s="86">
        <v>7839829655</v>
      </c>
      <c r="I12" s="95">
        <v>0</v>
      </c>
    </row>
    <row r="13" spans="2:9" x14ac:dyDescent="0.25">
      <c r="B13" s="21" t="s">
        <v>73</v>
      </c>
      <c r="C13" s="85" t="s">
        <v>107</v>
      </c>
      <c r="D13" s="86">
        <v>256174672458</v>
      </c>
      <c r="E13" s="86">
        <v>256174672458</v>
      </c>
      <c r="F13" s="86">
        <v>256174672458</v>
      </c>
      <c r="G13" s="86">
        <v>783848182</v>
      </c>
      <c r="H13" s="86">
        <v>783848182</v>
      </c>
      <c r="I13" s="95">
        <v>0</v>
      </c>
    </row>
    <row r="14" spans="2:9" x14ac:dyDescent="0.25">
      <c r="B14" s="21" t="s">
        <v>74</v>
      </c>
      <c r="C14" s="85" t="s">
        <v>108</v>
      </c>
      <c r="D14" s="86">
        <v>133566456234</v>
      </c>
      <c r="E14" s="86">
        <v>133566456234</v>
      </c>
      <c r="F14" s="86">
        <v>133566456234</v>
      </c>
      <c r="G14" s="86">
        <v>426302018</v>
      </c>
      <c r="H14" s="86">
        <v>426302018</v>
      </c>
      <c r="I14" s="95">
        <v>0</v>
      </c>
    </row>
    <row r="15" spans="2:9" x14ac:dyDescent="0.25">
      <c r="B15" s="21" t="s">
        <v>75</v>
      </c>
      <c r="C15" s="85" t="s">
        <v>109</v>
      </c>
      <c r="D15" s="86">
        <v>92126982346</v>
      </c>
      <c r="E15" s="86">
        <v>92126982346</v>
      </c>
      <c r="F15" s="86">
        <v>92126982346</v>
      </c>
      <c r="G15" s="86">
        <v>308643829</v>
      </c>
      <c r="H15" s="86">
        <v>308643829</v>
      </c>
      <c r="I15" s="95">
        <v>0</v>
      </c>
    </row>
    <row r="16" spans="2:9" x14ac:dyDescent="0.25">
      <c r="B16" s="21" t="s">
        <v>76</v>
      </c>
      <c r="C16" s="85" t="s">
        <v>55</v>
      </c>
      <c r="D16" s="86">
        <v>177242188803</v>
      </c>
      <c r="E16" s="86">
        <v>177242188803</v>
      </c>
      <c r="F16" s="86">
        <v>177242188803</v>
      </c>
      <c r="G16" s="86">
        <v>12868469971</v>
      </c>
      <c r="H16" s="86">
        <v>12868469971</v>
      </c>
      <c r="I16" s="95">
        <v>0</v>
      </c>
    </row>
    <row r="17" spans="2:9" x14ac:dyDescent="0.25">
      <c r="B17" s="21" t="s">
        <v>63</v>
      </c>
      <c r="C17" s="85" t="s">
        <v>110</v>
      </c>
      <c r="D17" s="86">
        <v>186661572672</v>
      </c>
      <c r="E17" s="86">
        <v>186661572672</v>
      </c>
      <c r="F17" s="86">
        <v>186661572672</v>
      </c>
      <c r="G17" s="86">
        <v>65829708441</v>
      </c>
      <c r="H17" s="86">
        <v>65829708441</v>
      </c>
      <c r="I17" s="95">
        <v>0</v>
      </c>
    </row>
    <row r="18" spans="2:9" x14ac:dyDescent="0.25">
      <c r="B18" s="21" t="s">
        <v>77</v>
      </c>
      <c r="C18" s="85" t="s">
        <v>56</v>
      </c>
      <c r="D18" s="86">
        <v>217966528302</v>
      </c>
      <c r="E18" s="86">
        <v>217966528302</v>
      </c>
      <c r="F18" s="86">
        <v>217966528302</v>
      </c>
      <c r="G18" s="86">
        <v>35582322411</v>
      </c>
      <c r="H18" s="86">
        <v>35582322411</v>
      </c>
      <c r="I18" s="95">
        <v>0</v>
      </c>
    </row>
    <row r="19" spans="2:9" x14ac:dyDescent="0.25">
      <c r="B19" s="21" t="s">
        <v>78</v>
      </c>
      <c r="C19" s="85" t="s">
        <v>57</v>
      </c>
      <c r="D19" s="86">
        <v>264689746048</v>
      </c>
      <c r="E19" s="86">
        <v>264689746048</v>
      </c>
      <c r="F19" s="86">
        <v>264689746048</v>
      </c>
      <c r="G19" s="86">
        <v>18890851579</v>
      </c>
      <c r="H19" s="86">
        <v>18890851579</v>
      </c>
      <c r="I19" s="95">
        <v>0</v>
      </c>
    </row>
    <row r="20" spans="2:9" x14ac:dyDescent="0.25">
      <c r="B20" s="21" t="s">
        <v>79</v>
      </c>
      <c r="C20" s="85" t="s">
        <v>58</v>
      </c>
      <c r="D20" s="86">
        <v>141607661383</v>
      </c>
      <c r="E20" s="86">
        <v>141607661383</v>
      </c>
      <c r="F20" s="86">
        <v>141607661383</v>
      </c>
      <c r="G20" s="86">
        <v>35860807678</v>
      </c>
      <c r="H20" s="86">
        <v>35860807678</v>
      </c>
      <c r="I20" s="95">
        <v>0</v>
      </c>
    </row>
    <row r="21" spans="2:9" x14ac:dyDescent="0.25">
      <c r="B21" s="21" t="s">
        <v>80</v>
      </c>
      <c r="C21" s="85" t="s">
        <v>59</v>
      </c>
      <c r="D21" s="86">
        <v>326484319237</v>
      </c>
      <c r="E21" s="86">
        <v>326484319237</v>
      </c>
      <c r="F21" s="86">
        <v>326484319237</v>
      </c>
      <c r="G21" s="86">
        <v>18896410145</v>
      </c>
      <c r="H21" s="86">
        <v>18896410145</v>
      </c>
      <c r="I21" s="95">
        <v>0</v>
      </c>
    </row>
    <row r="22" spans="2:9" x14ac:dyDescent="0.25">
      <c r="B22" s="21" t="s">
        <v>81</v>
      </c>
      <c r="C22" s="85" t="s">
        <v>60</v>
      </c>
      <c r="D22" s="86">
        <v>103270216578</v>
      </c>
      <c r="E22" s="86">
        <v>103270216578</v>
      </c>
      <c r="F22" s="86">
        <v>103270216578</v>
      </c>
      <c r="G22" s="86">
        <v>2037283578</v>
      </c>
      <c r="H22" s="86">
        <v>2037283578</v>
      </c>
      <c r="I22" s="95">
        <v>0</v>
      </c>
    </row>
    <row r="23" spans="2:9" x14ac:dyDescent="0.25">
      <c r="B23" s="21" t="s">
        <v>82</v>
      </c>
      <c r="C23" s="85" t="s">
        <v>111</v>
      </c>
      <c r="D23" s="86">
        <v>323578411182</v>
      </c>
      <c r="E23" s="86">
        <v>323578411182</v>
      </c>
      <c r="F23" s="86">
        <v>323578411182</v>
      </c>
      <c r="G23" s="86">
        <v>1121067275</v>
      </c>
      <c r="H23" s="86">
        <v>1121067275</v>
      </c>
      <c r="I23" s="95">
        <v>0</v>
      </c>
    </row>
    <row r="24" spans="2:9" x14ac:dyDescent="0.25">
      <c r="B24" s="21" t="s">
        <v>83</v>
      </c>
      <c r="C24" s="85" t="s">
        <v>61</v>
      </c>
      <c r="D24" s="86">
        <v>53127095469</v>
      </c>
      <c r="E24" s="86">
        <v>53127095469</v>
      </c>
      <c r="F24" s="86">
        <v>53127095469</v>
      </c>
      <c r="G24" s="86">
        <v>0</v>
      </c>
      <c r="H24" s="86">
        <v>0</v>
      </c>
      <c r="I24" s="95">
        <v>0</v>
      </c>
    </row>
    <row r="25" spans="2:9" x14ac:dyDescent="0.25">
      <c r="B25" s="21" t="s">
        <v>104</v>
      </c>
      <c r="C25" s="85" t="s">
        <v>134</v>
      </c>
      <c r="D25" s="86">
        <v>105000000000</v>
      </c>
      <c r="E25" s="86">
        <v>4357331701.8699999</v>
      </c>
      <c r="F25" s="86">
        <v>2199548525.96</v>
      </c>
      <c r="G25" s="86">
        <v>715167733.46000004</v>
      </c>
      <c r="H25" s="86">
        <v>715167733.46000004</v>
      </c>
      <c r="I25" s="95">
        <v>0</v>
      </c>
    </row>
    <row r="26" spans="2:9" x14ac:dyDescent="0.25">
      <c r="B26" s="21" t="s">
        <v>84</v>
      </c>
      <c r="C26" s="85" t="s">
        <v>112</v>
      </c>
      <c r="D26" s="86">
        <v>2257022926</v>
      </c>
      <c r="E26" s="86">
        <v>2032934127.5</v>
      </c>
      <c r="F26" s="86">
        <v>1988051121.6400001</v>
      </c>
      <c r="G26" s="86">
        <v>674609824.63999999</v>
      </c>
      <c r="H26" s="86">
        <v>626917187.63999999</v>
      </c>
      <c r="I26" s="95">
        <v>0</v>
      </c>
    </row>
    <row r="27" spans="2:9" x14ac:dyDescent="0.25">
      <c r="B27" s="21" t="s">
        <v>129</v>
      </c>
      <c r="C27" s="85" t="s">
        <v>130</v>
      </c>
      <c r="D27" s="86">
        <v>3785000000</v>
      </c>
      <c r="E27" s="86">
        <v>2088011826</v>
      </c>
      <c r="F27" s="86">
        <v>2088011826</v>
      </c>
      <c r="G27" s="86">
        <v>0</v>
      </c>
      <c r="H27" s="86">
        <v>0</v>
      </c>
      <c r="I27" s="95">
        <v>0</v>
      </c>
    </row>
    <row r="28" spans="2:9" s="10" customFormat="1" x14ac:dyDescent="0.25">
      <c r="B28" s="79" t="s">
        <v>37</v>
      </c>
      <c r="C28" s="85" t="s">
        <v>38</v>
      </c>
      <c r="D28" s="86">
        <v>76235881312</v>
      </c>
      <c r="E28" s="86">
        <v>49002053305</v>
      </c>
      <c r="F28" s="86">
        <v>48135153984</v>
      </c>
      <c r="G28" s="86">
        <v>5967172210.8000002</v>
      </c>
      <c r="H28" s="86">
        <v>5967172210.8000002</v>
      </c>
      <c r="I28" s="96">
        <v>0</v>
      </c>
    </row>
    <row r="29" spans="2:9" s="10" customFormat="1" x14ac:dyDescent="0.25">
      <c r="B29" s="79" t="s">
        <v>85</v>
      </c>
      <c r="C29" s="85" t="s">
        <v>113</v>
      </c>
      <c r="D29" s="86">
        <v>1124097372</v>
      </c>
      <c r="E29" s="86">
        <v>900206198</v>
      </c>
      <c r="F29" s="86">
        <v>850941931.99000001</v>
      </c>
      <c r="G29" s="86">
        <v>276202846.99000001</v>
      </c>
      <c r="H29" s="86">
        <v>269703332.99000001</v>
      </c>
      <c r="I29" s="96">
        <v>0</v>
      </c>
    </row>
    <row r="30" spans="2:9" x14ac:dyDescent="0.25">
      <c r="B30" s="21" t="s">
        <v>39</v>
      </c>
      <c r="C30" s="85" t="s">
        <v>135</v>
      </c>
      <c r="D30" s="86">
        <v>1000000000</v>
      </c>
      <c r="E30" s="86">
        <v>874002500</v>
      </c>
      <c r="F30" s="86">
        <v>367250432</v>
      </c>
      <c r="G30" s="86">
        <v>0</v>
      </c>
      <c r="H30" s="86">
        <v>0</v>
      </c>
      <c r="I30" s="95">
        <v>0</v>
      </c>
    </row>
    <row r="31" spans="2:9" x14ac:dyDescent="0.25">
      <c r="B31" s="21" t="s">
        <v>86</v>
      </c>
      <c r="C31" s="85" t="s">
        <v>62</v>
      </c>
      <c r="D31" s="86">
        <v>3056837754</v>
      </c>
      <c r="E31" s="86">
        <v>2887620760</v>
      </c>
      <c r="F31" s="86">
        <v>2795559471</v>
      </c>
      <c r="G31" s="86">
        <v>870672361.20000005</v>
      </c>
      <c r="H31" s="86">
        <v>850028334.20000005</v>
      </c>
      <c r="I31" s="95">
        <v>0</v>
      </c>
    </row>
    <row r="32" spans="2:9" x14ac:dyDescent="0.25">
      <c r="B32" s="21" t="s">
        <v>131</v>
      </c>
      <c r="C32" s="85" t="s">
        <v>132</v>
      </c>
      <c r="D32" s="86">
        <v>907945356</v>
      </c>
      <c r="E32" s="86">
        <v>155805484</v>
      </c>
      <c r="F32" s="86">
        <v>151684501.33000001</v>
      </c>
      <c r="G32" s="86">
        <v>55258282.82</v>
      </c>
      <c r="H32" s="86">
        <v>55258282.82</v>
      </c>
      <c r="I32" s="95"/>
    </row>
    <row r="33" spans="2:9" x14ac:dyDescent="0.25">
      <c r="B33" s="21" t="s">
        <v>40</v>
      </c>
      <c r="C33" s="85" t="s">
        <v>136</v>
      </c>
      <c r="D33" s="86">
        <v>200000000</v>
      </c>
      <c r="E33" s="86">
        <v>144566687</v>
      </c>
      <c r="F33" s="86">
        <v>79901202.659999996</v>
      </c>
      <c r="G33" s="86">
        <v>28386757.66</v>
      </c>
      <c r="H33" s="86">
        <v>24298309.66</v>
      </c>
      <c r="I33" s="95">
        <v>0</v>
      </c>
    </row>
    <row r="34" spans="2:9" x14ac:dyDescent="0.25">
      <c r="B34" s="21" t="s">
        <v>41</v>
      </c>
      <c r="C34" s="85" t="s">
        <v>137</v>
      </c>
      <c r="D34" s="86">
        <v>58800000000</v>
      </c>
      <c r="E34" s="86">
        <v>28076102349.82</v>
      </c>
      <c r="F34" s="86">
        <v>15001329664.83</v>
      </c>
      <c r="G34" s="86">
        <v>4466042110.29</v>
      </c>
      <c r="H34" s="86">
        <v>4424144332.29</v>
      </c>
      <c r="I34" s="95">
        <v>0</v>
      </c>
    </row>
    <row r="35" spans="2:9" x14ac:dyDescent="0.25">
      <c r="B35" s="21" t="s">
        <v>42</v>
      </c>
      <c r="C35" s="85" t="s">
        <v>138</v>
      </c>
      <c r="D35" s="86">
        <v>5000000000</v>
      </c>
      <c r="E35" s="86">
        <v>3419411389.79</v>
      </c>
      <c r="F35" s="86">
        <v>3239307873.0799999</v>
      </c>
      <c r="G35" s="86">
        <v>1802598510.0799999</v>
      </c>
      <c r="H35" s="86">
        <v>1786712122.0799999</v>
      </c>
      <c r="I35" s="95">
        <v>0</v>
      </c>
    </row>
    <row r="36" spans="2:9" x14ac:dyDescent="0.25">
      <c r="B36" s="21" t="s">
        <v>44</v>
      </c>
      <c r="C36" s="85" t="s">
        <v>139</v>
      </c>
      <c r="D36" s="86">
        <v>1000000000</v>
      </c>
      <c r="E36" s="86">
        <v>910769216</v>
      </c>
      <c r="F36" s="86">
        <v>910735114.75</v>
      </c>
      <c r="G36" s="86">
        <v>294123243.75</v>
      </c>
      <c r="H36" s="86">
        <v>291436549.75</v>
      </c>
      <c r="I36" s="95">
        <v>0</v>
      </c>
    </row>
    <row r="37" spans="2:9" x14ac:dyDescent="0.25">
      <c r="C37" s="1"/>
    </row>
    <row r="38" spans="2:9" x14ac:dyDescent="0.25">
      <c r="D38" s="41">
        <f>SUM(D2:D36)</f>
        <v>4505182025012</v>
      </c>
      <c r="E38" s="41">
        <f>+SUM(E2:E36)</f>
        <v>4340863974311.48</v>
      </c>
      <c r="F38" s="41">
        <f>+SUM(F2:F36)</f>
        <v>4323130283368.9307</v>
      </c>
      <c r="G38" s="41">
        <f>+SUM(G2:G36)</f>
        <v>335854596162.77002</v>
      </c>
      <c r="H38" s="41">
        <f>+SUM(H2:H36)</f>
        <v>335667533570.77002</v>
      </c>
      <c r="I38" s="41">
        <f>+SUM(I2:I36)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5" tint="-0.249977111117893"/>
  </sheetPr>
  <dimension ref="A6:O68"/>
  <sheetViews>
    <sheetView showGridLines="0" showRowColHeaders="0" zoomScale="95" zoomScaleNormal="95" workbookViewId="0">
      <selection activeCell="G39" sqref="G39"/>
    </sheetView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2" bestFit="1" customWidth="1"/>
  </cols>
  <sheetData>
    <row r="6" spans="1:14" x14ac:dyDescent="0.25">
      <c r="B6" s="4" t="s">
        <v>5</v>
      </c>
      <c r="C6" t="s">
        <v>20</v>
      </c>
      <c r="D6" t="s">
        <v>43</v>
      </c>
      <c r="E6" t="s">
        <v>18</v>
      </c>
      <c r="F6" t="s">
        <v>19</v>
      </c>
    </row>
    <row r="7" spans="1:14" x14ac:dyDescent="0.25">
      <c r="B7" s="2" t="s">
        <v>26</v>
      </c>
      <c r="C7" s="23">
        <v>99785.985369999995</v>
      </c>
      <c r="D7" s="23">
        <v>33825.69735237</v>
      </c>
      <c r="E7" s="23">
        <v>25839.823353460004</v>
      </c>
      <c r="F7" s="23">
        <v>24693.090296460003</v>
      </c>
    </row>
    <row r="8" spans="1:14" x14ac:dyDescent="0.25">
      <c r="B8" s="2" t="s">
        <v>27</v>
      </c>
      <c r="C8" s="23">
        <v>1167604.3350470001</v>
      </c>
      <c r="D8" s="23">
        <v>157603.58227700001</v>
      </c>
      <c r="E8" s="23">
        <v>157603.58227700001</v>
      </c>
      <c r="F8" s="23">
        <v>157603.58227700001</v>
      </c>
    </row>
    <row r="9" spans="1:14" x14ac:dyDescent="0.25">
      <c r="B9" s="2" t="s">
        <v>28</v>
      </c>
      <c r="C9" s="23">
        <v>4505182.0250120005</v>
      </c>
      <c r="D9" s="23">
        <v>4323130.2833689302</v>
      </c>
      <c r="E9" s="23">
        <v>335854.59616277006</v>
      </c>
      <c r="F9" s="23">
        <v>335667.53357077006</v>
      </c>
    </row>
    <row r="10" spans="1:14" x14ac:dyDescent="0.25">
      <c r="B10" s="2" t="s">
        <v>6</v>
      </c>
      <c r="C10" s="23">
        <v>5772572.3454290004</v>
      </c>
      <c r="D10" s="23">
        <v>4514559.5629983004</v>
      </c>
      <c r="E10" s="23">
        <v>519298.00179323007</v>
      </c>
      <c r="F10" s="23">
        <v>517964.20614423009</v>
      </c>
      <c r="H10" s="5"/>
      <c r="J10" s="5"/>
    </row>
    <row r="16" spans="1:14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5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7"/>
      <c r="O21" s="98"/>
    </row>
    <row r="22" spans="1:1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5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18"/>
      <c r="K39" s="18"/>
      <c r="L39" s="18"/>
      <c r="M39" s="18"/>
      <c r="N39" s="18"/>
    </row>
    <row r="40" spans="1:14" hidden="1" outlineLevel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20"/>
      <c r="K40" s="20"/>
      <c r="L40" s="18"/>
      <c r="M40" s="18"/>
      <c r="N40" s="18"/>
    </row>
    <row r="41" spans="1:14" s="11" customFormat="1" hidden="1" outlineLevel="1" x14ac:dyDescent="0.25">
      <c r="A41" s="36"/>
      <c r="B41" s="99" t="s">
        <v>5</v>
      </c>
      <c r="C41" s="99" t="s">
        <v>20</v>
      </c>
      <c r="D41" s="99" t="s">
        <v>43</v>
      </c>
      <c r="E41" s="99" t="s">
        <v>18</v>
      </c>
      <c r="F41" s="99" t="s">
        <v>19</v>
      </c>
      <c r="G41" s="36"/>
      <c r="H41" s="36"/>
      <c r="I41" s="36"/>
      <c r="L41" s="27"/>
      <c r="M41" s="27"/>
      <c r="N41" s="27"/>
    </row>
    <row r="42" spans="1:14" s="11" customFormat="1" hidden="1" outlineLevel="1" x14ac:dyDescent="0.25">
      <c r="A42" s="36"/>
      <c r="B42" s="100" t="s">
        <v>26</v>
      </c>
      <c r="C42" s="101">
        <f>+GETPIVOTDATA("APROPIACION",$B$6,"DESCRIPCION","A-FUNCIONAMIENTO")</f>
        <v>99785.985369999995</v>
      </c>
      <c r="D42" s="102">
        <f>+GETPIVOTDATA("COMPROMISOS",$B$6,"DESCRIPCION","A-FUNCIONAMIENTO")/C42</f>
        <v>0.33898244555030949</v>
      </c>
      <c r="E42" s="103">
        <f>+GETPIVOTDATA(" OBLIGACIONES",$B$6,"DESCRIPCION","A-FUNCIONAMIENTO")/C42</f>
        <v>0.25895242961872456</v>
      </c>
      <c r="F42" s="103">
        <f>+GETPIVOTDATA(" PAGOS",$B$6,"DESCRIPCION","A-FUNCIONAMIENTO")/GETPIVOTDATA("APROPIACION",$B$6,"DESCRIPCION","A-FUNCIONAMIENTO")</f>
        <v>0.24746050464801864</v>
      </c>
      <c r="G42" s="36"/>
      <c r="H42" s="36"/>
      <c r="I42" s="36"/>
      <c r="L42" s="27"/>
      <c r="M42" s="27"/>
      <c r="N42" s="27"/>
    </row>
    <row r="43" spans="1:14" s="11" customFormat="1" hidden="1" outlineLevel="1" x14ac:dyDescent="0.25">
      <c r="A43" s="36"/>
      <c r="B43" s="100" t="s">
        <v>27</v>
      </c>
      <c r="C43" s="101">
        <f>+GETPIVOTDATA("APROPIACION",$B$6,"DESCRIPCION","B-SERVICIO DE LA DEUDA PÚBLICA")</f>
        <v>1167604.3350470001</v>
      </c>
      <c r="D43" s="104">
        <f>+GETPIVOTDATA("COMPROMISOS",$B$6,"DESCRIPCION","B-SERVICIO DE LA DEUDA PÚBLICA")/C43</f>
        <v>0.13498029901598124</v>
      </c>
      <c r="E43" s="104">
        <f>+GETPIVOTDATA(" OBLIGACIONES",$B$6,"DESCRIPCION","B-SERVICIO DE LA DEUDA PÚBLICA")/GETPIVOTDATA("APROPIACION",$B$6,"DESCRIPCION","B-SERVICIO DE LA DEUDA PÚBLICA")</f>
        <v>0.13498029901598124</v>
      </c>
      <c r="F43" s="104">
        <f>+GETPIVOTDATA(" PAGOS",$B$6,"DESCRIPCION","B-SERVICIO DE LA DEUDA PÚBLICA")/GETPIVOTDATA("APROPIACION",$B$6,"DESCRIPCION","B-SERVICIO DE LA DEUDA PÚBLICA")</f>
        <v>0.13498029901598124</v>
      </c>
      <c r="G43" s="36"/>
      <c r="H43" s="36"/>
      <c r="I43" s="36"/>
      <c r="L43" s="110"/>
      <c r="M43" s="110"/>
      <c r="N43" s="110"/>
    </row>
    <row r="44" spans="1:14" s="11" customFormat="1" hidden="1" outlineLevel="1" x14ac:dyDescent="0.25">
      <c r="A44" s="36"/>
      <c r="B44" s="100" t="s">
        <v>28</v>
      </c>
      <c r="C44" s="105">
        <f>+GETPIVOTDATA("APROPIACION",$B$6,"DESCRIPCION","C- INVERSION")</f>
        <v>4505182.0250120005</v>
      </c>
      <c r="D44" s="102">
        <f>+GETPIVOTDATA("COMPROMISOS",$B$6,"DESCRIPCION","C- INVERSION")/C44</f>
        <v>0.95959059131632196</v>
      </c>
      <c r="E44" s="102">
        <f>+GETPIVOTDATA(" OBLIGACIONES",$B$6,"DESCRIPCION","C- INVERSION")/GETPIVOTDATA("APROPIACION",$B$6,"DESCRIPCION","C- INVERSION")</f>
        <v>7.4548507540464021E-2</v>
      </c>
      <c r="F44" s="102">
        <f>+GETPIVOTDATA(" PAGOS",$B$6,"DESCRIPCION","C- INVERSION")/GETPIVOTDATA("APROPIACION",$B$6,"DESCRIPCION","C- INVERSION")</f>
        <v>7.4506985890292837E-2</v>
      </c>
      <c r="G44" s="36"/>
      <c r="H44" s="36"/>
      <c r="I44" s="36"/>
      <c r="L44" s="27"/>
      <c r="M44" s="27"/>
      <c r="N44" s="27"/>
    </row>
    <row r="45" spans="1:14" s="11" customFormat="1" hidden="1" outlineLevel="1" x14ac:dyDescent="0.25">
      <c r="A45" s="36"/>
      <c r="B45" s="106" t="s">
        <v>6</v>
      </c>
      <c r="C45" s="107">
        <f>+GETPIVOTDATA("APROPIACION",$B$6)</f>
        <v>5772572.3454290004</v>
      </c>
      <c r="D45" s="108">
        <f>+GETPIVOTDATA("COMPROMISOS",$B$6)/GETPIVOTDATA("APROPIACION",$B$6)</f>
        <v>0.78207067713463052</v>
      </c>
      <c r="E45" s="109">
        <f>+GETPIVOTDATA(" OBLIGACIONES",$B$6)/GETPIVOTDATA("APROPIACION",$B$6)</f>
        <v>8.995954848524941E-2</v>
      </c>
      <c r="F45" s="109">
        <f>+GETPIVOTDATA(" PAGOS",$B$6)/GETPIVOTDATA("APROPIACION",$B$6)</f>
        <v>8.9728491069389363E-2</v>
      </c>
      <c r="G45" s="36"/>
      <c r="H45" s="36"/>
      <c r="I45" s="36"/>
      <c r="L45" s="27"/>
      <c r="M45" s="27"/>
      <c r="N45" s="27"/>
    </row>
    <row r="46" spans="1:14" s="11" customFormat="1" hidden="1" outlineLevel="1" x14ac:dyDescent="0.25">
      <c r="A46" s="36"/>
      <c r="B46" s="36"/>
      <c r="C46" s="36"/>
      <c r="D46" s="36"/>
      <c r="E46" s="36"/>
      <c r="F46" s="36"/>
      <c r="G46" s="36"/>
      <c r="H46" s="36"/>
      <c r="I46" s="36"/>
      <c r="L46" s="28"/>
      <c r="M46" s="28"/>
      <c r="N46" s="28"/>
    </row>
    <row r="47" spans="1:14" hidden="1" outlineLevel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20"/>
      <c r="K47" s="20"/>
      <c r="L47" s="29"/>
      <c r="M47" s="29"/>
      <c r="N47" s="29"/>
    </row>
    <row r="48" spans="1:14" hidden="1" outlineLevel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20"/>
      <c r="K48" s="20"/>
      <c r="L48" s="29"/>
      <c r="M48" s="29"/>
      <c r="N48" s="29"/>
    </row>
    <row r="49" spans="1:14" hidden="1" outlineLevel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0"/>
      <c r="K49" s="20"/>
      <c r="L49" s="29"/>
      <c r="M49" s="29"/>
      <c r="N49" s="29"/>
    </row>
    <row r="50" spans="1:14" hidden="1" outlineLevel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20"/>
      <c r="K50" s="20"/>
      <c r="L50" s="29"/>
      <c r="M50" s="29"/>
      <c r="N50" s="29"/>
    </row>
    <row r="51" spans="1:14" hidden="1" outlineLevel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20"/>
      <c r="K51" s="20"/>
      <c r="L51" s="29"/>
      <c r="M51" s="29"/>
      <c r="N51" s="29"/>
    </row>
    <row r="52" spans="1:14" hidden="1" outlineLevel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20"/>
      <c r="K52" s="20"/>
      <c r="L52" s="29"/>
      <c r="M52" s="29"/>
      <c r="N52" s="29"/>
    </row>
    <row r="53" spans="1:14" hidden="1" outlineLevel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20"/>
      <c r="K53" s="20"/>
      <c r="L53" s="29"/>
      <c r="M53" s="29"/>
      <c r="N53" s="29"/>
    </row>
    <row r="54" spans="1:14" hidden="1" outlineLevel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20"/>
      <c r="L54" s="29"/>
      <c r="M54" s="29"/>
      <c r="N54" s="29"/>
    </row>
    <row r="55" spans="1:14" hidden="1" outlineLevel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hidden="1" outlineLevel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collapsed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5"/>
      <c r="K57" s="29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5"/>
      <c r="K58" s="29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5"/>
      <c r="K59" s="29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6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</row>
    <row r="65" spans="1:9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35"/>
      <c r="B66" s="35"/>
      <c r="C66" s="35"/>
      <c r="D66" s="35"/>
      <c r="E66" s="35"/>
      <c r="F66" s="35"/>
      <c r="G66" s="35"/>
      <c r="H66" s="35"/>
      <c r="I66" s="35"/>
    </row>
    <row r="67" spans="1:9" x14ac:dyDescent="0.25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-0.249977111117893"/>
    <pageSetUpPr fitToPage="1"/>
  </sheetPr>
  <dimension ref="A6:K89"/>
  <sheetViews>
    <sheetView showGridLines="0" showRowColHeaders="0" topLeftCell="B1" zoomScale="99" zoomScaleNormal="99" workbookViewId="0">
      <selection activeCell="G30" sqref="G30"/>
    </sheetView>
  </sheetViews>
  <sheetFormatPr baseColWidth="10" defaultRowHeight="15" outlineLevelRow="1" x14ac:dyDescent="0.25"/>
  <cols>
    <col min="1" max="1" width="7.42578125" customWidth="1"/>
    <col min="2" max="2" width="56.42578125" bestFit="1" customWidth="1"/>
    <col min="3" max="3" width="14" bestFit="1" customWidth="1"/>
    <col min="4" max="4" width="15.42578125" bestFit="1" customWidth="1"/>
    <col min="5" max="5" width="14.7109375" bestFit="1" customWidth="1"/>
    <col min="6" max="6" width="14.42578125" bestFit="1" customWidth="1"/>
  </cols>
  <sheetData>
    <row r="6" spans="2:6" ht="30" x14ac:dyDescent="0.25">
      <c r="B6" s="4" t="s">
        <v>5</v>
      </c>
      <c r="C6" s="16" t="s">
        <v>21</v>
      </c>
      <c r="D6" s="16" t="s">
        <v>12</v>
      </c>
      <c r="E6" s="16" t="s">
        <v>13</v>
      </c>
      <c r="F6" s="16" t="s">
        <v>17</v>
      </c>
    </row>
    <row r="7" spans="2:6" x14ac:dyDescent="0.25">
      <c r="B7" s="2" t="s">
        <v>29</v>
      </c>
      <c r="C7" s="23">
        <v>51464.345000000001</v>
      </c>
      <c r="D7" s="23">
        <v>18923.725936360002</v>
      </c>
      <c r="E7" s="23">
        <v>18923.725936360002</v>
      </c>
      <c r="F7" s="23">
        <v>17986.57081836</v>
      </c>
    </row>
    <row r="8" spans="2:6" x14ac:dyDescent="0.25">
      <c r="B8" s="2" t="s">
        <v>30</v>
      </c>
      <c r="C8" s="23">
        <v>19419.071</v>
      </c>
      <c r="D8" s="23">
        <v>14850.801670969999</v>
      </c>
      <c r="E8" s="23">
        <v>6864.9276720600001</v>
      </c>
      <c r="F8" s="23">
        <v>6655.3497330600003</v>
      </c>
    </row>
    <row r="9" spans="2:6" x14ac:dyDescent="0.25">
      <c r="B9" s="2" t="s">
        <v>31</v>
      </c>
      <c r="C9" s="23">
        <v>14851.09737</v>
      </c>
      <c r="D9" s="23">
        <v>51.169745040000002</v>
      </c>
      <c r="E9" s="23">
        <v>51.169745040000002</v>
      </c>
      <c r="F9" s="23">
        <v>51.169745040000002</v>
      </c>
    </row>
    <row r="10" spans="2:6" ht="30" x14ac:dyDescent="0.25">
      <c r="B10" s="12" t="s">
        <v>32</v>
      </c>
      <c r="C10" s="23">
        <v>14051.472</v>
      </c>
      <c r="D10" s="23">
        <v>0</v>
      </c>
      <c r="E10" s="23">
        <v>0</v>
      </c>
      <c r="F10" s="23">
        <v>0</v>
      </c>
    </row>
    <row r="11" spans="2:6" x14ac:dyDescent="0.25">
      <c r="B11" s="2" t="s">
        <v>6</v>
      </c>
      <c r="C11" s="23">
        <v>99785.985369999995</v>
      </c>
      <c r="D11" s="23">
        <v>33825.697352370007</v>
      </c>
      <c r="E11" s="23">
        <v>25839.82335346</v>
      </c>
      <c r="F11" s="23">
        <v>24693.090296459999</v>
      </c>
    </row>
    <row r="16" spans="2:6" x14ac:dyDescent="0.25">
      <c r="B16" s="15"/>
      <c r="C16" s="15"/>
      <c r="D16" s="15"/>
      <c r="E16" s="15"/>
      <c r="F16" s="15"/>
    </row>
    <row r="17" spans="2:6" x14ac:dyDescent="0.25">
      <c r="B17" s="15"/>
      <c r="C17" s="15"/>
      <c r="D17" s="15"/>
      <c r="E17" s="15"/>
      <c r="F17" s="15"/>
    </row>
    <row r="18" spans="2:6" x14ac:dyDescent="0.25">
      <c r="B18" s="15"/>
      <c r="C18" s="15"/>
      <c r="D18" s="15"/>
      <c r="E18" s="15"/>
      <c r="F18" s="15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x14ac:dyDescent="0.25">
      <c r="B22" s="15"/>
      <c r="C22" s="15"/>
      <c r="D22" s="15"/>
      <c r="E22" s="15"/>
      <c r="F22" s="15"/>
    </row>
    <row r="23" spans="2:6" x14ac:dyDescent="0.25">
      <c r="B23" s="15"/>
      <c r="C23" s="15"/>
      <c r="D23" s="15"/>
      <c r="E23" s="15"/>
      <c r="F23" s="15"/>
    </row>
    <row r="24" spans="2:6" x14ac:dyDescent="0.25">
      <c r="B24" s="15"/>
      <c r="C24" s="15"/>
      <c r="D24" s="15"/>
      <c r="E24" s="15"/>
      <c r="F24" s="15"/>
    </row>
    <row r="25" spans="2:6" x14ac:dyDescent="0.25">
      <c r="B25" s="15"/>
      <c r="C25" s="15"/>
      <c r="D25" s="15"/>
      <c r="E25" s="15"/>
      <c r="F25" s="15"/>
    </row>
    <row r="26" spans="2:6" x14ac:dyDescent="0.25">
      <c r="B26" s="15"/>
      <c r="C26" s="15"/>
      <c r="D26" s="15"/>
      <c r="E26" s="15"/>
      <c r="F26" s="15"/>
    </row>
    <row r="27" spans="2:6" x14ac:dyDescent="0.25">
      <c r="B27" s="15"/>
      <c r="C27" s="15"/>
      <c r="D27" s="15"/>
      <c r="E27" s="15"/>
      <c r="F27" s="15"/>
    </row>
    <row r="28" spans="2:6" x14ac:dyDescent="0.25">
      <c r="B28" s="15"/>
      <c r="C28" s="15"/>
      <c r="D28" s="15"/>
      <c r="E28" s="15"/>
      <c r="F28" s="15"/>
    </row>
    <row r="29" spans="2:6" x14ac:dyDescent="0.25">
      <c r="B29" s="15"/>
      <c r="C29" s="15"/>
      <c r="D29" s="15"/>
      <c r="E29" s="15"/>
      <c r="F29" s="15"/>
    </row>
    <row r="30" spans="2:6" x14ac:dyDescent="0.25">
      <c r="B30" s="15"/>
      <c r="C30" s="15"/>
      <c r="D30" s="15"/>
      <c r="E30" s="15"/>
      <c r="F30" s="15"/>
    </row>
    <row r="31" spans="2:6" x14ac:dyDescent="0.25">
      <c r="B31" s="15"/>
      <c r="C31" s="15"/>
      <c r="D31" s="15"/>
      <c r="E31" s="15"/>
      <c r="F31" s="15"/>
    </row>
    <row r="32" spans="2:6" x14ac:dyDescent="0.25">
      <c r="B32" s="15"/>
      <c r="C32" s="15"/>
      <c r="D32" s="15"/>
      <c r="E32" s="15"/>
      <c r="F32" s="15"/>
    </row>
    <row r="33" spans="1:11" x14ac:dyDescent="0.25">
      <c r="B33" s="15"/>
      <c r="C33" s="15"/>
      <c r="D33" s="15"/>
      <c r="E33" s="15"/>
      <c r="F33" s="15"/>
    </row>
    <row r="34" spans="1:11" x14ac:dyDescent="0.25">
      <c r="B34" s="15"/>
      <c r="C34" s="15"/>
      <c r="D34" s="15"/>
      <c r="E34" s="15"/>
      <c r="F34" s="15"/>
    </row>
    <row r="35" spans="1:11" x14ac:dyDescent="0.25">
      <c r="B35" s="15"/>
      <c r="C35" s="15"/>
      <c r="D35" s="15"/>
      <c r="E35" s="15"/>
      <c r="F35" s="15"/>
    </row>
    <row r="36" spans="1:11" x14ac:dyDescent="0.25">
      <c r="B36" s="15"/>
      <c r="C36" s="15"/>
      <c r="D36" s="15"/>
      <c r="E36" s="15"/>
      <c r="F36" s="15"/>
    </row>
    <row r="37" spans="1:11" x14ac:dyDescent="0.25">
      <c r="B37" s="15"/>
      <c r="C37" s="15"/>
      <c r="D37" s="15"/>
      <c r="E37" s="15"/>
      <c r="F37" s="15"/>
    </row>
    <row r="38" spans="1:11" x14ac:dyDescent="0.25">
      <c r="B38" s="15"/>
      <c r="C38" s="15"/>
      <c r="D38" s="15"/>
      <c r="E38" s="15"/>
      <c r="F38" s="15"/>
    </row>
    <row r="39" spans="1:11" x14ac:dyDescent="0.25">
      <c r="B39" s="15"/>
      <c r="C39" s="15"/>
      <c r="D39" s="15"/>
      <c r="E39" s="15"/>
      <c r="F39" s="15"/>
    </row>
    <row r="40" spans="1:11" x14ac:dyDescent="0.25">
      <c r="B40" s="15"/>
      <c r="C40" s="15"/>
      <c r="D40" s="15"/>
      <c r="E40" s="15"/>
      <c r="F40" s="15"/>
    </row>
    <row r="41" spans="1:11" x14ac:dyDescent="0.25">
      <c r="B41" s="15"/>
      <c r="C41" s="15"/>
      <c r="D41" s="15"/>
      <c r="E41" s="15"/>
      <c r="F41" s="15"/>
    </row>
    <row r="42" spans="1:11" x14ac:dyDescent="0.25">
      <c r="A42" s="14"/>
      <c r="B42" s="20"/>
      <c r="C42" s="20"/>
      <c r="D42" s="20"/>
      <c r="E42" s="20"/>
      <c r="F42" s="19"/>
      <c r="G42" s="19"/>
      <c r="H42" s="10"/>
    </row>
    <row r="43" spans="1:11" x14ac:dyDescent="0.25">
      <c r="A43" s="14"/>
      <c r="B43" s="20" t="s">
        <v>5</v>
      </c>
      <c r="C43" s="20" t="s">
        <v>21</v>
      </c>
      <c r="D43" s="20" t="s">
        <v>12</v>
      </c>
      <c r="E43" s="20" t="s">
        <v>13</v>
      </c>
      <c r="F43" s="20" t="s">
        <v>17</v>
      </c>
      <c r="G43" s="20"/>
      <c r="H43" s="10"/>
    </row>
    <row r="44" spans="1:11" hidden="1" outlineLevel="1" x14ac:dyDescent="0.25">
      <c r="A44" s="35"/>
      <c r="B44" s="111" t="s">
        <v>29</v>
      </c>
      <c r="C44" s="111">
        <f>+GETPIVOTDATA(" APROPIACION
 VIGENTE",$B$6,"DESCRIPCION","A-01 -GASTOS DE PERSONAL")</f>
        <v>51464.345000000001</v>
      </c>
      <c r="D44" s="112">
        <f>+GETPIVOTDATA(" COMPROMISOS
 ACUMULADOS",$B$6,"DESCRIPCION","A-01 -GASTOS DE PERSONAL")/GETPIVOTDATA(" APROPIACION
 VIGENTE",$B$6,"DESCRIPCION","A-01 -GASTOS DE PERSONAL")</f>
        <v>0.36770556268344623</v>
      </c>
      <c r="E44" s="112">
        <f>+GETPIVOTDATA(" OBLIGACIONES
 ACUMULADAS",$B$6,"DESCRIPCION","A-01 -GASTOS DE PERSONAL")/GETPIVOTDATA(" APROPIACION
 VIGENTE",$B$6,"DESCRIPCION","A-01 -GASTOS DE PERSONAL")</f>
        <v>0.36770556268344623</v>
      </c>
      <c r="F44" s="112">
        <f>+GETPIVOTDATA(" PAGOS
 ACUMULADOS",$B$6,"DESCRIPCION","A-01 -GASTOS DE PERSONAL")/GETPIVOTDATA(" APROPIACION
 VIGENTE",$B$6,"DESCRIPCION","A-01 -GASTOS DE PERSONAL")</f>
        <v>0.34949576873775423</v>
      </c>
      <c r="G44" s="15"/>
      <c r="H44" s="15"/>
      <c r="I44" s="15"/>
      <c r="J44" s="15"/>
      <c r="K44" s="15"/>
    </row>
    <row r="45" spans="1:11" hidden="1" outlineLevel="1" x14ac:dyDescent="0.25">
      <c r="A45" s="35"/>
      <c r="B45" s="111" t="s">
        <v>30</v>
      </c>
      <c r="C45" s="111">
        <f>+GETPIVOTDATA(" APROPIACION
 VIGENTE",$B$6,"DESCRIPCION","A-02 -ADQUISICIÓN DE BIENES  Y SERVICIOS")</f>
        <v>19419.071</v>
      </c>
      <c r="D45" s="112">
        <f>+GETPIVOTDATA(" COMPROMISOS
 ACUMULADOS",$B$6,"DESCRIPCION","A-02 -ADQUISICIÓN DE BIENES  Y SERVICIOS")/GETPIVOTDATA(" APROPIACION
 VIGENTE",$B$6,"DESCRIPCION","A-02 -ADQUISICIÓN DE BIENES  Y SERVICIOS")</f>
        <v>0.76475345658759875</v>
      </c>
      <c r="E45" s="112">
        <f>+GETPIVOTDATA(" OBLIGACIONES
 ACUMULADAS",$B$6,"DESCRIPCION","A-02 -ADQUISICIÓN DE BIENES  Y SERVICIOS")/GETPIVOTDATA(" APROPIACION
 VIGENTE",$B$6,"DESCRIPCION","A-02 -ADQUISICIÓN DE BIENES  Y SERVICIOS")</f>
        <v>0.35351473157804514</v>
      </c>
      <c r="F45" s="112">
        <f>+GETPIVOTDATA(" PAGOS
 ACUMULADOS",$B$6,"DESCRIPCION","A-02 -ADQUISICIÓN DE BIENES  Y SERVICIOS")/GETPIVOTDATA(" APROPIACION
 VIGENTE",$B$6,"DESCRIPCION","A-02 -ADQUISICIÓN DE BIENES  Y SERVICIOS")</f>
        <v>0.34272235438348209</v>
      </c>
      <c r="G45" s="15"/>
      <c r="H45" s="15"/>
      <c r="I45" s="15"/>
      <c r="J45" s="15"/>
      <c r="K45" s="15"/>
    </row>
    <row r="46" spans="1:11" hidden="1" outlineLevel="1" x14ac:dyDescent="0.25">
      <c r="A46" s="35"/>
      <c r="B46" s="111" t="s">
        <v>31</v>
      </c>
      <c r="C46" s="111">
        <f>+GETPIVOTDATA(" APROPIACION
 VIGENTE",$B$6,"DESCRIPCION","A-03-TRANSFERENCIAS CORRIENTES")</f>
        <v>14851.09737</v>
      </c>
      <c r="D46" s="112">
        <f>+GETPIVOTDATA(" COMPROMISOS
 ACUMULADOS",$B$6,"DESCRIPCION","A-03-TRANSFERENCIAS CORRIENTES")/GETPIVOTDATA(" APROPIACION
 VIGENTE",$B$6,"DESCRIPCION","A-03-TRANSFERENCIAS CORRIENTES")</f>
        <v>3.4455194633203059E-3</v>
      </c>
      <c r="E46" s="112">
        <f>+GETPIVOTDATA(" OBLIGACIONES
 ACUMULADAS",$B$6,"DESCRIPCION","A-03-TRANSFERENCIAS CORRIENTES")/GETPIVOTDATA(" APROPIACION
 VIGENTE",$B$6,"DESCRIPCION","A-03-TRANSFERENCIAS CORRIENTES")</f>
        <v>3.4455194633203059E-3</v>
      </c>
      <c r="F46" s="112">
        <f>+GETPIVOTDATA(" PAGOS
 ACUMULADOS",$B$6,"DESCRIPCION","A-03-TRANSFERENCIAS CORRIENTES")/GETPIVOTDATA(" APROPIACION
 VIGENTE",$B$6,"DESCRIPCION","A-03-TRANSFERENCIAS CORRIENTES")</f>
        <v>3.4455194633203059E-3</v>
      </c>
      <c r="G46" s="15"/>
      <c r="H46" s="15"/>
      <c r="I46" s="15"/>
      <c r="J46" s="15"/>
      <c r="K46" s="15"/>
    </row>
    <row r="47" spans="1:11" hidden="1" outlineLevel="1" x14ac:dyDescent="0.25">
      <c r="A47" s="35"/>
      <c r="B47" s="111" t="s">
        <v>32</v>
      </c>
      <c r="C47" s="111">
        <f>+GETPIVOTDATA(" APROPIACION
 VIGENTE",$B$6,"DESCRIPCION","A-08-GASTOS POR TRIBUTOS, MULTAS, SANCIONES E INTERESES DE MORA")</f>
        <v>14051.472</v>
      </c>
      <c r="D47" s="112">
        <f>+GETPIVOTDATA(" COMPROMISOS
 ACUMULADOS",$B$6,"DESCRIPCION","A-08-GASTOS POR TRIBUTOS, MULTAS, SANCIONES E INTERESES DE MORA")/GETPIVOTDATA(" APROPIACION
 VIGENTE",$B$6,"DESCRIPCION","A-08-GASTOS POR TRIBUTOS, MULTAS, SANCIONES E INTERESES DE MORA")</f>
        <v>0</v>
      </c>
      <c r="E47" s="112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0</v>
      </c>
      <c r="F47" s="112">
        <f>+GETPIVOTDATA(" PAGOS
 ACUMULADOS",$B$6,"DESCRIPCION","A-08-GASTOS POR TRIBUTOS, MULTAS, SANCIONES E INTERESES DE MORA")/GETPIVOTDATA(" APROPIACION
 VIGENTE",$B$6,"DESCRIPCION","A-08-GASTOS POR TRIBUTOS, MULTAS, SANCIONES E INTERESES DE MORA")</f>
        <v>0</v>
      </c>
      <c r="G47" s="15"/>
      <c r="H47" s="15"/>
      <c r="I47" s="15"/>
      <c r="J47" s="15"/>
      <c r="K47" s="15"/>
    </row>
    <row r="48" spans="1:11" hidden="1" outlineLevel="1" x14ac:dyDescent="0.25">
      <c r="A48" s="35"/>
      <c r="B48" s="113" t="s">
        <v>6</v>
      </c>
      <c r="C48" s="113">
        <f>+GETPIVOTDATA(" APROPIACION
 VIGENTE",$B$6)</f>
        <v>99785.985369999995</v>
      </c>
      <c r="D48" s="126">
        <f>+GETPIVOTDATA(" COMPROMISOS
 ACUMULADOS",$B$6)/GETPIVOTDATA(" APROPIACION
 VIGENTE",$B$6)</f>
        <v>0.33898244555030954</v>
      </c>
      <c r="E48" s="126">
        <f>+GETPIVOTDATA(" OBLIGACIONES
 ACUMULADAS",$B$6)/GETPIVOTDATA(" APROPIACION
 VIGENTE",$B$6)</f>
        <v>0.25895242961872456</v>
      </c>
      <c r="F48" s="126">
        <f>+GETPIVOTDATA(" PAGOS
 ACUMULADOS",$B$6)/GETPIVOTDATA(" APROPIACION
 VIGENTE",$B$6)</f>
        <v>0.24746050464801858</v>
      </c>
      <c r="G48" s="114"/>
      <c r="H48" s="15"/>
      <c r="I48" s="15"/>
      <c r="J48" s="15"/>
      <c r="K48" s="15"/>
    </row>
    <row r="49" spans="1:11" collapsed="1" x14ac:dyDescent="0.25">
      <c r="A49" s="35"/>
      <c r="B49" s="35"/>
      <c r="C49" s="35"/>
      <c r="D49" s="35"/>
      <c r="E49" s="35"/>
      <c r="F49" s="25"/>
      <c r="G49" s="25"/>
      <c r="H49" s="25"/>
      <c r="I49" s="25"/>
      <c r="J49" s="25"/>
      <c r="K49" s="14"/>
    </row>
    <row r="50" spans="1:11" x14ac:dyDescent="0.25">
      <c r="A50" s="35"/>
      <c r="B50" s="35"/>
      <c r="C50" s="35"/>
      <c r="D50" s="35"/>
      <c r="E50" s="35"/>
      <c r="F50" s="25"/>
      <c r="G50" s="25"/>
      <c r="H50" s="25"/>
      <c r="I50" s="25"/>
      <c r="J50" s="25"/>
      <c r="K50" s="14"/>
    </row>
    <row r="51" spans="1:11" x14ac:dyDescent="0.25">
      <c r="A51" s="14"/>
      <c r="B51" s="25"/>
      <c r="C51" s="25"/>
      <c r="D51" s="25"/>
      <c r="E51" s="25"/>
      <c r="F51" s="25"/>
      <c r="G51" s="25"/>
      <c r="H51" s="25"/>
      <c r="I51" s="25"/>
      <c r="J51" s="25"/>
      <c r="K51" s="14"/>
    </row>
    <row r="52" spans="1:11" x14ac:dyDescent="0.25">
      <c r="A52" s="14"/>
      <c r="B52" s="25"/>
      <c r="C52" s="25"/>
      <c r="D52" s="25"/>
      <c r="E52" s="25"/>
      <c r="F52" s="25"/>
      <c r="G52" s="25"/>
      <c r="H52" s="25"/>
      <c r="I52" s="25"/>
      <c r="J52" s="25"/>
      <c r="K52" s="14"/>
    </row>
    <row r="53" spans="1:11" x14ac:dyDescent="0.25">
      <c r="A53" s="10"/>
      <c r="B53" s="25"/>
      <c r="C53" s="25"/>
      <c r="D53" s="25"/>
      <c r="E53" s="25"/>
      <c r="F53" s="25"/>
      <c r="G53" s="25"/>
      <c r="H53" s="25"/>
      <c r="I53" s="25"/>
      <c r="J53" s="25"/>
      <c r="K53" s="14"/>
    </row>
    <row r="54" spans="1:11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14"/>
    </row>
    <row r="55" spans="1:11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14"/>
    </row>
    <row r="56" spans="1:11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14"/>
    </row>
    <row r="57" spans="1:11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14"/>
    </row>
    <row r="58" spans="1:11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14"/>
    </row>
    <row r="59" spans="1:11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14"/>
    </row>
    <row r="60" spans="1:11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14"/>
    </row>
    <row r="61" spans="1:1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1:11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2:10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2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x14ac:dyDescent="0.25">
      <c r="B70" s="14"/>
      <c r="C70" s="14"/>
      <c r="D70" s="14"/>
      <c r="E70" s="14"/>
      <c r="F70" s="14"/>
      <c r="G70" s="14"/>
      <c r="H70" s="14"/>
      <c r="I70" s="14"/>
      <c r="J70" s="14"/>
    </row>
    <row r="71" spans="2:10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x14ac:dyDescent="0.25">
      <c r="B72" s="14"/>
      <c r="C72" s="14"/>
      <c r="D72" s="14"/>
      <c r="E72" s="14"/>
      <c r="F72" s="14"/>
      <c r="G72" s="14"/>
      <c r="H72" s="14"/>
      <c r="I72" s="14"/>
      <c r="J72" s="14"/>
    </row>
    <row r="73" spans="2:10" x14ac:dyDescent="0.25">
      <c r="B73" s="14"/>
      <c r="C73" s="14"/>
      <c r="D73" s="14"/>
      <c r="E73" s="14"/>
      <c r="F73" s="14"/>
      <c r="G73" s="14"/>
      <c r="H73" s="14"/>
      <c r="I73" s="14"/>
      <c r="J73" s="14"/>
    </row>
    <row r="74" spans="2:10" x14ac:dyDescent="0.25">
      <c r="B74" s="14"/>
      <c r="C74" s="14"/>
      <c r="D74" s="14"/>
      <c r="E74" s="14"/>
      <c r="F74" s="14"/>
      <c r="G74" s="14"/>
      <c r="H74" s="14"/>
      <c r="I74" s="14"/>
      <c r="J74" s="14"/>
    </row>
    <row r="75" spans="2:10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x14ac:dyDescent="0.25">
      <c r="B77" s="14"/>
      <c r="C77" s="14"/>
      <c r="D77" s="14"/>
      <c r="E77" s="14"/>
      <c r="F77" s="14"/>
      <c r="G77" s="14"/>
      <c r="H77" s="14"/>
      <c r="I77" s="14"/>
      <c r="J77" s="14"/>
    </row>
    <row r="78" spans="2:10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2:10" x14ac:dyDescent="0.25">
      <c r="B79" s="14"/>
      <c r="C79" s="14"/>
      <c r="D79" s="14"/>
      <c r="E79" s="14"/>
      <c r="F79" s="14"/>
      <c r="G79" s="14"/>
      <c r="H79" s="14"/>
      <c r="I79" s="14"/>
      <c r="J79" s="14"/>
    </row>
    <row r="80" spans="2:10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2:10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x14ac:dyDescent="0.25">
      <c r="B85" s="14"/>
      <c r="C85" s="14"/>
      <c r="D85" s="14"/>
      <c r="E85" s="14"/>
      <c r="F85" s="14"/>
      <c r="G85" s="14"/>
      <c r="H85" s="14"/>
      <c r="I85" s="14"/>
      <c r="J85" s="14"/>
    </row>
    <row r="86" spans="2:10" x14ac:dyDescent="0.25">
      <c r="B86" s="14"/>
      <c r="C86" s="14"/>
      <c r="D86" s="14"/>
      <c r="E86" s="14"/>
      <c r="F86" s="14"/>
      <c r="G86" s="14"/>
      <c r="H86" s="14"/>
      <c r="I86" s="14"/>
      <c r="J86" s="14"/>
    </row>
    <row r="87" spans="2:10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x14ac:dyDescent="0.25">
      <c r="B88" s="14"/>
      <c r="C88" s="14"/>
      <c r="D88" s="14"/>
      <c r="E88" s="14"/>
      <c r="F88" s="14"/>
      <c r="G88" s="14"/>
      <c r="H88" s="14"/>
      <c r="I88" s="14"/>
      <c r="J88" s="14"/>
    </row>
    <row r="89" spans="2:10" x14ac:dyDescent="0.25">
      <c r="B89" s="14"/>
      <c r="C89" s="14"/>
      <c r="D89" s="14"/>
      <c r="E89" s="14"/>
      <c r="F89" s="14"/>
      <c r="G89" s="14"/>
      <c r="H89" s="14"/>
      <c r="I89" s="14"/>
      <c r="J89" s="14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5" tint="-0.249977111117893"/>
    <pageSetUpPr fitToPage="1"/>
  </sheetPr>
  <dimension ref="B6:F40"/>
  <sheetViews>
    <sheetView showGridLines="0" showRowColHeaders="0" topLeftCell="A4" workbookViewId="0">
      <selection activeCell="B9" sqref="B9"/>
    </sheetView>
  </sheetViews>
  <sheetFormatPr baseColWidth="10" defaultRowHeight="15" x14ac:dyDescent="0.25"/>
  <cols>
    <col min="1" max="1" width="13.140625" customWidth="1"/>
    <col min="2" max="2" width="31.28515625" bestFit="1" customWidth="1"/>
    <col min="3" max="3" width="31.5703125" bestFit="1" customWidth="1"/>
    <col min="4" max="4" width="30.5703125" bestFit="1" customWidth="1"/>
    <col min="5" max="6" width="22.5703125" bestFit="1" customWidth="1"/>
  </cols>
  <sheetData>
    <row r="6" spans="2:6" x14ac:dyDescent="0.25">
      <c r="B6" s="9" t="s">
        <v>1</v>
      </c>
      <c r="C6" s="8" t="s">
        <v>157</v>
      </c>
    </row>
    <row r="8" spans="2:6" x14ac:dyDescent="0.25">
      <c r="B8" t="s">
        <v>156</v>
      </c>
      <c r="C8" t="s">
        <v>15</v>
      </c>
      <c r="D8" t="s">
        <v>16</v>
      </c>
      <c r="E8" t="s">
        <v>17</v>
      </c>
    </row>
    <row r="9" spans="2:6" x14ac:dyDescent="0.25">
      <c r="B9" s="24">
        <v>4505182025012</v>
      </c>
      <c r="C9" s="24">
        <v>4323130283368.9307</v>
      </c>
      <c r="D9" s="24">
        <v>335854596162.77002</v>
      </c>
      <c r="E9" s="24">
        <v>335667533570.77002</v>
      </c>
    </row>
    <row r="11" spans="2:6" x14ac:dyDescent="0.25">
      <c r="B11" s="17"/>
      <c r="F11" s="1"/>
    </row>
    <row r="15" spans="2:6" x14ac:dyDescent="0.25">
      <c r="E15" s="5"/>
    </row>
    <row r="36" spans="2:4" x14ac:dyDescent="0.25">
      <c r="B36" s="127" t="str">
        <f>+CONCATENATE("PROYECTO","  ",C6)</f>
        <v>PROYECTO  (Todas)</v>
      </c>
      <c r="C36" s="127"/>
      <c r="D36" s="127"/>
    </row>
    <row r="37" spans="2:4" ht="52.5" customHeight="1" x14ac:dyDescent="0.25">
      <c r="B37" s="127"/>
      <c r="C37" s="127"/>
      <c r="D37" s="127"/>
    </row>
    <row r="38" spans="2:4" x14ac:dyDescent="0.25">
      <c r="D38" s="6"/>
    </row>
    <row r="40" spans="2:4" x14ac:dyDescent="0.25">
      <c r="B40" s="7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1:G17"/>
  <sheetViews>
    <sheetView workbookViewId="0">
      <selection sqref="A1:E10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2" t="s">
        <v>87</v>
      </c>
      <c r="C2" s="43" t="s">
        <v>88</v>
      </c>
      <c r="D2" s="44" t="s">
        <v>89</v>
      </c>
      <c r="E2" s="45" t="s">
        <v>90</v>
      </c>
    </row>
    <row r="3" spans="2:7" ht="16.5" thickBot="1" x14ac:dyDescent="0.3">
      <c r="B3" s="50" t="s">
        <v>26</v>
      </c>
      <c r="C3" s="51">
        <f>2249648633.2/1000000</f>
        <v>2249.6486331999999</v>
      </c>
      <c r="D3" s="52">
        <v>0</v>
      </c>
      <c r="E3" s="53">
        <f>2200208796.55/1000000</f>
        <v>2200.20879655</v>
      </c>
      <c r="F3" s="68"/>
      <c r="G3" s="55"/>
    </row>
    <row r="4" spans="2:7" ht="19.5" thickBot="1" x14ac:dyDescent="0.3">
      <c r="B4" s="46" t="s">
        <v>128</v>
      </c>
      <c r="C4" s="47">
        <f>53197266014.59/1000000</f>
        <v>53197.266014589994</v>
      </c>
      <c r="D4" s="48">
        <f>0/1000000</f>
        <v>0</v>
      </c>
      <c r="E4" s="49">
        <f>36047922083.52/1000000</f>
        <v>36047.922083519996</v>
      </c>
      <c r="F4" s="70"/>
      <c r="G4" s="68"/>
    </row>
    <row r="6" spans="2:7" x14ac:dyDescent="0.25">
      <c r="C6" s="54"/>
      <c r="D6" s="54"/>
      <c r="E6" s="54"/>
    </row>
    <row r="7" spans="2:7" ht="15.75" thickBot="1" x14ac:dyDescent="0.3">
      <c r="E7" s="41"/>
    </row>
    <row r="8" spans="2:7" ht="63.75" thickBot="1" x14ac:dyDescent="0.3">
      <c r="B8" s="42" t="s">
        <v>87</v>
      </c>
      <c r="C8" s="53" t="s">
        <v>99</v>
      </c>
      <c r="E8" s="41"/>
    </row>
    <row r="9" spans="2:7" ht="19.5" thickBot="1" x14ac:dyDescent="0.3">
      <c r="B9" s="50" t="s">
        <v>26</v>
      </c>
      <c r="C9" s="49">
        <f>2249648633.2/1000000</f>
        <v>2249.6486331999999</v>
      </c>
      <c r="E9" s="55"/>
    </row>
    <row r="10" spans="2:7" ht="19.5" thickBot="1" x14ac:dyDescent="0.3">
      <c r="B10" s="46" t="s">
        <v>91</v>
      </c>
      <c r="C10" s="45">
        <f>53197266014.59/1000000</f>
        <v>53197.266014589994</v>
      </c>
      <c r="D10" s="64"/>
      <c r="E10" s="55"/>
    </row>
    <row r="12" spans="2:7" x14ac:dyDescent="0.25">
      <c r="C12" s="64"/>
      <c r="D12" s="64"/>
      <c r="E12" s="64"/>
      <c r="F12" s="68"/>
      <c r="G12" s="69"/>
    </row>
    <row r="13" spans="2:7" x14ac:dyDescent="0.25">
      <c r="C13" s="41"/>
    </row>
    <row r="14" spans="2:7" x14ac:dyDescent="0.25">
      <c r="C14" s="41"/>
    </row>
    <row r="16" spans="2:7" x14ac:dyDescent="0.25">
      <c r="C16" s="41"/>
    </row>
    <row r="17" spans="3:3" x14ac:dyDescent="0.25">
      <c r="C17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5" tint="-0.249977111117893"/>
    <pageSetUpPr fitToPage="1"/>
  </sheetPr>
  <dimension ref="B7:F12"/>
  <sheetViews>
    <sheetView showGridLines="0" showRowColHeaders="0" zoomScaleNormal="100" workbookViewId="0"/>
  </sheetViews>
  <sheetFormatPr baseColWidth="10" defaultRowHeight="15" x14ac:dyDescent="0.25"/>
  <cols>
    <col min="2" max="2" width="21.42578125" customWidth="1"/>
    <col min="3" max="3" width="18.7109375" customWidth="1"/>
  </cols>
  <sheetData>
    <row r="7" spans="2:6" x14ac:dyDescent="0.25">
      <c r="B7" s="2"/>
      <c r="C7" s="23"/>
    </row>
    <row r="8" spans="2:6" x14ac:dyDescent="0.25">
      <c r="B8" s="59" t="s">
        <v>5</v>
      </c>
      <c r="C8" s="55" t="s">
        <v>100</v>
      </c>
    </row>
    <row r="9" spans="2:6" x14ac:dyDescent="0.25">
      <c r="B9" s="56" t="s">
        <v>26</v>
      </c>
      <c r="C9" s="55">
        <v>2249.6486331999999</v>
      </c>
    </row>
    <row r="10" spans="2:6" x14ac:dyDescent="0.25">
      <c r="B10" s="56" t="s">
        <v>91</v>
      </c>
      <c r="C10" s="55">
        <v>53197.266014589994</v>
      </c>
    </row>
    <row r="11" spans="2:6" x14ac:dyDescent="0.25">
      <c r="B11" s="56" t="s">
        <v>6</v>
      </c>
      <c r="C11" s="55">
        <v>55446.914647789992</v>
      </c>
      <c r="D11" s="63" t="s">
        <v>103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0" ma:contentTypeDescription="Crear nuevo documento." ma:contentTypeScope="" ma:versionID="6ad9a61999b7c12e7f6bc018e32744c0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aad4df78d1b7c821a7c252d964c7c1f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887A31-34A5-45FE-AECA-A16C6550B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</vt:lpstr>
      <vt:lpstr>EJECUCIÓN  RESERVA</vt:lpstr>
      <vt:lpstr>CXP</vt:lpstr>
      <vt:lpstr>PART. CUENTA X PAGAR CONCEPTO </vt:lpstr>
      <vt:lpstr>EJECUCIÓN CUENTA POR PAGAR 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Aura Simona Orozco Mindiola</cp:lastModifiedBy>
  <cp:lastPrinted>2019-07-30T21:44:52Z</cp:lastPrinted>
  <dcterms:created xsi:type="dcterms:W3CDTF">2018-03-13T13:24:17Z</dcterms:created>
  <dcterms:modified xsi:type="dcterms:W3CDTF">2022-08-05T16:25:56Z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</Properties>
</file>