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8.xml" ContentType="application/vnd.openxmlformats-officedocument.spreadsheetml.pivotTab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mosquera_ani_gov_co/Documents/3. Cierre y Apertura Presupuestal/2. Graficas Ingresos y Gastos/"/>
    </mc:Choice>
  </mc:AlternateContent>
  <xr:revisionPtr revIDLastSave="77" documentId="14_{24CEA7E3-6C60-4874-8F2D-F55304BFF2F5}" xr6:coauthVersionLast="47" xr6:coauthVersionMax="47" xr10:uidLastSave="{23AA0C09-04F4-4935-BDA7-595001C9D98B}"/>
  <bookViews>
    <workbookView xWindow="-120" yWindow="-120" windowWidth="38640" windowHeight="15840" tabRatio="0" firstSheet="1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r:id="rId4"/>
    <sheet name="INVERSIÓN" sheetId="4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r:id="rId9"/>
    <sheet name="Participación por Concepto RES" sheetId="12" r:id="rId10"/>
    <sheet name="EJECUCIÓN  RESERVA" sheetId="10" r:id="rId11"/>
    <sheet name="CXP" sheetId="13" r:id="rId12"/>
    <sheet name="PART. CUENTA X PAGAR CONCEPTO " sheetId="17" r:id="rId13"/>
    <sheet name="EJECUCIÓN CUENTA POR PAGAR " sheetId="19" r:id="rId14"/>
  </sheets>
  <calcPr calcId="191029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9" l="1"/>
  <c r="E3" i="9"/>
  <c r="H40" i="4"/>
  <c r="G40" i="4"/>
  <c r="F40" i="4"/>
  <c r="E40" i="4"/>
  <c r="D40" i="4"/>
  <c r="H39" i="4"/>
  <c r="G39" i="4"/>
  <c r="F39" i="4"/>
  <c r="E39" i="4"/>
  <c r="D39" i="4"/>
  <c r="G12" i="1" l="1"/>
  <c r="G2" i="1" s="1"/>
  <c r="F12" i="1"/>
  <c r="F2" i="1" s="1"/>
  <c r="E12" i="1"/>
  <c r="E2" i="1" s="1"/>
  <c r="D12" i="1"/>
  <c r="D2" i="1" s="1"/>
  <c r="C12" i="1"/>
  <c r="C2" i="1" s="1"/>
  <c r="F8" i="1"/>
  <c r="E4" i="13"/>
  <c r="C4" i="13"/>
  <c r="E3" i="13"/>
  <c r="C3" i="13"/>
  <c r="C10" i="9"/>
  <c r="C9" i="9"/>
  <c r="C10" i="13"/>
  <c r="C9" i="13"/>
  <c r="D4" i="9"/>
  <c r="C4" i="9"/>
  <c r="C3" i="9"/>
  <c r="I38" i="4"/>
  <c r="H38" i="4"/>
  <c r="G38" i="4"/>
  <c r="F38" i="4"/>
  <c r="E38" i="4"/>
  <c r="D38" i="4"/>
  <c r="G20" i="1"/>
  <c r="F20" i="1"/>
  <c r="E20" i="1"/>
  <c r="D20" i="1"/>
  <c r="G8" i="1"/>
  <c r="E8" i="1"/>
  <c r="D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F11" i="10"/>
  <c r="E13" i="19"/>
  <c r="F10" i="19"/>
  <c r="E13" i="10"/>
  <c r="F10" i="10"/>
  <c r="F11" i="19"/>
  <c r="B41" i="7" l="1"/>
  <c r="G47" i="5"/>
  <c r="E47" i="3"/>
  <c r="E50" i="5"/>
  <c r="D50" i="5"/>
  <c r="D46" i="5"/>
  <c r="E45" i="3"/>
  <c r="F47" i="5"/>
  <c r="C47" i="3"/>
  <c r="F46" i="5"/>
  <c r="D47" i="3"/>
  <c r="F49" i="5"/>
  <c r="F45" i="3"/>
  <c r="E47" i="5"/>
  <c r="G49" i="5"/>
  <c r="D48" i="5"/>
  <c r="C46" i="3"/>
  <c r="F50" i="5"/>
  <c r="F44" i="3"/>
  <c r="E49" i="5"/>
  <c r="G46" i="5"/>
  <c r="E48" i="5"/>
  <c r="E46" i="3"/>
  <c r="G48" i="5"/>
  <c r="F46" i="3"/>
  <c r="D49" i="5"/>
  <c r="C45" i="3"/>
  <c r="D47" i="5"/>
  <c r="F48" i="5"/>
  <c r="C44" i="3"/>
  <c r="F47" i="3"/>
  <c r="E46" i="5"/>
  <c r="G50" i="5"/>
  <c r="C8" i="1" l="1"/>
  <c r="C20" i="1"/>
  <c r="E44" i="3"/>
  <c r="D44" i="3"/>
  <c r="D45" i="3"/>
  <c r="D46" i="3"/>
</calcChain>
</file>

<file path=xl/sharedStrings.xml><?xml version="1.0" encoding="utf-8"?>
<sst xmlns="http://schemas.openxmlformats.org/spreadsheetml/2006/main" count="239" uniqueCount="159">
  <si>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</si>
  <si>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</si>
  <si>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</si>
  <si>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</si>
  <si>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</si>
  <si>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</si>
  <si>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</si>
  <si>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</si>
  <si>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</si>
  <si>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</si>
  <si>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</si>
  <si>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</si>
  <si>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</si>
  <si>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</si>
  <si>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</si>
  <si>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</si>
  <si>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</si>
  <si>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</si>
  <si>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</si>
  <si>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</si>
  <si>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</si>
  <si>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</si>
  <si>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</si>
  <si>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</si>
  <si>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</si>
  <si>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</si>
  <si>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</si>
  <si>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</si>
  <si>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</si>
  <si>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</si>
  <si>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</si>
  <si>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</si>
  <si>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</si>
  <si>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</si>
  <si>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</si>
  <si>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</si>
  <si>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</si>
  <si>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</si>
  <si>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</si>
  <si>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</si>
  <si>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</si>
  <si>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</si>
  <si>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</si>
  <si>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</si>
  <si>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</si>
  <si>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</si>
  <si>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</si>
  <si>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</si>
  <si>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</si>
  <si>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</si>
  <si>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</si>
  <si>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</si>
  <si>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</si>
  <si>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</si>
  <si>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</si>
  <si>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</si>
  <si>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</si>
  <si>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</si>
  <si>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</si>
  <si>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</si>
  <si>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</si>
  <si>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</si>
  <si>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</si>
  <si>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</si>
  <si>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</si>
  <si>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</si>
  <si>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</si>
  <si>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</si>
  <si>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</si>
  <si>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</si>
  <si>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</si>
  <si>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</si>
  <si>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</si>
  <si>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</si>
  <si>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</si>
  <si>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</si>
  <si>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</si>
  <si>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</si>
  <si>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</si>
  <si>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</si>
  <si>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</si>
  <si>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</si>
  <si>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</si>
  <si>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</si>
  <si>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</si>
  <si>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</si>
  <si>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</si>
  <si>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</si>
  <si>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</si>
  <si>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</si>
  <si>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</si>
  <si>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Reservas Vigente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</si>
  <si>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</si>
  <si>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</si>
  <si>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</si>
  <si>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</si>
  <si>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</si>
  <si>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</si>
  <si>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</si>
  <si>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</si>
  <si>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</si>
  <si>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</si>
  <si>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</si>
  <si>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</si>
  <si>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</si>
  <si>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</si>
  <si>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</si>
  <si>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</si>
  <si>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</si>
  <si>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</si>
  <si>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</si>
  <si>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</si>
  <si>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</si>
  <si>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</si>
  <si>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</si>
  <si>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</si>
  <si>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</si>
  <si>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</si>
  <si>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</si>
  <si>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</si>
  <si>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</si>
  <si>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</si>
  <si>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</si>
  <si>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</si>
  <si>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</si>
  <si>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</si>
  <si>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</si>
  <si>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</si>
  <si>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</si>
  <si>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</si>
  <si>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</si>
  <si>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</si>
  <si>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</si>
  <si>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 xml:space="preserve">  </t>
  </si>
  <si>
    <t>CXP CONSTITUIDAS</t>
  </si>
  <si>
    <t>TOTAL PAGOS</t>
  </si>
  <si>
    <t>(Todas)</t>
  </si>
  <si>
    <t>CANCELACION CXP</t>
  </si>
  <si>
    <t xml:space="preserve">CXP VIGENTES
</t>
  </si>
  <si>
    <t>Suma de CXP VIGENTES</t>
  </si>
  <si>
    <t>RESERVAS VIGENTES</t>
  </si>
  <si>
    <t>APROPIACION VIG.</t>
  </si>
  <si>
    <t>COMPRO. ACUMU.</t>
  </si>
  <si>
    <t>OBLIGACION. ACUMU.</t>
  </si>
  <si>
    <t>PAGOS ACUMU.</t>
  </si>
  <si>
    <t>Ejecucion Acumulada Cuentas por Pagar</t>
  </si>
  <si>
    <t>Ejecucion Cuentas por Pagar por Concepto</t>
  </si>
  <si>
    <t>1. Ejecución Presupuesto de Gastos</t>
  </si>
  <si>
    <t>1.1 Porcentaje Participación de la Apropiación  por Concepto de Gasto</t>
  </si>
  <si>
    <t xml:space="preserve">1.3 Comparativo Ejecución  Presupuestal del  Presupuesto de Funcionamiento </t>
  </si>
  <si>
    <t xml:space="preserve">1.4 Detalle Ejecución Presupuestal por Proyecto de Inversión </t>
  </si>
  <si>
    <t>2. Ejecución Reserva Presupuestal Constituida</t>
  </si>
  <si>
    <t>2.1 Porcentaje Participación de la Reserva por Concepto de Gasto</t>
  </si>
  <si>
    <t>2.2 Ejecución Reserva Presupuestal Constituida</t>
  </si>
  <si>
    <t>3. Ejecución Cuenta por Pagar Constituida</t>
  </si>
  <si>
    <t>3.1 Porcentaje Participación de la Cuenta por Pagar por Concepto de Gasto</t>
  </si>
  <si>
    <t>3.2 Ejecución de la Cuenta por Pagar Constituida</t>
  </si>
  <si>
    <t>1.2 Ejecución  Presupuestal Acumulada al  30/11/2022</t>
  </si>
  <si>
    <t>Pagos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</si>
</sst>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0.0%"/>
    <numFmt numFmtId="167" formatCode="_-* #,##0.00_-;\-* #,##0.00_-;_-* &quot;-&quot;_-;_-@_-"/>
    <numFmt numFmtId="168" formatCode="#,##0.00,,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5" fillId="2" borderId="0" xfId="0" applyFont="1" applyFill="1"/>
    <xf numFmtId="0" fontId="0" fillId="0" borderId="0" xfId="0" applyAlignment="1">
      <alignment horizontal="left" wrapText="1"/>
    </xf>
    <xf numFmtId="0" fontId="9" fillId="0" borderId="0" xfId="0" applyFon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0" fillId="0" borderId="0" xfId="0" applyFont="1"/>
    <xf numFmtId="0" fontId="13" fillId="0" borderId="3" xfId="0" applyFont="1" applyBorder="1" applyAlignment="1">
      <alignment horizontal="justify" wrapText="1"/>
    </xf>
    <xf numFmtId="0" fontId="12" fillId="0" borderId="2" xfId="15" applyFont="1" applyAlignment="1">
      <alignment horizontal="justify" wrapText="1"/>
    </xf>
    <xf numFmtId="167" fontId="0" fillId="0" borderId="0" xfId="0" applyNumberFormat="1"/>
    <xf numFmtId="0" fontId="15" fillId="2" borderId="0" xfId="0" applyFont="1" applyFill="1"/>
    <xf numFmtId="0" fontId="16" fillId="4" borderId="1" xfId="0" applyFont="1" applyFill="1" applyBorder="1" applyAlignment="1">
      <alignment horizontal="center" vertical="center"/>
    </xf>
    <xf numFmtId="41" fontId="16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7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5" fillId="0" borderId="0" xfId="0" applyFont="1"/>
    <xf numFmtId="43" fontId="0" fillId="0" borderId="0" xfId="16" applyFont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3" applyFont="1" applyFill="1" applyBorder="1" applyAlignment="1">
      <alignment horizontal="center" vertical="center" wrapText="1"/>
    </xf>
    <xf numFmtId="4" fontId="17" fillId="2" borderId="5" xfId="3" applyNumberFormat="1" applyFont="1" applyFill="1" applyBorder="1" applyAlignment="1">
      <alignment horizontal="center" vertical="center" wrapText="1"/>
    </xf>
    <xf numFmtId="164" fontId="17" fillId="2" borderId="6" xfId="3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164" fontId="18" fillId="2" borderId="5" xfId="3" applyFont="1" applyFill="1" applyBorder="1" applyAlignment="1">
      <alignment horizontal="right" vertical="center"/>
    </xf>
    <xf numFmtId="4" fontId="18" fillId="2" borderId="6" xfId="3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 wrapText="1"/>
    </xf>
    <xf numFmtId="164" fontId="17" fillId="2" borderId="7" xfId="3" applyFont="1" applyFill="1" applyBorder="1" applyAlignment="1">
      <alignment horizontal="right" vertical="center"/>
    </xf>
    <xf numFmtId="4" fontId="17" fillId="2" borderId="7" xfId="3" applyNumberFormat="1" applyFont="1" applyFill="1" applyBorder="1" applyAlignment="1">
      <alignment horizontal="right" vertical="center"/>
    </xf>
    <xf numFmtId="4" fontId="17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/>
    <xf numFmtId="0" fontId="8" fillId="0" borderId="0" xfId="14" applyFont="1" applyFill="1" applyBorder="1"/>
    <xf numFmtId="0" fontId="7" fillId="5" borderId="0" xfId="0" applyFont="1" applyFill="1" applyAlignment="1">
      <alignment horizontal="center"/>
    </xf>
    <xf numFmtId="0" fontId="21" fillId="0" borderId="0" xfId="0" applyFont="1"/>
    <xf numFmtId="4" fontId="0" fillId="0" borderId="0" xfId="0" applyNumberFormat="1"/>
    <xf numFmtId="0" fontId="22" fillId="0" borderId="0" xfId="0" applyFont="1"/>
    <xf numFmtId="9" fontId="0" fillId="0" borderId="0" xfId="13" applyFont="1"/>
    <xf numFmtId="166" fontId="0" fillId="0" borderId="0" xfId="13" applyNumberFormat="1" applyFont="1"/>
    <xf numFmtId="10" fontId="0" fillId="0" borderId="0" xfId="13" applyNumberFormat="1" applyFont="1"/>
    <xf numFmtId="0" fontId="23" fillId="6" borderId="9" xfId="4" applyFont="1" applyFill="1" applyBorder="1" applyAlignment="1">
      <alignment horizontal="center" vertical="center" wrapText="1"/>
    </xf>
    <xf numFmtId="0" fontId="18" fillId="7" borderId="5" xfId="17" applyFont="1" applyFill="1" applyBorder="1" applyAlignment="1">
      <alignment vertical="center" wrapText="1"/>
    </xf>
    <xf numFmtId="0" fontId="17" fillId="2" borderId="10" xfId="17" applyFont="1" applyFill="1" applyBorder="1" applyAlignment="1">
      <alignment vertical="center" wrapText="1"/>
    </xf>
    <xf numFmtId="164" fontId="23" fillId="6" borderId="9" xfId="5" applyFont="1" applyFill="1" applyBorder="1" applyAlignment="1">
      <alignment horizontal="center" vertical="center" wrapText="1"/>
    </xf>
    <xf numFmtId="164" fontId="23" fillId="6" borderId="11" xfId="5" applyFont="1" applyFill="1" applyBorder="1" applyAlignment="1">
      <alignment horizontal="center" vertical="center" wrapText="1"/>
    </xf>
    <xf numFmtId="39" fontId="18" fillId="7" borderId="5" xfId="18" applyNumberFormat="1" applyFont="1" applyFill="1" applyBorder="1" applyAlignment="1">
      <alignment horizontal="right" vertical="center"/>
    </xf>
    <xf numFmtId="39" fontId="18" fillId="7" borderId="6" xfId="18" applyNumberFormat="1" applyFont="1" applyFill="1" applyBorder="1" applyAlignment="1">
      <alignment horizontal="right" vertical="center"/>
    </xf>
    <xf numFmtId="0" fontId="17" fillId="2" borderId="1" xfId="17" applyFont="1" applyFill="1" applyBorder="1" applyAlignment="1">
      <alignment vertical="center" wrapText="1"/>
    </xf>
    <xf numFmtId="4" fontId="24" fillId="2" borderId="10" xfId="17" applyNumberFormat="1" applyFont="1" applyFill="1" applyBorder="1" applyAlignment="1">
      <alignment vertical="center" wrapText="1"/>
    </xf>
    <xf numFmtId="4" fontId="24" fillId="2" borderId="12" xfId="17" applyNumberFormat="1" applyFont="1" applyFill="1" applyBorder="1" applyAlignment="1">
      <alignment vertical="center" wrapText="1"/>
    </xf>
    <xf numFmtId="4" fontId="25" fillId="2" borderId="1" xfId="17" applyNumberFormat="1" applyFont="1" applyFill="1" applyBorder="1" applyAlignment="1">
      <alignment horizontal="right" vertical="center" wrapText="1" readingOrder="1"/>
    </xf>
    <xf numFmtId="4" fontId="25" fillId="2" borderId="13" xfId="17" applyNumberFormat="1" applyFont="1" applyFill="1" applyBorder="1" applyAlignment="1">
      <alignment horizontal="right" vertical="center" wrapText="1" readingOrder="1"/>
    </xf>
    <xf numFmtId="167" fontId="0" fillId="0" borderId="0" xfId="1" applyNumberFormat="1" applyFont="1"/>
    <xf numFmtId="0" fontId="0" fillId="0" borderId="1" xfId="0" applyBorder="1"/>
    <xf numFmtId="4" fontId="0" fillId="0" borderId="1" xfId="0" applyNumberFormat="1" applyBorder="1"/>
    <xf numFmtId="0" fontId="26" fillId="0" borderId="0" xfId="0" applyFont="1"/>
    <xf numFmtId="0" fontId="7" fillId="0" borderId="0" xfId="0" applyFont="1"/>
    <xf numFmtId="9" fontId="10" fillId="0" borderId="0" xfId="13" applyFont="1" applyFill="1"/>
    <xf numFmtId="166" fontId="10" fillId="0" borderId="0" xfId="13" applyNumberFormat="1" applyFont="1" applyFill="1"/>
    <xf numFmtId="10" fontId="10" fillId="0" borderId="0" xfId="13" applyNumberFormat="1" applyFont="1" applyFill="1"/>
    <xf numFmtId="43" fontId="12" fillId="0" borderId="2" xfId="16" applyFont="1" applyBorder="1"/>
    <xf numFmtId="43" fontId="12" fillId="0" borderId="2" xfId="16" applyFont="1" applyBorder="1" applyAlignment="1">
      <alignment horizontal="center"/>
    </xf>
    <xf numFmtId="43" fontId="14" fillId="0" borderId="4" xfId="16" applyFont="1" applyBorder="1"/>
    <xf numFmtId="43" fontId="14" fillId="2" borderId="4" xfId="16" applyFont="1" applyFill="1" applyBorder="1"/>
    <xf numFmtId="10" fontId="10" fillId="0" borderId="0" xfId="0" applyNumberFormat="1" applyFont="1"/>
    <xf numFmtId="10" fontId="0" fillId="0" borderId="0" xfId="0" applyNumberFormat="1"/>
    <xf numFmtId="0" fontId="28" fillId="0" borderId="0" xfId="0" applyFont="1"/>
    <xf numFmtId="0" fontId="29" fillId="0" borderId="0" xfId="0" applyFont="1" applyAlignment="1">
      <alignment horizontal="left"/>
    </xf>
    <xf numFmtId="41" fontId="29" fillId="0" borderId="0" xfId="0" applyNumberFormat="1" applyFont="1"/>
    <xf numFmtId="10" fontId="29" fillId="0" borderId="0" xfId="13" applyNumberFormat="1" applyFont="1" applyFill="1" applyBorder="1"/>
    <xf numFmtId="41" fontId="29" fillId="0" borderId="0" xfId="1" applyFont="1" applyFill="1" applyBorder="1"/>
    <xf numFmtId="0" fontId="28" fillId="0" borderId="0" xfId="0" applyFont="1" applyAlignment="1">
      <alignment horizontal="left"/>
    </xf>
    <xf numFmtId="41" fontId="28" fillId="0" borderId="0" xfId="0" applyNumberFormat="1" applyFont="1"/>
    <xf numFmtId="0" fontId="29" fillId="0" borderId="0" xfId="0" applyFont="1"/>
    <xf numFmtId="10" fontId="29" fillId="0" borderId="0" xfId="13" applyNumberFormat="1" applyFont="1" applyFill="1"/>
    <xf numFmtId="0" fontId="27" fillId="0" borderId="0" xfId="0" applyFont="1"/>
    <xf numFmtId="10" fontId="28" fillId="0" borderId="0" xfId="13" applyNumberFormat="1" applyFont="1" applyFill="1"/>
    <xf numFmtId="10" fontId="15" fillId="0" borderId="0" xfId="0" applyNumberFormat="1" applyFont="1"/>
    <xf numFmtId="10" fontId="28" fillId="0" borderId="0" xfId="13" applyNumberFormat="1" applyFont="1" applyFill="1" applyBorder="1"/>
    <xf numFmtId="43" fontId="14" fillId="8" borderId="4" xfId="16" applyFont="1" applyFill="1" applyBorder="1"/>
    <xf numFmtId="0" fontId="20" fillId="0" borderId="0" xfId="0" applyFont="1" applyAlignment="1">
      <alignment horizontal="center"/>
    </xf>
    <xf numFmtId="10" fontId="5" fillId="0" borderId="0" xfId="13" applyNumberFormat="1" applyFont="1"/>
    <xf numFmtId="0" fontId="30" fillId="2" borderId="1" xfId="0" applyFont="1" applyFill="1" applyBorder="1" applyAlignment="1">
      <alignment horizontal="center" vertical="center" wrapText="1"/>
    </xf>
    <xf numFmtId="164" fontId="30" fillId="2" borderId="1" xfId="3" applyFont="1" applyFill="1" applyBorder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164" fontId="30" fillId="2" borderId="1" xfId="3" applyFont="1" applyFill="1" applyBorder="1" applyAlignment="1">
      <alignment horizontal="right" vertical="center"/>
    </xf>
    <xf numFmtId="4" fontId="30" fillId="2" borderId="1" xfId="3" applyNumberFormat="1" applyFont="1" applyFill="1" applyBorder="1" applyAlignment="1">
      <alignment horizontal="right" vertical="center"/>
    </xf>
    <xf numFmtId="43" fontId="29" fillId="0" borderId="0" xfId="0" pivotButton="1" applyNumberFormat="1" applyFont="1" applyAlignment="1">
      <alignment horizontal="center" vertical="center" wrapText="1"/>
    </xf>
    <xf numFmtId="43" fontId="31" fillId="0" borderId="0" xfId="0" applyNumberFormat="1" applyFont="1" applyAlignment="1">
      <alignment horizontal="center" wrapText="1"/>
    </xf>
    <xf numFmtId="168" fontId="0" fillId="0" borderId="0" xfId="0" applyNumberFormat="1" applyAlignment="1">
      <alignment wrapText="1"/>
    </xf>
    <xf numFmtId="0" fontId="33" fillId="0" borderId="0" xfId="0" applyFont="1"/>
    <xf numFmtId="43" fontId="31" fillId="0" borderId="0" xfId="0" applyNumberFormat="1" applyFont="1" applyAlignment="1">
      <alignment horizontal="center" vertical="center" wrapText="1"/>
    </xf>
    <xf numFmtId="0" fontId="34" fillId="0" borderId="0" xfId="14" applyFont="1"/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3" fontId="19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76">
    <dxf>
      <numFmt numFmtId="4" formatCode="#,##0.0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4" formatCode="#,##0.00"/>
    </dxf>
    <dxf>
      <numFmt numFmtId="169" formatCode="0.000"/>
    </dxf>
    <dxf>
      <font>
        <sz val="8"/>
      </font>
    </dxf>
    <dxf>
      <font>
        <sz val="9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bottom"/>
    </dxf>
    <dxf>
      <alignment horizontal="center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#,##0.00,,"/>
    </dxf>
    <dxf>
      <numFmt numFmtId="168" formatCode="#,##0.00,,"/>
    </dxf>
    <dxf>
      <numFmt numFmtId="168" formatCode="#,##0.00,,"/>
    </dxf>
    <dxf>
      <numFmt numFmtId="168" formatCode="#,##0.00,,"/>
    </dxf>
    <dxf>
      <numFmt numFmtId="167" formatCode="_-* #,##0.00_-;\-* #,##0.00_-;_-* &quot;-&quot;_-;_-@_-"/>
    </dxf>
    <dxf>
      <alignment horizontal="center"/>
    </dxf>
    <dxf>
      <alignment wrapText="1"/>
    </dxf>
    <dxf>
      <numFmt numFmtId="170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7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7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7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'!$F$10</c:f>
              <c:strCache>
                <c:ptCount val="1"/>
                <c:pt idx="0">
                  <c:v>86,88%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{CDE8A954-6211-473F-954E-2DFB3F27509E}</c15:txfldGUID>
                  <c15:f>'EJECUCIÓN CUENTA POR PAGAR '!$F$10</c15:f>
                  <c15:dlblFieldTableCache>
                    <c:ptCount val="1"/>
                    <c:pt idx="0">
                      <c:v>86,88%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'!$F$11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{51E42267-2DD6-414F-9C2F-B423844C799D}</c15:txfldGUID>
                  <c15:f>'EJECUCIÓN CUENTA POR PAGAR '!$F$11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'!$F$10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#,##0.00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'!$F$10</c:f>
              <c:strCache>
                <c:ptCount val="1"/>
                <c:pt idx="0">
                  <c:v>CANCELACION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'!$F$10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63-46C7-910C-543B4AF569CC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3-46C7-910C-543B4AF569CC}"/>
              </c:ext>
            </c:extLst>
          </c:dPt>
          <c:dLbls>
            <c:dLbl>
              <c:idx val="0"/>
              <c:tx>
                <c:strRef>
                  <c:f>'EJECUCIÓN CUENTA POR PAGAR '!$F$10</c:f>
                  <c:strCache>
                    <c:ptCount val="1"/>
                    <c:pt idx="0">
                      <c:v>86,88%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{281A65FA-A34C-4879-9F1A-CA5FA2880F87}</c15:txfldGUID>
                      <c15:f>'EJECUCIÓN CUENTA POR PAGAR '!$F$10</c15:f>
                      <c15:dlblFieldTableCache>
                        <c:ptCount val="1"/>
                        <c:pt idx="0">
                          <c:v>86,88%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63-46C7-910C-543B4AF569CC}"/>
                </c:ext>
              </c:extLst>
            </c:dLbl>
            <c:dLbl>
              <c:idx val="1"/>
              <c:tx>
                <c:strRef>
                  <c:f>'EJECUCIÓN CUENTA POR PAGAR '!$F$11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{14321EC0-3831-476C-8D06-C3D77164346C}</c15:txfldGUID>
                      <c15:f>'EJECUCIÓN CUENTA POR PAGAR '!$F$11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63-46C7-910C-543B4AF56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_(* #,##0.00_);_(* \(#,##0.00\);_(* "-"??_);_(@_)</c:formatCode>
                <c:ptCount val="2"/>
                <c:pt idx="0">
                  <c:v>6858.4404993999997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'!$E$13</c:f>
              <c:strCache>
                <c:ptCount val="1"/>
                <c:pt idx="0">
                  <c:v>87,18%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{E57FD8E2-6E6E-4168-8CF5-C8884230C468}</c15:txfldGUID>
                  <c15:f>'EJECUCIÓN CUENTA POR PAGAR '!$E$13</c15:f>
                  <c15:dlblFieldTableCache>
                    <c:ptCount val="1"/>
                    <c:pt idx="0">
                      <c:v>87,18%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'!$E$13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'!$E$13</c:f>
              <c:strCache>
                <c:ptCount val="1"/>
                <c:pt idx="0">
                  <c:v>CANCELACION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'!$E$13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D7-46BB-9119-716F161D030B}"/>
              </c:ext>
            </c:extLst>
          </c:dPt>
          <c:dLbls>
            <c:dLbl>
              <c:idx val="0"/>
              <c:tx>
                <c:strRef>
                  <c:f>'EJECUCIÓN CUENTA POR PAGAR '!$E$13</c:f>
                  <c:strCache>
                    <c:ptCount val="1"/>
                    <c:pt idx="0">
                      <c:v>87,18%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{B5C42566-077B-40B6-8A7A-7AAEE9C3EB74}</c15:txfldGUID>
                      <c15:f>'EJECUCIÓN CUENTA POR PAGAR '!$E$13</c15:f>
                      <c15:dlblFieldTableCache>
                        <c:ptCount val="1"/>
                        <c:pt idx="0">
                          <c:v>87,18%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FD7-46BB-9119-716F161D0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7040.8691733999995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Porcentaje Participación Apropiación por Concepto de Gastos</a:t>
            </a:r>
          </a:p>
        </c:rich>
      </c:tx>
      <c:layout>
        <c:manualLayout>
          <c:xMode val="edge"/>
          <c:yMode val="edge"/>
          <c:x val="9.5443515989072789E-2"/>
          <c:y val="5.682222734666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'!$B$9:$B$12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'!$C$9:$C$12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9.4774110331488845E-3"/>
              <c:y val="-4.1119484478336916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78,72%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{A44425C9-5472-4E53-BB59-10978324B130}</c15:txfldGUID>
                  <c15:f>'APR VS RP  Y OBLIGACIÓN Y PAGO'!$D$44</c15:f>
                  <c15:dlblFieldTableCache>
                    <c:ptCount val="1"/>
                    <c:pt idx="0">
                      <c:v>78,72%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6991734855734676E-2"/>
              <c:y val="-7.8641320517316649E-2"/>
            </c:manualLayout>
          </c:layout>
          <c:tx>
            <c:strRef>
              <c:f>'APR VS RP  Y OBLIGACIÓN Y PAGO'!$D$45</c:f>
              <c:strCache>
                <c:ptCount val="1"/>
                <c:pt idx="0">
                  <c:v>81,79%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{03B56DDF-C144-4148-BC31-2EB2E5DC7C1F}</c15:txfldGUID>
                  <c15:f>'APR VS RP  Y OBLIGACIÓN Y PAGO'!$D$45</c15:f>
                  <c15:dlblFieldTableCache>
                    <c:ptCount val="1"/>
                    <c:pt idx="0">
                      <c:v>81,79%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5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tx>
            <c:strRef>
              <c:f>'APR VS RP  Y OBLIGACIÓN Y PAGO'!$D$46</c:f>
              <c:strCache>
                <c:ptCount val="1"/>
                <c:pt idx="0">
                  <c:v>98,55%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{9B3ED14C-016E-41AF-AB90-EC8C997C9C1D}</c15:txfldGUID>
                  <c15:f>'APR VS RP  Y OBLIGACIÓN Y PAGO'!$D$46</c15:f>
                  <c15:dlblFieldTableCache>
                    <c:ptCount val="1"/>
                    <c:pt idx="0">
                      <c:v>98,55%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76,68%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{8E6FFC44-CC57-48A3-A2BA-4CF2A23938C5}</c15:txfldGUID>
                  <c15:f>'APR VS RP  Y OBLIGACIÓN Y PAGO'!$E$44</c15:f>
                  <c15:dlblFieldTableCache>
                    <c:ptCount val="1"/>
                    <c:pt idx="0">
                      <c:v>76,68%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949654156953393E-2"/>
              <c:y val="-2.0656560451962472E-2"/>
            </c:manualLayout>
          </c:layout>
          <c:tx>
            <c:strRef>
              <c:f>'APR VS RP  Y OBLIGACIÓN Y PAGO'!$E$45</c:f>
              <c:strCache>
                <c:ptCount val="1"/>
                <c:pt idx="0">
                  <c:v>81,79%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{4B1AA6B2-6AD0-420E-A606-AECAA113AC20}</c15:txfldGUID>
                  <c15:f>'APR VS RP  Y OBLIGACIÓN Y PAGO'!$E$45</c15:f>
                  <c15:dlblFieldTableCache>
                    <c:ptCount val="1"/>
                    <c:pt idx="0">
                      <c:v>81,79%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9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tx>
            <c:strRef>
              <c:f>'APR VS RP  Y OBLIGACIÓN Y PAGO'!$E$46</c:f>
              <c:strCache>
                <c:ptCount val="1"/>
                <c:pt idx="0">
                  <c:v>8,84%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{2D60C307-943E-4EDA-812E-80EDAADC22BA}</c15:txfldGUID>
                  <c15:f>'APR VS RP  Y OBLIGACIÓN Y PAGO'!$E$46</c15:f>
                  <c15:dlblFieldTableCache>
                    <c:ptCount val="1"/>
                    <c:pt idx="0">
                      <c:v>8,84%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73,68%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{D76BA7CB-EEDD-4F16-8976-66CE1832BECA}</c15:txfldGUID>
                  <c15:f>'APR VS RP  Y OBLIGACIÓN Y PAGO'!$F$44</c15:f>
                  <c15:dlblFieldTableCache>
                    <c:ptCount val="1"/>
                    <c:pt idx="0">
                      <c:v>73,68%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6307887493506355E-2"/>
              <c:y val="-2.5998391072446714E-2"/>
            </c:manualLayout>
          </c:layout>
          <c:tx>
            <c:strRef>
              <c:f>'APR VS RP  Y OBLIGACIÓN Y PAGO'!$F$45</c:f>
              <c:strCache>
                <c:ptCount val="1"/>
                <c:pt idx="0">
                  <c:v>81,79%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{4ED3517E-1CDC-402A-BC41-43A8F8AE48E1}</c15:txfldGUID>
                  <c15:f>'APR VS RP  Y OBLIGACIÓN Y PAGO'!$F$45</c15:f>
                  <c15:dlblFieldTableCache>
                    <c:ptCount val="1"/>
                    <c:pt idx="0">
                      <c:v>81,79%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tx>
            <c:strRef>
              <c:f>'APR VS RP  Y OBLIGACIÓN Y PAGO'!$F$46</c:f>
              <c:strCache>
                <c:ptCount val="1"/>
                <c:pt idx="0">
                  <c:v>8,69%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{47173A29-DA52-40F0-B7E6-B1448B7C9C42}</c15:txfldGUID>
                  <c15:f>'APR VS RP  Y OBLIGACIÓN Y PAGO'!$F$46</c15:f>
                  <c15:dlblFieldTableCache>
                    <c:ptCount val="1"/>
                    <c:pt idx="0">
                      <c:v>8,69%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PAGO'!$D$44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6CC-45AB-A8A4-1667F93406DB}"/>
            </c:ext>
          </c:extLst>
        </c:ser>
        <c:ser>
          <c:idx val="1"/>
          <c:order val="1"/>
          <c:tx>
            <c:strRef>
              <c:f>'APR VS RP  Y OBLIGACIÓN Y PAGO'!$D$44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6CC-45AB-A8A4-1667F93406DB}"/>
              </c:ext>
            </c:extLst>
          </c:dPt>
          <c:dLbls>
            <c:dLbl>
              <c:idx val="0"/>
              <c:layout>
                <c:manualLayout>
                  <c:x val="9.4774110331488845E-3"/>
                  <c:y val="-4.1119484478336916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78,72%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{CF044623-7C52-410F-B553-6D8B98014694}</c15:txfldGUID>
                      <c15:f>'APR VS RP  Y OBLIGACIÓN Y PAGO'!$D$44</c15:f>
                      <c15:dlblFieldTableCache>
                        <c:ptCount val="1"/>
                        <c:pt idx="0">
                          <c:v>78,72%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6CC-45AB-A8A4-1667F93406DB}"/>
                </c:ext>
              </c:extLst>
            </c:dLbl>
            <c:dLbl>
              <c:idx val="1"/>
              <c:layout>
                <c:manualLayout>
                  <c:x val="3.6991734855734676E-2"/>
                  <c:y val="-7.8641320517316649E-2"/>
                </c:manualLayout>
              </c:layout>
              <c:tx>
                <c:strRef>
                  <c:f>'APR VS RP  Y OBLIGACIÓN Y PAGO'!$D$45</c:f>
                  <c:strCache>
                    <c:ptCount val="1"/>
                    <c:pt idx="0">
                      <c:v>81,79%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{93C2F2CF-F1AC-4DF0-BEC8-50DD8EC92853}</c15:txfldGUID>
                      <c15:f>'APR VS RP  Y OBLIGACIÓN Y PAGO'!$D$45</c15:f>
                      <c15:dlblFieldTableCache>
                        <c:ptCount val="1"/>
                        <c:pt idx="0">
                          <c:v>81,79%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6CC-45AB-A8A4-1667F93406DB}"/>
                </c:ext>
              </c:extLst>
            </c:dLbl>
            <c:dLbl>
              <c:idx val="2"/>
              <c:layout>
                <c:manualLayout>
                  <c:x val="5.173499436174879E-2"/>
                  <c:y val="-1.2869966076227953E-2"/>
                </c:manualLayout>
              </c:layout>
              <c:tx>
                <c:strRef>
                  <c:f>'APR VS RP  Y OBLIGACIÓN Y PAGO'!$D$46</c:f>
                  <c:strCache>
                    <c:ptCount val="1"/>
                    <c:pt idx="0">
                      <c:v>98,55%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{0036ED24-D161-408F-BEE7-5595445AB2C3}</c15:txfldGUID>
                      <c15:f>'APR VS RP  Y OBLIGACIÓN Y PAGO'!$D$46</c15:f>
                      <c15:dlblFieldTableCache>
                        <c:ptCount val="1"/>
                        <c:pt idx="0">
                          <c:v>98,55%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78550.677418410007</c:v>
                </c:pt>
                <c:pt idx="1">
                  <c:v>954990.752829</c:v>
                </c:pt>
                <c:pt idx="2">
                  <c:v>4439873.9795468505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CC-45AB-A8A4-1667F93406DB}"/>
            </c:ext>
          </c:extLst>
        </c:ser>
        <c:ser>
          <c:idx val="2"/>
          <c:order val="2"/>
          <c:tx>
            <c:strRef>
              <c:f>'APR VS RP  Y OBLIGACIÓN Y PAGO'!$D$44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E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0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2-E6CC-45AB-A8A4-1667F93406DB}"/>
              </c:ext>
            </c:extLst>
          </c:dPt>
          <c:dLbls>
            <c:dLbl>
              <c:idx val="0"/>
              <c:layout>
                <c:manualLayout>
                  <c:x val="1.8603237689921795E-2"/>
                  <c:y val="-2.0592024765557975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76,68%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{AB5E1B23-226C-452B-87F6-207344B42191}</c15:txfldGUID>
                      <c15:f>'APR VS RP  Y OBLIGACIÓN Y PAGO'!$E$44</c15:f>
                      <c15:dlblFieldTableCache>
                        <c:ptCount val="1"/>
                        <c:pt idx="0">
                          <c:v>76,68%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6CC-45AB-A8A4-1667F93406DB}"/>
                </c:ext>
              </c:extLst>
            </c:dLbl>
            <c:dLbl>
              <c:idx val="1"/>
              <c:layout>
                <c:manualLayout>
                  <c:x val="2.8949654156953393E-2"/>
                  <c:y val="-2.0656560451962472E-2"/>
                </c:manualLayout>
              </c:layout>
              <c:tx>
                <c:strRef>
                  <c:f>'APR VS RP  Y OBLIGACIÓN Y PAGO'!$E$45</c:f>
                  <c:strCache>
                    <c:ptCount val="1"/>
                    <c:pt idx="0">
                      <c:v>81,79%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{1AFEDD05-2FD5-4EFB-96C3-E9BB27B02BA2}</c15:txfldGUID>
                      <c15:f>'APR VS RP  Y OBLIGACIÓN Y PAGO'!$E$45</c15:f>
                      <c15:dlblFieldTableCache>
                        <c:ptCount val="1"/>
                        <c:pt idx="0">
                          <c:v>81,79%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6CC-45AB-A8A4-1667F93406DB}"/>
                </c:ext>
              </c:extLst>
            </c:dLbl>
            <c:dLbl>
              <c:idx val="2"/>
              <c:layout>
                <c:manualLayout>
                  <c:x val="3.4573502550783196E-2"/>
                  <c:y val="-3.9191430798663093E-2"/>
                </c:manualLayout>
              </c:layout>
              <c:tx>
                <c:strRef>
                  <c:f>'APR VS RP  Y OBLIGACIÓN Y PAGO'!$E$46</c:f>
                  <c:strCache>
                    <c:ptCount val="1"/>
                    <c:pt idx="0">
                      <c:v>8,84%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{E5906AB7-EFBC-465F-A9BB-06AB97F00B1D}</c15:txfldGUID>
                      <c15:f>'APR VS RP  Y OBLIGACIÓN Y PAGO'!$E$46</c15:f>
                      <c15:dlblFieldTableCache>
                        <c:ptCount val="1"/>
                        <c:pt idx="0">
                          <c:v>8,84%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76517.35834834</c:v>
                </c:pt>
                <c:pt idx="1">
                  <c:v>954990.752829</c:v>
                </c:pt>
                <c:pt idx="2">
                  <c:v>398275.14684652997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6CC-45AB-A8A4-1667F93406DB}"/>
            </c:ext>
          </c:extLst>
        </c:ser>
        <c:ser>
          <c:idx val="3"/>
          <c:order val="3"/>
          <c:tx>
            <c:strRef>
              <c:f>'APR VS RP  Y OBLIGACIÓN Y PAGO'!$D$44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A-E6CC-45AB-A8A4-1667F93406DB}"/>
              </c:ext>
            </c:extLst>
          </c:dPt>
          <c:dLbls>
            <c:dLbl>
              <c:idx val="0"/>
              <c:layout>
                <c:manualLayout>
                  <c:x val="4.1576721279954376E-2"/>
                  <c:y val="-2.0592024765557975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73,68%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{4E4724FB-98E7-4F0C-B5F5-463C3F44CE07}</c15:txfldGUID>
                      <c15:f>'APR VS RP  Y OBLIGACIÓN Y PAGO'!$F$44</c15:f>
                      <c15:dlblFieldTableCache>
                        <c:ptCount val="1"/>
                        <c:pt idx="0">
                          <c:v>73,68%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E6CC-45AB-A8A4-1667F93406DB}"/>
                </c:ext>
              </c:extLst>
            </c:dLbl>
            <c:dLbl>
              <c:idx val="1"/>
              <c:layout>
                <c:manualLayout>
                  <c:x val="5.6307887493506355E-2"/>
                  <c:y val="-2.5998391072446714E-2"/>
                </c:manualLayout>
              </c:layout>
              <c:tx>
                <c:strRef>
                  <c:f>'APR VS RP  Y OBLIGACIÓN Y PAGO'!$F$45</c:f>
                  <c:strCache>
                    <c:ptCount val="1"/>
                    <c:pt idx="0">
                      <c:v>81,79%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{B5AFC856-4059-4A09-990B-A476D4559570}</c15:txfldGUID>
                      <c15:f>'APR VS RP  Y OBLIGACIÓN Y PAGO'!$F$45</c15:f>
                      <c15:dlblFieldTableCache>
                        <c:ptCount val="1"/>
                        <c:pt idx="0">
                          <c:v>81,79%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E6CC-45AB-A8A4-1667F93406DB}"/>
                </c:ext>
              </c:extLst>
            </c:dLbl>
            <c:dLbl>
              <c:idx val="2"/>
              <c:layout>
                <c:manualLayout>
                  <c:x val="5.9763932493655338E-2"/>
                  <c:y val="-2.8830843207682963E-2"/>
                </c:manualLayout>
              </c:layout>
              <c:tx>
                <c:strRef>
                  <c:f>'APR VS RP  Y OBLIGACIÓN Y PAGO'!$F$46</c:f>
                  <c:strCache>
                    <c:ptCount val="1"/>
                    <c:pt idx="0">
                      <c:v>8,69%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{E8F46371-99AD-4150-B1DA-C9BEE3DE1552}</c15:txfldGUID>
                      <c15:f>'APR VS RP  Y OBLIGACIÓN Y PAGO'!$F$46</c15:f>
                      <c15:dlblFieldTableCache>
                        <c:ptCount val="1"/>
                        <c:pt idx="0">
                          <c:v>8,69%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73525.237534330008</c:v>
                </c:pt>
                <c:pt idx="1">
                  <c:v>954990.752829</c:v>
                </c:pt>
                <c:pt idx="2">
                  <c:v>391610.44009198999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6CC-45AB-A8A4-1667F9340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716571550913061"/>
          <c:y val="0.38184099592435999"/>
          <c:w val="8.600251860849302E-2"/>
          <c:h val="0.21114547393984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Noviembre_2022.xlsx]APR,RP´S,OBL Y PAGO FUNCIONAMIE!TablaDinámica1</c:name>
    <c:fmtId val="4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799221989170927E-2"/>
              <c:y val="-3.5008454625033401E-2"/>
            </c:manualLayout>
          </c:layout>
          <c:tx>
            <c:strRef>
              <c:f>'APR,RP´S,OBL Y PAGO FUNCIONAMIE'!$G$47</c:f>
              <c:strCache>
                <c:ptCount val="1"/>
                <c:pt idx="0">
                  <c:v>76,91%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6.2338162091192105E-2"/>
                  <c:h val="3.5865008726477923E-2"/>
                </c:manualLayout>
              </c15:layout>
              <c15:dlblFieldTable>
                <c15:dlblFTEntry>
                  <c15:txfldGUID>{426B6FE1-C6FE-4A62-ADAF-C95DEF27DD9A}</c15:txfldGUID>
                  <c15:f>'APR,RP´S,OBL Y PAGO FUNCIONAMIE'!$G$47</c15:f>
                  <c15:dlblFieldTableCache>
                    <c:ptCount val="1"/>
                    <c:pt idx="0">
                      <c:v>76,91%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4794832337668779E-2"/>
              <c:y val="-1.1236006372231959E-2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77,23%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{8B381EA9-AB59-4DD2-A61D-6B8FA5B7BC44}</c15:txfldGUID>
                  <c15:f>'APR,RP´S,OBL Y PAGO FUNCIONAMIE'!$F$47</c15:f>
                  <c15:dlblFieldTableCache>
                    <c:ptCount val="1"/>
                    <c:pt idx="0">
                      <c:v>77,23%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9785222331072616E-2"/>
              <c:y val="2.7083072807642327E-3"/>
            </c:manualLayout>
          </c:layout>
          <c:tx>
            <c:strRef>
              <c:f>'APR,RP´S,OBL Y PAGO FUNCIONAMIE'!$G$46</c:f>
              <c:strCache>
                <c:ptCount val="1"/>
                <c:pt idx="0">
                  <c:v>77,45%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{22733BFC-0D7E-49C2-BD77-86EE912BAE94}</c15:txfldGUID>
                  <c15:f>'APR,RP´S,OBL Y PAGO FUNCIONAMIE'!$G$46</c15:f>
                  <c15:dlblFieldTableCache>
                    <c:ptCount val="1"/>
                    <c:pt idx="0">
                      <c:v>77,45%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3.0757911653794146E-2"/>
              <c:y val="-8.366607617302145E-3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87,46%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{CE660D4D-0DD8-4414-8DAC-212558920406}</c15:txfldGUID>
                  <c15:f>'APR,RP´S,OBL Y PAGO FUNCIONAMIE'!$E$47</c15:f>
                  <c15:dlblFieldTableCache>
                    <c:ptCount val="1"/>
                    <c:pt idx="0">
                      <c:v>87,46%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6184722843036922E-2"/>
              <c:y val="-1.4614811633129081E-3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82,65%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3998075675607719E-2"/>
                  <c:h val="3.6454603285070386E-2"/>
                </c:manualLayout>
              </c15:layout>
              <c15:dlblFieldTable>
                <c15:dlblFTEntry>
                  <c15:txfldGUID>{CA96CA61-61ED-40E9-9F65-880878530F1C}</c15:txfldGUID>
                  <c15:f>'APR,RP´S,OBL Y PAGO FUNCIONAMIE'!$F$46</c15:f>
                  <c15:dlblFieldTableCache>
                    <c:ptCount val="1"/>
                    <c:pt idx="0">
                      <c:v>82,65%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4570320738700486E-2"/>
              <c:y val="-2.4992415304230575E-2"/>
            </c:manualLayout>
          </c:layout>
          <c:tx>
            <c:strRef>
              <c:f>'APR,RP´S,OBL Y PAGO FUNCIONAMIE'!$E$46</c:f>
              <c:strCache>
                <c:ptCount val="1"/>
                <c:pt idx="0">
                  <c:v>82,65%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{43825E30-73EF-4DD5-9824-0110DBC7B83E}</c15:txfldGUID>
                  <c15:f>'APR,RP´S,OBL Y PAGO FUNCIONAMIE'!$E$46</c15:f>
                  <c15:dlblFieldTableCache>
                    <c:ptCount val="1"/>
                    <c:pt idx="0">
                      <c:v>82,65%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1327041907439347E-2"/>
              <c:y val="-2.7888627305992182E-2"/>
            </c:manualLayout>
          </c:layout>
          <c:tx>
            <c:strRef>
              <c:f>'APR,RP´S,OBL Y PAGO FUNCIONAMIE'!$E$48</c:f>
              <c:strCache>
                <c:ptCount val="1"/>
                <c:pt idx="0">
                  <c:v>28,73%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{1EDDE8F0-5844-4971-A986-CCDC2E094B16}</c15:txfldGUID>
                  <c15:f>'APR,RP´S,OBL Y PAGO FUNCIONAMIE'!$E$48</c15:f>
                  <c15:dlblFieldTableCache>
                    <c:ptCount val="1"/>
                    <c:pt idx="0">
                      <c:v>28,73%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8160555230856752E-2"/>
              <c:y val="-1.65721524768518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9.9463055827680915E-3"/>
              <c:y val="-2.4911946847322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2963418279874331E-2"/>
              <c:y val="-1.0127309522087815E-16"/>
            </c:manualLayout>
          </c:layout>
          <c:tx>
            <c:strRef>
              <c:f>'APR,RP´S,OBL Y PAGO FUNCIONAMIE'!$G$48</c:f>
              <c:strCache>
                <c:ptCount val="1"/>
                <c:pt idx="0">
                  <c:v>28,26%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{3ED41143-9835-41A3-A2F3-C067087E3272}</c15:txfldGUID>
                  <c15:f>'APR,RP´S,OBL Y PAGO FUNCIONAMIE'!$G$48</c15:f>
                  <c15:dlblFieldTableCache>
                    <c:ptCount val="1"/>
                    <c:pt idx="0">
                      <c:v>28,26%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tx>
            <c:strRef>
              <c:f>'APR,RP´S,OBL Y PAGO FUNCIONAMIE'!$F$48</c:f>
              <c:strCache>
                <c:ptCount val="1"/>
                <c:pt idx="0">
                  <c:v>28,26%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{A77DF1F0-F433-4A81-BEE4-90CFC5E90722}</c15:txfldGUID>
                  <c15:f>'APR,RP´S,OBL Y PAGO FUNCIONAMIE'!$F$48</c15:f>
                  <c15:dlblFieldTableCache>
                    <c:ptCount val="1"/>
                    <c:pt idx="0">
                      <c:v>28,26%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3193551750483369E-2"/>
              <c:y val="-1.9334177889660246E-2"/>
            </c:manualLayout>
          </c:layout>
          <c:tx>
            <c:strRef>
              <c:f>'APR,RP´S,OBL Y PAGO FUNCIONAMIE'!$E$49</c:f>
              <c:strCache>
                <c:ptCount val="1"/>
                <c:pt idx="0">
                  <c:v>86,48%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{9E47E593-C277-4084-930C-01A4E44339EA}</c15:txfldGUID>
                  <c15:f>'APR,RP´S,OBL Y PAGO FUNCIONAMIE'!$E$49</c15:f>
                  <c15:dlblFieldTableCache>
                    <c:ptCount val="1"/>
                    <c:pt idx="0">
                      <c:v>86,48%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5226796838926178E-2"/>
              <c:y val="-5.5240508256172421E-3"/>
            </c:manualLayout>
          </c:layout>
          <c:tx>
            <c:strRef>
              <c:f>'APR,RP´S,OBL Y PAGO FUNCIONAMIE'!$F$49</c:f>
              <c:strCache>
                <c:ptCount val="1"/>
                <c:pt idx="0">
                  <c:v>86,48%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{529D2917-F7D4-4D62-802B-688F2A62FB27}</c15:txfldGUID>
                  <c15:f>'APR,RP´S,OBL Y PAGO FUNCIONAMIE'!$F$49</c15:f>
                  <c15:dlblFieldTableCache>
                    <c:ptCount val="1"/>
                    <c:pt idx="0">
                      <c:v>86,48%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4.3281583920398943E-2"/>
              <c:y val="8.2860762384258622E-3"/>
            </c:manualLayout>
          </c:layout>
          <c:tx>
            <c:strRef>
              <c:f>'APR,RP´S,OBL Y PAGO FUNCIONAMIE'!$G$49</c:f>
              <c:strCache>
                <c:ptCount val="1"/>
                <c:pt idx="0">
                  <c:v>86,48%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{B8CECC37-49C9-4E14-8105-DFC9C3836AC6}</c15:txfldGUID>
                  <c15:f>'APR,RP´S,OBL Y PAGO FUNCIONAMIE'!$G$49</c15:f>
                  <c15:dlblFieldTableCache>
                    <c:ptCount val="1"/>
                    <c:pt idx="0">
                      <c:v>86,48%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7354722185743902E-3"/>
              <c:y val="-1.104810165123448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FUNCIONAMIE'!$G$47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1C-43BA-AF73-2DAD61FE14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C1C-43BA-AF73-2DAD61FE14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490A-41BA-A430-F1FA2F9F4A04}"/>
              </c:ext>
            </c:extLst>
          </c:dPt>
          <c:dLbls>
            <c:dLbl>
              <c:idx val="1"/>
              <c:layout>
                <c:manualLayout>
                  <c:x val="1.8160555230856752E-2"/>
                  <c:y val="-1.6572152476851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C-43BA-AF73-2DAD61FE146F}"/>
                </c:ext>
              </c:extLst>
            </c:dLbl>
            <c:dLbl>
              <c:idx val="2"/>
              <c:layout>
                <c:manualLayout>
                  <c:x val="9.9463055827680915E-3"/>
                  <c:y val="-2.491194684732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C-43BA-AF73-2DAD61FE146F}"/>
                </c:ext>
              </c:extLst>
            </c:dLbl>
            <c:dLbl>
              <c:idx val="3"/>
              <c:layout>
                <c:manualLayout>
                  <c:x val="1.7354722185743902E-3"/>
                  <c:y val="-1.104810165123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0A-41BA-A430-F1FA2F9F4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56308.670080000004</c:v>
                </c:pt>
                <c:pt idx="1">
                  <c:v>19419.071</c:v>
                </c:pt>
                <c:pt idx="2">
                  <c:v>10006.772290000001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E6F-4898-A82B-B58C66A3D72A}"/>
            </c:ext>
          </c:extLst>
        </c:ser>
        <c:ser>
          <c:idx val="1"/>
          <c:order val="1"/>
          <c:tx>
            <c:strRef>
              <c:f>'APR,RP´S,OBL Y PAGO FUNCIONAMIE'!$G$47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EE6F-4898-A82B-B58C66A3D7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E02A-417B-8088-C82007E187AB}"/>
              </c:ext>
            </c:extLst>
          </c:dPt>
          <c:dLbls>
            <c:dLbl>
              <c:idx val="0"/>
              <c:layout>
                <c:manualLayout>
                  <c:x val="1.4570320738700486E-2"/>
                  <c:y val="-2.4992415304230575E-2"/>
                </c:manualLayout>
              </c:layout>
              <c:tx>
                <c:strRef>
                  <c:f>'APR,RP´S,OBL Y PAGO FUNCIONAMIE'!$E$46</c:f>
                  <c:strCache>
                    <c:ptCount val="1"/>
                    <c:pt idx="0">
                      <c:v>82,65%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{8D743282-6F67-4AFE-B400-451353F1B9F4}</c15:txfldGUID>
                      <c15:f>'APR,RP´S,OBL Y PAGO FUNCIONAMIE'!$E$46</c15:f>
                      <c15:dlblFieldTableCache>
                        <c:ptCount val="1"/>
                        <c:pt idx="0">
                          <c:v>82,65%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E6F-4898-A82B-B58C66A3D72A}"/>
                </c:ext>
              </c:extLst>
            </c:dLbl>
            <c:dLbl>
              <c:idx val="1"/>
              <c:layout>
                <c:manualLayout>
                  <c:x val="3.0757911653794146E-2"/>
                  <c:y val="-8.366607617302145E-3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87,46%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{BB12E170-68F6-498D-811A-7F3911685A74}</c15:txfldGUID>
                      <c15:f>'APR,RP´S,OBL Y PAGO FUNCIONAMIE'!$E$47</c15:f>
                      <c15:dlblFieldTableCache>
                        <c:ptCount val="1"/>
                        <c:pt idx="0">
                          <c:v>87,46%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6F-4898-A82B-B58C66A3D72A}"/>
                </c:ext>
              </c:extLst>
            </c:dLbl>
            <c:dLbl>
              <c:idx val="2"/>
              <c:layout>
                <c:manualLayout>
                  <c:x val="1.1327041907439347E-2"/>
                  <c:y val="-2.7888627305992182E-2"/>
                </c:manualLayout>
              </c:layout>
              <c:tx>
                <c:strRef>
                  <c:f>'APR,RP´S,OBL Y PAGO FUNCIONAMIE'!$E$48</c:f>
                  <c:strCache>
                    <c:ptCount val="1"/>
                    <c:pt idx="0">
                      <c:v>28,73%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{8E229197-26C8-4154-BB44-05BFCCBA1C7B}</c15:txfldGUID>
                      <c15:f>'APR,RP´S,OBL Y PAGO FUNCIONAMIE'!$E$48</c15:f>
                      <c15:dlblFieldTableCache>
                        <c:ptCount val="1"/>
                        <c:pt idx="0">
                          <c:v>28,73%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E6F-4898-A82B-B58C66A3D72A}"/>
                </c:ext>
              </c:extLst>
            </c:dLbl>
            <c:dLbl>
              <c:idx val="3"/>
              <c:layout>
                <c:manualLayout>
                  <c:x val="1.3193551750483369E-2"/>
                  <c:y val="-1.9334177889660246E-2"/>
                </c:manualLayout>
              </c:layout>
              <c:tx>
                <c:strRef>
                  <c:f>'APR,RP´S,OBL Y PAGO FUNCIONAMIE'!$E$49</c:f>
                  <c:strCache>
                    <c:ptCount val="1"/>
                    <c:pt idx="0">
                      <c:v>86,48%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{858921F3-FC02-464B-9DA6-3213701C7DF6}</c15:txfldGUID>
                      <c15:f>'APR,RP´S,OBL Y PAGO FUNCIONAMIE'!$E$49</c15:f>
                      <c15:dlblFieldTableCache>
                        <c:ptCount val="1"/>
                        <c:pt idx="0">
                          <c:v>86,48%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46540.152865190001</c:v>
                </c:pt>
                <c:pt idx="1">
                  <c:v>16984.168386580001</c:v>
                </c:pt>
                <c:pt idx="2">
                  <c:v>2874.9248986399998</c:v>
                </c:pt>
                <c:pt idx="3">
                  <c:v>12151.431268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E6F-4898-A82B-B58C66A3D72A}"/>
            </c:ext>
          </c:extLst>
        </c:ser>
        <c:ser>
          <c:idx val="2"/>
          <c:order val="2"/>
          <c:tx>
            <c:strRef>
              <c:f>'APR,RP´S,OBL Y PAGO FUNCIONAMIE'!$G$47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02A-417B-8088-C82007E187AB}"/>
              </c:ext>
            </c:extLst>
          </c:dPt>
          <c:dLbls>
            <c:dLbl>
              <c:idx val="0"/>
              <c:layout>
                <c:manualLayout>
                  <c:x val="2.6184722843036922E-2"/>
                  <c:y val="-1.4614811633129081E-3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82,65%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98075675607719E-2"/>
                      <c:h val="3.6454603285070386E-2"/>
                    </c:manualLayout>
                  </c15:layout>
                  <c15:dlblFieldTable>
                    <c15:dlblFTEntry>
                      <c15:txfldGUID>{12CBE9CA-CFF3-42D1-B9AC-39C0303AA122}</c15:txfldGUID>
                      <c15:f>'APR,RP´S,OBL Y PAGO FUNCIONAMIE'!$F$46</c15:f>
                      <c15:dlblFieldTableCache>
                        <c:ptCount val="1"/>
                        <c:pt idx="0">
                          <c:v>82,65%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E6F-4898-A82B-B58C66A3D72A}"/>
                </c:ext>
              </c:extLst>
            </c:dLbl>
            <c:dLbl>
              <c:idx val="1"/>
              <c:layout>
                <c:manualLayout>
                  <c:x val="1.4794832337668779E-2"/>
                  <c:y val="-1.1236006372231959E-2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77,23%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{8927DE32-1086-4595-916E-A34CBA166CC5}</c15:txfldGUID>
                      <c15:f>'APR,RP´S,OBL Y PAGO FUNCIONAMIE'!$F$47</c15:f>
                      <c15:dlblFieldTableCache>
                        <c:ptCount val="1"/>
                        <c:pt idx="0">
                          <c:v>77,23%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6F-4898-A82B-B58C66A3D72A}"/>
                </c:ext>
              </c:extLst>
            </c:dLbl>
            <c:dLbl>
              <c:idx val="2"/>
              <c:tx>
                <c:strRef>
                  <c:f>'APR,RP´S,OBL Y PAGO FUNCIONAMIE'!$F$48</c:f>
                  <c:strCache>
                    <c:ptCount val="1"/>
                    <c:pt idx="0">
                      <c:v>28,26%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{F140F5CE-24AB-4206-9937-E83539121E6B}</c15:txfldGUID>
                      <c15:f>'APR,RP´S,OBL Y PAGO FUNCIONAMIE'!$F$48</c15:f>
                      <c15:dlblFieldTableCache>
                        <c:ptCount val="1"/>
                        <c:pt idx="0">
                          <c:v>28,26%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02A-417B-8088-C82007E187AB}"/>
                </c:ext>
              </c:extLst>
            </c:dLbl>
            <c:dLbl>
              <c:idx val="3"/>
              <c:layout>
                <c:manualLayout>
                  <c:x val="2.5226796838926178E-2"/>
                  <c:y val="-5.5240508256172421E-3"/>
                </c:manualLayout>
              </c:layout>
              <c:tx>
                <c:strRef>
                  <c:f>'APR,RP´S,OBL Y PAGO FUNCIONAMIE'!$F$49</c:f>
                  <c:strCache>
                    <c:ptCount val="1"/>
                    <c:pt idx="0">
                      <c:v>86,48%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{E182FD5D-94CB-4DC2-9ACC-AB867CEFDD91}</c15:txfldGUID>
                      <c15:f>'APR,RP´S,OBL Y PAGO FUNCIONAMIE'!$F$49</c15:f>
                      <c15:dlblFieldTableCache>
                        <c:ptCount val="1"/>
                        <c:pt idx="0">
                          <c:v>86,48%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46540.152865190001</c:v>
                </c:pt>
                <c:pt idx="1">
                  <c:v>14997.46443951</c:v>
                </c:pt>
                <c:pt idx="2">
                  <c:v>2828.3097756399998</c:v>
                </c:pt>
                <c:pt idx="3">
                  <c:v>12151.431268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E6F-4898-A82B-B58C66A3D72A}"/>
            </c:ext>
          </c:extLst>
        </c:ser>
        <c:ser>
          <c:idx val="3"/>
          <c:order val="3"/>
          <c:tx>
            <c:strRef>
              <c:f>'APR,RP´S,OBL Y PAGO FUNCIONAMIE'!$G$47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E02A-417B-8088-C82007E187AB}"/>
              </c:ext>
            </c:extLst>
          </c:dPt>
          <c:dLbls>
            <c:dLbl>
              <c:idx val="0"/>
              <c:layout>
                <c:manualLayout>
                  <c:x val="3.9785222331072616E-2"/>
                  <c:y val="2.7083072807642327E-3"/>
                </c:manualLayout>
              </c:layout>
              <c:tx>
                <c:strRef>
                  <c:f>'APR,RP´S,OBL Y PAGO FUNCIONAMIE'!$G$46</c:f>
                  <c:strCache>
                    <c:ptCount val="1"/>
                    <c:pt idx="0">
                      <c:v>77,45%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{23935651-0AFC-4321-B93C-72E183AC93C8}</c15:txfldGUID>
                      <c15:f>'APR,RP´S,OBL Y PAGO FUNCIONAMIE'!$G$46</c15:f>
                      <c15:dlblFieldTableCache>
                        <c:ptCount val="1"/>
                        <c:pt idx="0">
                          <c:v>77,45%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E6F-4898-A82B-B58C66A3D72A}"/>
                </c:ext>
              </c:extLst>
            </c:dLbl>
            <c:dLbl>
              <c:idx val="1"/>
              <c:layout>
                <c:manualLayout>
                  <c:x val="3.799221989170927E-2"/>
                  <c:y val="-3.5008454625033401E-2"/>
                </c:manualLayout>
              </c:layout>
              <c:tx>
                <c:strRef>
                  <c:f>'APR,RP´S,OBL Y PAGO FUNCIONAMIE'!$G$47</c:f>
                  <c:strCache>
                    <c:ptCount val="1"/>
                    <c:pt idx="0">
                      <c:v>76,91%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338162091192105E-2"/>
                      <c:h val="3.5865008726477923E-2"/>
                    </c:manualLayout>
                  </c15:layout>
                  <c15:dlblFieldTable>
                    <c15:dlblFTEntry>
                      <c15:txfldGUID>{05E6D251-4520-4F25-BEB3-C0F867B445D4}</c15:txfldGUID>
                      <c15:f>'APR,RP´S,OBL Y PAGO FUNCIONAMIE'!$G$47</c15:f>
                      <c15:dlblFieldTableCache>
                        <c:ptCount val="1"/>
                        <c:pt idx="0">
                          <c:v>76,91%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E6F-4898-A82B-B58C66A3D72A}"/>
                </c:ext>
              </c:extLst>
            </c:dLbl>
            <c:dLbl>
              <c:idx val="2"/>
              <c:layout>
                <c:manualLayout>
                  <c:x val="1.2963418279874331E-2"/>
                  <c:y val="-1.0127309522087815E-16"/>
                </c:manualLayout>
              </c:layout>
              <c:tx>
                <c:strRef>
                  <c:f>'APR,RP´S,OBL Y PAGO FUNCIONAMIE'!$G$48</c:f>
                  <c:strCache>
                    <c:ptCount val="1"/>
                    <c:pt idx="0">
                      <c:v>28,26%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{B119CEB2-1919-4DAE-88D2-FE6A7B591436}</c15:txfldGUID>
                      <c15:f>'APR,RP´S,OBL Y PAGO FUNCIONAMIE'!$G$48</c15:f>
                      <c15:dlblFieldTableCache>
                        <c:ptCount val="1"/>
                        <c:pt idx="0">
                          <c:v>28,26%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02A-417B-8088-C82007E187AB}"/>
                </c:ext>
              </c:extLst>
            </c:dLbl>
            <c:dLbl>
              <c:idx val="3"/>
              <c:layout>
                <c:manualLayout>
                  <c:x val="4.3281583920398943E-2"/>
                  <c:y val="8.2860762384258622E-3"/>
                </c:manualLayout>
              </c:layout>
              <c:tx>
                <c:strRef>
                  <c:f>'APR,RP´S,OBL Y PAGO FUNCIONAMIE'!$G$49</c:f>
                  <c:strCache>
                    <c:ptCount val="1"/>
                    <c:pt idx="0">
                      <c:v>86,48%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{5E8E1CB2-A349-40FA-9EE4-2AC75AF84A9E}</c15:txfldGUID>
                      <c15:f>'APR,RP´S,OBL Y PAGO FUNCIONAMIE'!$G$49</c15:f>
                      <c15:dlblFieldTableCache>
                        <c:ptCount val="1"/>
                        <c:pt idx="0">
                          <c:v>86,48%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43609.40434719</c:v>
                </c:pt>
                <c:pt idx="1">
                  <c:v>14936.0921435</c:v>
                </c:pt>
                <c:pt idx="2">
                  <c:v>2828.3097756399998</c:v>
                </c:pt>
                <c:pt idx="3">
                  <c:v>12151.431268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E6F-4898-A82B-B58C66A3D7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227727"/>
        <c:axId val="1990241039"/>
        <c:axId val="0"/>
      </c:bar3DChart>
      <c:catAx>
        <c:axId val="19902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41039"/>
        <c:crosses val="autoZero"/>
        <c:auto val="1"/>
        <c:lblAlgn val="ctr"/>
        <c:lblOffset val="100"/>
        <c:noMultiLvlLbl val="0"/>
      </c:catAx>
      <c:valAx>
        <c:axId val="199024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OBLI'!$B$9</c:f>
              <c:strCache>
                <c:ptCount val="1"/>
                <c:pt idx="0">
                  <c:v>APROPIACION VIG.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OBLI'!$B$10</c:f>
              <c:numCache>
                <c:formatCode>#,##0.00,,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OBLI'!$C$9</c:f>
              <c:strCache>
                <c:ptCount val="1"/>
                <c:pt idx="0">
                  <c:v>COMPRO. ACUMU.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OBLI'!$C$10</c:f>
              <c:numCache>
                <c:formatCode>#,##0.00,,</c:formatCode>
                <c:ptCount val="1"/>
                <c:pt idx="0">
                  <c:v>4439873979546.8506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OBLI'!$D$9</c:f>
              <c:strCache>
                <c:ptCount val="1"/>
                <c:pt idx="0">
                  <c:v>OBLIGACION. ACUMU.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OBLI'!$D$10</c:f>
              <c:numCache>
                <c:formatCode>#,##0.00,,</c:formatCode>
                <c:ptCount val="1"/>
                <c:pt idx="0">
                  <c:v>398275146846.52997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OBLI'!$E$9</c:f>
              <c:strCache>
                <c:ptCount val="1"/>
                <c:pt idx="0">
                  <c:v>PAGOS ACUMU.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B0C-4425-80AC-ACDB10979743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C-4425-80AC-ACDB10979743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OBLI'!$E$10</c:f>
              <c:numCache>
                <c:formatCode>#,##0.00,,</c:formatCode>
                <c:ptCount val="1"/>
                <c:pt idx="0">
                  <c:v>391610440091.98999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08724766336593"/>
          <c:y val="0.8883871427538711"/>
          <c:w val="0.70239110886319789"/>
          <c:h val="8.9855965149748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Noviembre_2022.xlsx]Participación por Concepto RES!TablaDinámica4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Noviembre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 RES'!$C$9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AF-4BCA-A578-1D99CD5C56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AF-4BCA-A578-1D99CD5C56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 RES'!$B$10:$B$12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 RES'!$C$10:$C$12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52189.047171859995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8D-430E-A10D-C86BE0619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RESERVA'!$E$13</c:f>
              <c:strCache>
                <c:ptCount val="1"/>
                <c:pt idx="0">
                  <c:v>81,76%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{E3D805DB-0554-4EFD-99C1-215ADFFF87D2}</c15:txfldGUID>
                  <c15:f>'EJECUCIÓN  RESERVA'!$E$13</c15:f>
                  <c15:dlblFieldTableCache>
                    <c:ptCount val="1"/>
                    <c:pt idx="0">
                      <c:v>81,76%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RESERVA'!$E$13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RESERVA'!$E$13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1008.21884273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RESERVA'!$E$13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RESERVA'!$E$13</c:f>
                  <c:strCache>
                    <c:ptCount val="1"/>
                    <c:pt idx="0">
                      <c:v>81,76%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{DD539D70-614C-4795-8C1B-818761E593F6}</c15:txfldGUID>
                      <c15:f>'EJECUCIÓN  RESERVA'!$E$13</c15:f>
                      <c15:dlblFieldTableCache>
                        <c:ptCount val="1"/>
                        <c:pt idx="0">
                          <c:v>81,76%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45334.917664379995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RESERVA'!$F$11</c:f>
              <c:strCache>
                <c:ptCount val="1"/>
                <c:pt idx="0">
                  <c:v>81,02%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{80017AF7-D9DC-47DC-8513-A1A4416D595D}</c15:txfldGUID>
                  <c15:f>'EJECUCIÓN  RESERVA'!$F$11</c15:f>
                  <c15:dlblFieldTableCache>
                    <c:ptCount val="1"/>
                    <c:pt idx="0">
                      <c:v>81,02%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RESERVA'!$F$10</c:f>
              <c:strCache>
                <c:ptCount val="1"/>
                <c:pt idx="0">
                  <c:v>99,26%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{D4763068-D753-478E-96A3-A685130049B2}</c15:txfldGUID>
                  <c15:f>'EJECUCIÓN  RESERVA'!$F$10</c15:f>
                  <c15:dlblFieldTableCache>
                    <c:ptCount val="1"/>
                    <c:pt idx="0">
                      <c:v>99,26%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RESERVA'!$F$11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RESERVA'!$F$11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1008.21884273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RESERVA'!$F$11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89-4762-A993-BF49687276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89-4762-A993-BF496872769D}"/>
              </c:ext>
            </c:extLst>
          </c:dPt>
          <c:dLbls>
            <c:dLbl>
              <c:idx val="0"/>
              <c:tx>
                <c:strRef>
                  <c:f>'EJECUCIÓN  RESERVA'!$F$10</c:f>
                  <c:strCache>
                    <c:ptCount val="1"/>
                    <c:pt idx="0">
                      <c:v>99,26%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{CEC9833F-CB90-4E84-873B-6D9F52436980}</c15:txfldGUID>
                      <c15:f>'EJECUCIÓN  RESERVA'!$F$10</c15:f>
                      <c15:dlblFieldTableCache>
                        <c:ptCount val="1"/>
                        <c:pt idx="0">
                          <c:v>99,26%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389-4762-A993-BF496872769D}"/>
                </c:ext>
              </c:extLst>
            </c:dLbl>
            <c:dLbl>
              <c:idx val="1"/>
              <c:tx>
                <c:strRef>
                  <c:f>'EJECUCIÓN  RESERVA'!$F$11</c:f>
                  <c:strCache>
                    <c:ptCount val="1"/>
                    <c:pt idx="0">
                      <c:v>81,02%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{A697DD4E-6A45-492F-8AFD-48EE9AD37645}</c15:txfldGUID>
                      <c15:f>'EJECUCIÓN  RESERVA'!$F$11</c15:f>
                      <c15:dlblFieldTableCache>
                        <c:ptCount val="1"/>
                        <c:pt idx="0">
                          <c:v>81,02%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389-4762-A993-BF4968727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2233.0090866599999</c:v>
                </c:pt>
                <c:pt idx="1">
                  <c:v>43101.908577719994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8099439566316"/>
          <c:y val="0.21411790456482391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Noviembre_2022.xlsx]PART.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noviembre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2679757011505638"/>
          <c:y val="8.7797442664837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'!$C$9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26C6-4FB1-9CC8-9AA4959F24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26C6-4FB1-9CC8-9AA4959F24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'!$B$10:$B$12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'PART. CUENTA X PAGAR CONCEPTO '!$C$10:$C$12</c:f>
              <c:numCache>
                <c:formatCode>#,##0.00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AD-4743-9A84-AD84A0F630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9.xml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ART. CUENTA X PAGAR CONCEPTO '!A1"/><Relationship Id="rId3" Type="http://schemas.openxmlformats.org/officeDocument/2006/relationships/hyperlink" Target="#'APR VS RP  Y OBLIGACI&#211;N Y PAGO'!A1"/><Relationship Id="rId7" Type="http://schemas.openxmlformats.org/officeDocument/2006/relationships/hyperlink" Target="#'EJECUCI&#211;N  RESERVA'!A1"/><Relationship Id="rId2" Type="http://schemas.openxmlformats.org/officeDocument/2006/relationships/image" Target="../media/image1.png"/><Relationship Id="rId1" Type="http://schemas.openxmlformats.org/officeDocument/2006/relationships/hyperlink" Target="#'Participaci&#243;n Apropiaci&#243;n '!A1"/><Relationship Id="rId6" Type="http://schemas.openxmlformats.org/officeDocument/2006/relationships/hyperlink" Target="#'Participaci&#243;n por Concepto RES'!A1"/><Relationship Id="rId11" Type="http://schemas.openxmlformats.org/officeDocument/2006/relationships/image" Target="../media/image3.jpeg"/><Relationship Id="rId5" Type="http://schemas.openxmlformats.org/officeDocument/2006/relationships/hyperlink" Target="#'INVERSI&#211;N APR VS RP Y OBLI'!A1"/><Relationship Id="rId10" Type="http://schemas.openxmlformats.org/officeDocument/2006/relationships/image" Target="../media/image2.png"/><Relationship Id="rId4" Type="http://schemas.openxmlformats.org/officeDocument/2006/relationships/hyperlink" Target="#'APR,RP&#180;S,OBL Y PAGO FUNCIONAMIE'!A1"/><Relationship Id="rId9" Type="http://schemas.openxmlformats.org/officeDocument/2006/relationships/hyperlink" Target="#'EJECUCI&#211;N CUENTA POR PAGAR 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emf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4.xm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6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5" Type="http://schemas.openxmlformats.org/officeDocument/2006/relationships/hyperlink" Target="#Men&#250;!A1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6.xml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0.65497</cdr:x>
      <cdr:y>0.80337</cdr:y>
    </cdr:from>
    <cdr:to>
      <cdr:x>1</cdr:x>
      <cdr:y>0.93324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752058" y="3572175"/>
          <a:ext cx="1976538" cy="577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6200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 de 2022</a:t>
          </a:r>
        </a:p>
      </xdr:txBody>
    </xdr:sp>
    <xdr:clientData/>
  </xdr:oneCellAnchor>
  <xdr:twoCellAnchor>
    <xdr:from>
      <xdr:col>1</xdr:col>
      <xdr:colOff>9525</xdr:colOff>
      <xdr:row>13</xdr:row>
      <xdr:rowOff>90487</xdr:rowOff>
    </xdr:from>
    <xdr:to>
      <xdr:col>6</xdr:col>
      <xdr:colOff>742950</xdr:colOff>
      <xdr:row>33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2</xdr:row>
      <xdr:rowOff>28574</xdr:rowOff>
    </xdr:from>
    <xdr:to>
      <xdr:col>2</xdr:col>
      <xdr:colOff>1094329</xdr:colOff>
      <xdr:row>6</xdr:row>
      <xdr:rowOff>58574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04AA85-0AE1-4C2B-BDAA-8E61F8FDB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19074"/>
          <a:ext cx="2351629" cy="792000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609600</xdr:colOff>
      <xdr:row>1</xdr:row>
      <xdr:rowOff>47625</xdr:rowOff>
    </xdr:from>
    <xdr:to>
      <xdr:col>10</xdr:col>
      <xdr:colOff>711256</xdr:colOff>
      <xdr:row>6</xdr:row>
      <xdr:rowOff>17983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2CF6A9-C6F8-4D8F-91B3-DEF621AA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</a:t>
          </a:r>
          <a:r>
            <a:rPr lang="es-ES" sz="20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noviembre</a:t>
          </a:r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>
    <xdr:from>
      <xdr:col>0</xdr:col>
      <xdr:colOff>740833</xdr:colOff>
      <xdr:row>15</xdr:row>
      <xdr:rowOff>162983</xdr:rowOff>
    </xdr:from>
    <xdr:to>
      <xdr:col>7</xdr:col>
      <xdr:colOff>355986</xdr:colOff>
      <xdr:row>30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638176</xdr:colOff>
      <xdr:row>37</xdr:row>
      <xdr:rowOff>0</xdr:rowOff>
    </xdr:from>
    <xdr:to>
      <xdr:col>5</xdr:col>
      <xdr:colOff>755363</xdr:colOff>
      <xdr:row>54</xdr:row>
      <xdr:rowOff>133349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1122589</xdr:colOff>
      <xdr:row>5</xdr:row>
      <xdr:rowOff>17062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F3D070-177A-49C4-9F0A-5C82EC38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0"/>
          <a:ext cx="2313214" cy="779062"/>
        </a:xfrm>
        <a:prstGeom prst="rect">
          <a:avLst/>
        </a:prstGeom>
      </xdr:spPr>
    </xdr:pic>
    <xdr:clientData/>
  </xdr:twoCellAnchor>
  <xdr:twoCellAnchor editAs="oneCell">
    <xdr:from>
      <xdr:col>8</xdr:col>
      <xdr:colOff>650819</xdr:colOff>
      <xdr:row>0</xdr:row>
      <xdr:rowOff>182043</xdr:rowOff>
    </xdr:from>
    <xdr:to>
      <xdr:col>9</xdr:col>
      <xdr:colOff>752475</xdr:colOff>
      <xdr:row>5</xdr:row>
      <xdr:rowOff>152401</xdr:rowOff>
    </xdr:to>
    <xdr:pic>
      <xdr:nvPicPr>
        <xdr:cNvPr id="10" name="Imagen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0DDA17-A680-77B3-E796-E86C88DD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8919" y="182043"/>
          <a:ext cx="863656" cy="92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1628774</xdr:colOff>
      <xdr:row>1</xdr:row>
      <xdr:rowOff>123825</xdr:rowOff>
    </xdr:from>
    <xdr:ext cx="8201025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4560" y="123825"/>
          <a:ext cx="8201025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Gestión Corporativa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1</xdr:col>
      <xdr:colOff>10146847</xdr:colOff>
      <xdr:row>8</xdr:row>
      <xdr:rowOff>412296</xdr:rowOff>
    </xdr:from>
    <xdr:to>
      <xdr:col>1</xdr:col>
      <xdr:colOff>10642147</xdr:colOff>
      <xdr:row>10</xdr:row>
      <xdr:rowOff>155121</xdr:rowOff>
    </xdr:to>
    <xdr:pic>
      <xdr:nvPicPr>
        <xdr:cNvPr id="9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633" y="2017939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7890782</xdr:colOff>
      <xdr:row>9</xdr:row>
      <xdr:rowOff>405493</xdr:rowOff>
    </xdr:from>
    <xdr:to>
      <xdr:col>1</xdr:col>
      <xdr:colOff>8386082</xdr:colOff>
      <xdr:row>11</xdr:row>
      <xdr:rowOff>148318</xdr:rowOff>
    </xdr:to>
    <xdr:pic>
      <xdr:nvPicPr>
        <xdr:cNvPr id="10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568" y="2473779"/>
          <a:ext cx="495300" cy="668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11219089</xdr:colOff>
      <xdr:row>10</xdr:row>
      <xdr:rowOff>405493</xdr:rowOff>
    </xdr:from>
    <xdr:to>
      <xdr:col>1</xdr:col>
      <xdr:colOff>11714389</xdr:colOff>
      <xdr:row>12</xdr:row>
      <xdr:rowOff>148318</xdr:rowOff>
    </xdr:to>
    <xdr:pic>
      <xdr:nvPicPr>
        <xdr:cNvPr id="11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2936422"/>
          <a:ext cx="495300" cy="668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8875939</xdr:colOff>
      <xdr:row>11</xdr:row>
      <xdr:rowOff>400050</xdr:rowOff>
    </xdr:from>
    <xdr:to>
      <xdr:col>1</xdr:col>
      <xdr:colOff>9371239</xdr:colOff>
      <xdr:row>13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3393621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9995866</xdr:colOff>
      <xdr:row>14</xdr:row>
      <xdr:rowOff>402890</xdr:rowOff>
    </xdr:from>
    <xdr:to>
      <xdr:col>1</xdr:col>
      <xdr:colOff>10491166</xdr:colOff>
      <xdr:row>16</xdr:row>
      <xdr:rowOff>145715</xdr:rowOff>
    </xdr:to>
    <xdr:pic>
      <xdr:nvPicPr>
        <xdr:cNvPr id="13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2518" y="4925194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7438019</xdr:colOff>
      <xdr:row>15</xdr:row>
      <xdr:rowOff>411172</xdr:rowOff>
    </xdr:from>
    <xdr:to>
      <xdr:col>1</xdr:col>
      <xdr:colOff>7933319</xdr:colOff>
      <xdr:row>17</xdr:row>
      <xdr:rowOff>153997</xdr:rowOff>
    </xdr:to>
    <xdr:pic>
      <xdr:nvPicPr>
        <xdr:cNvPr id="14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4671" y="5389020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11230566</xdr:colOff>
      <xdr:row>19</xdr:row>
      <xdr:rowOff>353548</xdr:rowOff>
    </xdr:from>
    <xdr:to>
      <xdr:col>1</xdr:col>
      <xdr:colOff>11725866</xdr:colOff>
      <xdr:row>21</xdr:row>
      <xdr:rowOff>96373</xdr:rowOff>
    </xdr:to>
    <xdr:pic>
      <xdr:nvPicPr>
        <xdr:cNvPr id="16" name="Imagen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7218" y="6888526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7580066</xdr:colOff>
      <xdr:row>20</xdr:row>
      <xdr:rowOff>394133</xdr:rowOff>
    </xdr:from>
    <xdr:to>
      <xdr:col>1</xdr:col>
      <xdr:colOff>8075366</xdr:colOff>
      <xdr:row>22</xdr:row>
      <xdr:rowOff>136958</xdr:rowOff>
    </xdr:to>
    <xdr:pic>
      <xdr:nvPicPr>
        <xdr:cNvPr id="17" name="Imagen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6718" y="7384655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21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 editAs="oneCell">
    <xdr:from>
      <xdr:col>1</xdr:col>
      <xdr:colOff>13606</xdr:colOff>
      <xdr:row>1</xdr:row>
      <xdr:rowOff>285750</xdr:rowOff>
    </xdr:from>
    <xdr:to>
      <xdr:col>1</xdr:col>
      <xdr:colOff>2365237</xdr:colOff>
      <xdr:row>5</xdr:row>
      <xdr:rowOff>43607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ED1CDCCD-0DED-DD82-8EF4-F1C221223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92" y="476250"/>
          <a:ext cx="2351631" cy="792000"/>
        </a:xfrm>
        <a:prstGeom prst="rect">
          <a:avLst/>
        </a:prstGeom>
      </xdr:spPr>
    </xdr:pic>
    <xdr:clientData/>
  </xdr:twoCellAnchor>
  <xdr:twoCellAnchor>
    <xdr:from>
      <xdr:col>1</xdr:col>
      <xdr:colOff>81642</xdr:colOff>
      <xdr:row>25</xdr:row>
      <xdr:rowOff>95250</xdr:rowOff>
    </xdr:from>
    <xdr:to>
      <xdr:col>1</xdr:col>
      <xdr:colOff>7688036</xdr:colOff>
      <xdr:row>29</xdr:row>
      <xdr:rowOff>141106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03D46C78-70B5-7F42-E6DE-9AE8104663AF}"/>
            </a:ext>
          </a:extLst>
        </xdr:cNvPr>
        <xdr:cNvGrpSpPr/>
      </xdr:nvGrpSpPr>
      <xdr:grpSpPr>
        <a:xfrm>
          <a:off x="625928" y="8939893"/>
          <a:ext cx="7606394" cy="807856"/>
          <a:chOff x="789214" y="8490858"/>
          <a:chExt cx="10296092" cy="109360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16A87A12-C3F7-5B98-C007-14B8A7EF24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9214" y="8490858"/>
            <a:ext cx="6632812" cy="1080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B6B42AC3-54C4-4350-6068-BB1C3A360E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78537" y="8504464"/>
            <a:ext cx="3206769" cy="1080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19050</xdr:rowOff>
    </xdr:from>
    <xdr:to>
      <xdr:col>7</xdr:col>
      <xdr:colOff>361950</xdr:colOff>
      <xdr:row>38</xdr:row>
      <xdr:rowOff>104776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981075</xdr:colOff>
      <xdr:row>1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14725" y="3143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 de 2022</a:t>
          </a:r>
        </a:p>
      </xdr:txBody>
    </xdr:sp>
    <xdr:clientData/>
  </xdr:oneCellAnchor>
  <xdr:twoCellAnchor editAs="oneCell">
    <xdr:from>
      <xdr:col>1</xdr:col>
      <xdr:colOff>0</xdr:colOff>
      <xdr:row>87</xdr:row>
      <xdr:rowOff>0</xdr:rowOff>
    </xdr:from>
    <xdr:to>
      <xdr:col>5</xdr:col>
      <xdr:colOff>440055</xdr:colOff>
      <xdr:row>108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85725</xdr:rowOff>
    </xdr:from>
    <xdr:to>
      <xdr:col>2</xdr:col>
      <xdr:colOff>770481</xdr:colOff>
      <xdr:row>5</xdr:row>
      <xdr:rowOff>115725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D41B18-6C4F-4FD7-B2F4-1E52BC0ED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76225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19050</xdr:rowOff>
    </xdr:from>
    <xdr:to>
      <xdr:col>9</xdr:col>
      <xdr:colOff>730306</xdr:colOff>
      <xdr:row>5</xdr:row>
      <xdr:rowOff>179908</xdr:rowOff>
    </xdr:to>
    <xdr:pic>
      <xdr:nvPicPr>
        <xdr:cNvPr id="3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4761DA-B471-4AA2-9FD3-D27D447F1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19050"/>
          <a:ext cx="863656" cy="9228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43325" y="504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0</xdr:col>
      <xdr:colOff>219071</xdr:colOff>
      <xdr:row>14</xdr:row>
      <xdr:rowOff>104775</xdr:rowOff>
    </xdr:from>
    <xdr:to>
      <xdr:col>11</xdr:col>
      <xdr:colOff>428625</xdr:colOff>
      <xdr:row>39</xdr:row>
      <xdr:rowOff>123824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219071" y="2771775"/>
          <a:ext cx="10620379" cy="4781549"/>
          <a:chOff x="495003" y="2343149"/>
          <a:chExt cx="10982328" cy="4953000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95003" y="23622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0</xdr:col>
      <xdr:colOff>485775</xdr:colOff>
      <xdr:row>2</xdr:row>
      <xdr:rowOff>0</xdr:rowOff>
    </xdr:from>
    <xdr:to>
      <xdr:col>1</xdr:col>
      <xdr:colOff>2038350</xdr:colOff>
      <xdr:row>6</xdr:row>
      <xdr:rowOff>17520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8B60D3-1C39-4D9D-B7A8-85E9C0F5D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2314575" cy="7795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114300</xdr:rowOff>
    </xdr:from>
    <xdr:to>
      <xdr:col>10</xdr:col>
      <xdr:colOff>101656</xdr:colOff>
      <xdr:row>6</xdr:row>
      <xdr:rowOff>84658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5221D2-A975-42C9-80DE-19132AF3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04800"/>
          <a:ext cx="863656" cy="922858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2747529</xdr:colOff>
      <xdr:row>2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41097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 de 2022</a:t>
          </a:r>
        </a:p>
      </xdr:txBody>
    </xdr:sp>
    <xdr:clientData/>
  </xdr:oneCellAnchor>
  <xdr:twoCellAnchor>
    <xdr:from>
      <xdr:col>1</xdr:col>
      <xdr:colOff>271318</xdr:colOff>
      <xdr:row>14</xdr:row>
      <xdr:rowOff>865</xdr:rowOff>
    </xdr:from>
    <xdr:to>
      <xdr:col>8</xdr:col>
      <xdr:colOff>467591</xdr:colOff>
      <xdr:row>39</xdr:row>
      <xdr:rowOff>147205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5FF625-6B9B-148C-FE1B-2E60EDFF7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235323</xdr:colOff>
      <xdr:row>2</xdr:row>
      <xdr:rowOff>44824</xdr:rowOff>
    </xdr:from>
    <xdr:to>
      <xdr:col>2</xdr:col>
      <xdr:colOff>2093894</xdr:colOff>
      <xdr:row>6</xdr:row>
      <xdr:rowOff>74824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B13299-F887-4C4E-992B-C7BE17078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" y="425824"/>
          <a:ext cx="2351630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</xdr:row>
      <xdr:rowOff>180975</xdr:rowOff>
    </xdr:from>
    <xdr:to>
      <xdr:col>9</xdr:col>
      <xdr:colOff>130231</xdr:colOff>
      <xdr:row>6</xdr:row>
      <xdr:rowOff>151333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76E25C-52E0-45EC-9CA6-ECFCD17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371475"/>
          <a:ext cx="863656" cy="9228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15</xdr:row>
      <xdr:rowOff>19053</xdr:rowOff>
    </xdr:from>
    <xdr:to>
      <xdr:col>6</xdr:col>
      <xdr:colOff>590549</xdr:colOff>
      <xdr:row>38</xdr:row>
      <xdr:rowOff>76201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1314450</xdr:colOff>
      <xdr:row>1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597</xdr:colOff>
      <xdr:row>12</xdr:row>
      <xdr:rowOff>0</xdr:rowOff>
    </xdr:from>
    <xdr:to>
      <xdr:col>2</xdr:col>
      <xdr:colOff>381000</xdr:colOff>
      <xdr:row>14</xdr:row>
      <xdr:rowOff>25079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72072" y="2428875"/>
          <a:ext cx="1580553" cy="453704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 rtlCol="0" anchor="ctr">
          <a:noAutofit/>
        </a:bodyPr>
        <a:lstStyle/>
        <a:p>
          <a:pPr algn="ctr"/>
          <a:r>
            <a:rPr lang="es-CO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838200</xdr:colOff>
      <xdr:row>1</xdr:row>
      <xdr:rowOff>0</xdr:rowOff>
    </xdr:from>
    <xdr:to>
      <xdr:col>2</xdr:col>
      <xdr:colOff>1104900</xdr:colOff>
      <xdr:row>5</xdr:row>
      <xdr:rowOff>14312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6F6453-6051-4EDB-B40C-0A25FB614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0"/>
          <a:ext cx="2305050" cy="776312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1</xdr:row>
      <xdr:rowOff>47625</xdr:rowOff>
    </xdr:from>
    <xdr:to>
      <xdr:col>8</xdr:col>
      <xdr:colOff>415981</xdr:colOff>
      <xdr:row>6</xdr:row>
      <xdr:rowOff>17983</xdr:rowOff>
    </xdr:to>
    <xdr:pic>
      <xdr:nvPicPr>
        <xdr:cNvPr id="5" name="Imagen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7B229B-30DD-4874-AC5F-F28FB502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de Gestión Corporativa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30 de noviembre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828674</xdr:colOff>
      <xdr:row>12</xdr:row>
      <xdr:rowOff>171449</xdr:rowOff>
    </xdr:from>
    <xdr:to>
      <xdr:col>9</xdr:col>
      <xdr:colOff>342900</xdr:colOff>
      <xdr:row>35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219075</xdr:colOff>
      <xdr:row>1</xdr:row>
      <xdr:rowOff>114300</xdr:rowOff>
    </xdr:from>
    <xdr:to>
      <xdr:col>2</xdr:col>
      <xdr:colOff>1141956</xdr:colOff>
      <xdr:row>5</xdr:row>
      <xdr:rowOff>144300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DEFB0-00D1-4D55-A2AF-FD74BF0E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1430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9</xdr:col>
      <xdr:colOff>704850</xdr:colOff>
      <xdr:row>1</xdr:row>
      <xdr:rowOff>47625</xdr:rowOff>
    </xdr:from>
    <xdr:to>
      <xdr:col>11</xdr:col>
      <xdr:colOff>44506</xdr:colOff>
      <xdr:row>6</xdr:row>
      <xdr:rowOff>17983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414384-B713-4022-90B5-0E72B9BB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123826</xdr:rowOff>
    </xdr:from>
    <xdr:ext cx="5448300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895600" y="123826"/>
          <a:ext cx="5448300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 Ejecución Reservas a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noviembre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>
    <xdr:from>
      <xdr:col>0</xdr:col>
      <xdr:colOff>749085</xdr:colOff>
      <xdr:row>39</xdr:row>
      <xdr:rowOff>170377</xdr:rowOff>
    </xdr:from>
    <xdr:to>
      <xdr:col>5</xdr:col>
      <xdr:colOff>753156</xdr:colOff>
      <xdr:row>59</xdr:row>
      <xdr:rowOff>33619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47143</xdr:colOff>
      <xdr:row>14</xdr:row>
      <xdr:rowOff>134118</xdr:rowOff>
    </xdr:from>
    <xdr:to>
      <xdr:col>7</xdr:col>
      <xdr:colOff>48106</xdr:colOff>
      <xdr:row>29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676275</xdr:colOff>
      <xdr:row>1</xdr:row>
      <xdr:rowOff>133351</xdr:rowOff>
    </xdr:from>
    <xdr:to>
      <xdr:col>2</xdr:col>
      <xdr:colOff>695325</xdr:colOff>
      <xdr:row>5</xdr:row>
      <xdr:rowOff>86713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B95627-07A7-4875-B69A-294A534D7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33351"/>
          <a:ext cx="2124075" cy="715362"/>
        </a:xfrm>
        <a:prstGeom prst="rect">
          <a:avLst/>
        </a:prstGeom>
      </xdr:spPr>
    </xdr:pic>
    <xdr:clientData/>
  </xdr:twoCellAnchor>
  <xdr:twoCellAnchor editAs="oneCell">
    <xdr:from>
      <xdr:col>10</xdr:col>
      <xdr:colOff>638175</xdr:colOff>
      <xdr:row>0</xdr:row>
      <xdr:rowOff>85725</xdr:rowOff>
    </xdr:from>
    <xdr:to>
      <xdr:col>11</xdr:col>
      <xdr:colOff>739831</xdr:colOff>
      <xdr:row>5</xdr:row>
      <xdr:rowOff>56083</xdr:rowOff>
    </xdr:to>
    <xdr:pic>
      <xdr:nvPicPr>
        <xdr:cNvPr id="2" name="Imagen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2EBFF6-0824-4279-B836-CFE815984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85725"/>
          <a:ext cx="863656" cy="92285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osquera" refreshedDate="44916.85271875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58.44049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osquera" refreshedDate="44916.852719328701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3">
        <s v="A-FUNCIONAMIENTO"/>
        <s v="C-INVERSIÓN"/>
        <s v="B-INVERSIÓN" u="1"/>
      </sharedItems>
    </cacheField>
    <cacheField name="CXP VIGENTES_x000a_" numFmtId="164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osquera" refreshedDate="44916.852719560186" createdVersion="8" refreshedVersion="8" minRefreshableVersion="3" recordCount="2" xr:uid="{0F170109-CAE8-4B8F-9CC6-F7219DA4E11A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4">
      <sharedItems containsSemiMixedTypes="0" containsString="0" containsNumber="1" minValue="2249.6486331999999" maxValue="52189.04717185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osquera" refreshedDate="44916.852719675924" createdVersion="8" refreshedVersion="8" minRefreshableVersion="3" recordCount="2" xr:uid="{8BD12082-4F75-4F13-AE0B-8E362F040216}">
  <cacheSource type="worksheet">
    <worksheetSource ref="B2:E4" sheet="Reservas Presupuestales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0">
      <sharedItems containsSemiMixedTypes="0" containsString="0" containsNumber="1" minValue="0" maxValue="1008.21884273"/>
    </cacheField>
    <cacheField name="TOTAL PAGOS_x000a_ACUMULADOS_x000a_(5)" numFmtId="4">
      <sharedItems containsSemiMixedTypes="0" containsString="0" containsNumber="1" minValue="2233.0090866599999" maxValue="43101.90857771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osquera" refreshedDate="44916.852720023147" createdVersion="8" refreshedVersion="8" minRefreshableVersion="3" recordCount="7" xr:uid="{2B7CC98C-48B3-4898-BA95-2E0A53BBE563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7">
      <sharedItems containsSemiMixedTypes="0" containsString="0" containsNumber="1" minValue="10006.772290000001" maxValue="4505182.0250120005"/>
    </cacheField>
    <cacheField name="CERTIFICADOS_x000a_ ACUMULADOS" numFmtId="167">
      <sharedItems containsSemiMixedTypes="0" containsString="0" containsNumber="1" minValue="2938.5454606399999" maxValue="4468533.6023113905"/>
    </cacheField>
    <cacheField name="COMPROMISOS_x000a_ ACUMULADOS" numFmtId="167">
      <sharedItems containsSemiMixedTypes="0" containsString="0" containsNumber="1" minValue="2874.9248986399998" maxValue="4439873.9795468505"/>
    </cacheField>
    <cacheField name="OBLIGACIONES_x000a_ ACUMULADAS" numFmtId="167">
      <sharedItems containsSemiMixedTypes="0" containsString="0" containsNumber="1" minValue="2828.3097756399998" maxValue="954990.752829"/>
    </cacheField>
    <cacheField name="PAGOS_x000a_A CUMULADOS" numFmtId="167">
      <sharedItems containsSemiMixedTypes="0" containsString="0" containsNumber="1" minValue="2828.3097756399998" maxValue="954990.7528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osquera" refreshedDate="44916.852720370371" createdVersion="8" refreshedVersion="8" minRefreshableVersion="3" recordCount="35" xr:uid="{FF60E632-5704-4ADA-B579-87A105235995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155653740" maxValue="326484319237"/>
    </cacheField>
    <cacheField name="COMPROMISOS_x000a_ ACUMULADOS" numFmtId="4">
      <sharedItems containsSemiMixedTypes="0" containsString="0" containsNumber="1" minValue="132454491.16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58.4404993999997"/>
  </r>
  <r>
    <x v="1"/>
    <n v="182.428674"/>
    <n v="0"/>
    <n v="182.4286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2189.0471718599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233.0090866599999"/>
  </r>
  <r>
    <x v="1"/>
    <n v="53197.266014589994"/>
    <n v="1008.21884273"/>
    <n v="43101.90857771999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89813.544051010002"/>
    <n v="78550.677418410007"/>
    <n v="76517.35834834"/>
    <n v="73525.237534330008"/>
  </r>
  <r>
    <s v="A-01"/>
    <x v="1"/>
    <n v="56308.670080000004"/>
    <n v="56308.670080000004"/>
    <n v="46540.152865190001"/>
    <n v="46540.152865190001"/>
    <n v="43609.40434719"/>
  </r>
  <r>
    <s v="A-02"/>
    <x v="2"/>
    <n v="19419.071"/>
    <n v="18411.832621369998"/>
    <n v="16984.168386580001"/>
    <n v="14997.46443951"/>
    <n v="14936.0921435"/>
  </r>
  <r>
    <s v="A-03"/>
    <x v="3"/>
    <n v="10006.772290000001"/>
    <n v="2938.5454606399999"/>
    <n v="2874.9248986399998"/>
    <n v="2828.3097756399998"/>
    <n v="2828.3097756399998"/>
  </r>
  <r>
    <s v="A-08"/>
    <x v="4"/>
    <n v="14051.472"/>
    <n v="12154.495889"/>
    <n v="12151.431268"/>
    <n v="12151.431268"/>
    <n v="12151.431268"/>
  </r>
  <r>
    <s v="B"/>
    <x v="5"/>
    <n v="1167604.3350470001"/>
    <n v="954990.752829"/>
    <n v="954990.752829"/>
    <n v="954990.752829"/>
    <n v="954990.752829"/>
  </r>
  <r>
    <s v="C"/>
    <x v="6"/>
    <n v="4505182.0250120005"/>
    <n v="4468533.6023113905"/>
    <n v="4439873.9795468505"/>
    <n v="398275.14684652997"/>
    <n v="391610.4400919899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2055504905.59"/>
    <n v="11790457365.940001"/>
    <n v="9665517901.7399998"/>
    <n v="9640791930.7399998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90331485743.869995"/>
    <n v="89310143702.959991"/>
    <n v="2013138244.46"/>
    <n v="2012502744.46"/>
  </r>
  <r>
    <s v="C-2403-0600-4"/>
    <x v="24"/>
    <n v="2257022926"/>
    <n v="2088533456.5"/>
    <n v="2076247291.0799999"/>
    <n v="1713578457.0799999"/>
    <n v="1712843895.0799999"/>
  </r>
  <r>
    <s v="C-2403-0600-5"/>
    <x v="25"/>
    <n v="3785000000"/>
    <n v="3231244898"/>
    <n v="3231214802.5599999"/>
    <n v="1343388459.1600001"/>
    <n v="1069922286"/>
  </r>
  <r>
    <s v="C-2404-0600-2"/>
    <x v="26"/>
    <n v="76235881312"/>
    <n v="74412328936.619995"/>
    <n v="73592948133.169998"/>
    <n v="46335676873.57"/>
    <n v="40126189316.190002"/>
  </r>
  <r>
    <s v="C-2404-0600-4"/>
    <x v="27"/>
    <n v="1124097372"/>
    <n v="924646888.25999999"/>
    <n v="900347933.64999998"/>
    <n v="750508058.64999998"/>
    <n v="750508058.64999998"/>
  </r>
  <r>
    <s v="C-2405-0600-2"/>
    <x v="28"/>
    <n v="1000000000"/>
    <n v="474772932"/>
    <n v="418755807.54000002"/>
    <n v="51476006.200000003"/>
    <n v="51476006.200000003"/>
  </r>
  <r>
    <s v="C-2405-0600-4"/>
    <x v="29"/>
    <n v="3056837754"/>
    <n v="2874283123.6500001"/>
    <n v="2824607868.0900002"/>
    <n v="2300648749.29"/>
    <n v="2300302228.29"/>
  </r>
  <r>
    <s v="C-2406-0600-1"/>
    <x v="30"/>
    <n v="907945356"/>
    <n v="155653740"/>
    <n v="150309905.47999999"/>
    <n v="114599521.48"/>
    <n v="114599521.48"/>
  </r>
  <r>
    <s v="C-2499-0600-7"/>
    <x v="31"/>
    <n v="200000000"/>
    <n v="163072930"/>
    <n v="132454491.16"/>
    <n v="66352206.159999996"/>
    <n v="66352206.159999996"/>
  </r>
  <r>
    <s v="C-2499-0600-8"/>
    <x v="32"/>
    <n v="58800000000"/>
    <n v="42835090393.110001"/>
    <n v="16471489250.85"/>
    <n v="12512139241.370001"/>
    <n v="12356828771.370001"/>
  </r>
  <r>
    <s v="C-2499-0600-9"/>
    <x v="33"/>
    <n v="5000000000"/>
    <n v="3863335633.79"/>
    <n v="3861153116.2600002"/>
    <n v="3351499812.2600002"/>
    <n v="3351499812.2600002"/>
  </r>
  <r>
    <s v="C-2499-0600-10"/>
    <x v="34"/>
    <n v="1000000000"/>
    <n v="962505030"/>
    <n v="952706178.11000001"/>
    <n v="791520106.11000001"/>
    <n v="791520106.11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E20169-9DC7-4B8C-BE1F-F5C2EE1088F5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8:C12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7"/>
  </dataFields>
  <formats count="1">
    <format dxfId="75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B35:D36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0"/>
    <dataField name="CANCELACION CXP" fld="2" baseField="0" baseItem="0"/>
    <dataField name="TOTAL PAGOS" fld="3" baseField="0" baseItem="0"/>
  </dataFields>
  <formats count="1">
    <format dxfId="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FACF45-01EF-4A7B-9556-0216516B697E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2">
  <location ref="B8:F12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74">
      <pivotArea outline="0" fieldPosition="0">
        <references count="1">
          <reference field="4294967294" count="1">
            <x v="0"/>
          </reference>
        </references>
      </pivotArea>
    </format>
    <format dxfId="73">
      <pivotArea outline="0" fieldPosition="0">
        <references count="1">
          <reference field="4294967294" count="1">
            <x v="2"/>
          </reference>
        </references>
      </pivotArea>
    </format>
    <format dxfId="72">
      <pivotArea outline="0" fieldPosition="0">
        <references count="1">
          <reference field="4294967294" count="1">
            <x v="3"/>
          </reference>
        </references>
      </pivotArea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>
            <x v="2"/>
          </reference>
        </references>
      </pivotArea>
    </format>
    <format dxfId="69">
      <pivotArea outline="0" fieldPosition="0">
        <references count="1">
          <reference field="4294967294" count="1">
            <x v="3"/>
          </reference>
        </references>
      </pivotArea>
    </format>
    <format dxfId="68">
      <pivotArea outline="0" fieldPosition="0">
        <references count="1">
          <reference field="4294967294" count="1">
            <x v="0"/>
          </reference>
        </references>
      </pivotArea>
    </format>
    <format dxfId="67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6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4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63">
      <pivotArea outline="0" fieldPosition="0">
        <references count="1">
          <reference field="4294967294" count="1">
            <x v="1"/>
          </reference>
        </references>
      </pivotArea>
    </format>
    <format dxfId="6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1">
      <pivotArea outline="0" collapsedLevelsAreSubtotals="1" fieldPosition="0"/>
    </format>
  </formats>
  <chartFormats count="13">
    <chartFormat chart="29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53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54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55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29" format="5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5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5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59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6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61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62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63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D6BF6E-1F84-4C6B-9092-E0E67D63A5FE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C8:G13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60">
      <pivotArea dataOnly="0" labelOnly="1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3">
      <pivotArea outline="0" collapsedLevelsAreSubtotals="1" fieldPosition="0"/>
    </format>
  </formats>
  <chartFormats count="45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4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4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4" format="6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4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4" format="8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4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4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4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4" format="13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4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4" format="15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4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4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4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5724DA-BEE0-49BD-A824-A505A20D60E6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9:E10" firstHeaderRow="0" firstDataRow="1" firstDataCol="0" rowPageCount="1" colPageCount="1"/>
  <pivotFields count="7">
    <pivotField showAll="0"/>
    <pivotField axis="axisPage" subtotalTop="0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APROPIACION VIG." fld="2" baseField="0" baseItem="1" numFmtId="168"/>
    <dataField name="COMPRO. ACUMU." fld="4" baseField="0" baseItem="1" numFmtId="168"/>
    <dataField name="OBLIGACION. ACUMU." fld="5" baseField="0" baseItem="2" numFmtId="168"/>
    <dataField name="PAGOS ACUMU." fld="6" baseField="0" baseItem="3" numFmtId="168"/>
  </dataFields>
  <formats count="12">
    <format dxfId="52">
      <pivotArea collapsedLevelsAreSubtotals="1" fieldPosition="0">
        <references count="1">
          <reference field="1" count="0"/>
        </references>
      </pivotArea>
    </format>
    <format dxfId="51">
      <pivotArea grandRow="1" outline="0" collapsedLevelsAreSubtotals="1" fieldPosition="0"/>
    </format>
    <format dxfId="50">
      <pivotArea collapsedLevelsAreSubtotals="1" fieldPosition="0">
        <references count="1">
          <reference field="1" count="0"/>
        </references>
      </pivotArea>
    </format>
    <format dxfId="4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7">
      <pivotArea dataOnly="0" outline="0" fieldPosition="0">
        <references count="1">
          <reference field="1" count="0"/>
        </references>
      </pivotArea>
    </format>
    <format dxfId="46">
      <pivotArea field="1" type="button" dataOnly="0" labelOnly="1" outline="0" axis="axisPage" fieldPosition="0"/>
    </format>
    <format dxfId="45">
      <pivotArea outline="0" collapsedLevelsAreSubtotals="1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3">
      <pivotArea outline="0" fieldPosition="0">
        <references count="1">
          <reference field="4294967294" count="1">
            <x v="1"/>
          </reference>
        </references>
      </pivotArea>
    </format>
    <format dxfId="42">
      <pivotArea outline="0" fieldPosition="0">
        <references count="1">
          <reference field="4294967294" count="1">
            <x v="2"/>
          </reference>
        </references>
      </pivotArea>
    </format>
    <format dxfId="41">
      <pivotArea outline="0" fieldPosition="0">
        <references count="1">
          <reference field="4294967294" count="1">
            <x v="3"/>
          </reference>
        </references>
      </pivotArea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1013B3-C16A-4B26-8981-677D0E618EA7}" name="TablaDinámica4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 rowHeaderCaption="CONCEPTO">
  <location ref="B9:C12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numFmtId="4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/>
  </dataFields>
  <formats count="8">
    <format dxfId="40">
      <pivotArea collapsedLevelsAreSubtotals="1" fieldPosition="0">
        <references count="1">
          <reference field="0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fieldPosition="0">
        <references count="1">
          <reference field="0" count="0"/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</format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20D685-9FCE-4A4D-A2CC-6A88A4D35249}" name="TablaDinámica2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9:E12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4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2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24AD65-6D9E-4085-91E4-A4628223E580}" name="TablaDinámica5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7:D38" firstHeaderRow="0" firstDataRow="1" firstDataCol="0"/>
  <pivotFields count="4">
    <pivotField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4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/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field="0" type="button" dataOnly="0" labelOnly="1" outline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field="0" type="button" dataOnly="0" labelOnly="1" outline="0"/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field="0" type="button" dataOnly="0" labelOnly="1" outline="0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 rowHeaderCaption="CONCEPTO">
  <location ref="B9:C12" firstHeaderRow="1" firstDataRow="1" firstDataCol="1"/>
  <pivotFields count="2">
    <pivotField axis="axisRow" showAll="0">
      <items count="4">
        <item x="0"/>
        <item m="1" x="2"/>
        <item x="1"/>
        <item t="default"/>
      </items>
    </pivotField>
    <pivotField dataField="1" numFmtId="164" showAll="0"/>
  </pivotFields>
  <rowFields count="1">
    <field x="0"/>
  </rowFields>
  <rowItems count="3">
    <i>
      <x/>
    </i>
    <i>
      <x v="2"/>
    </i>
    <i t="grand">
      <x/>
    </i>
  </rowItems>
  <colItems count="1">
    <i/>
  </colItems>
  <dataFields count="1">
    <dataField name="Suma de CXP VIGENTES" fld="1" baseField="0" baseItem="2" numFmtId="4"/>
  </dataFields>
  <formats count="2">
    <format dxfId="4">
      <pivotArea outline="0" collapsedLevelsAreSubtotals="1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8" rowHeaderCaption="CONCEPTO">
  <location ref="B9:E12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0" numFmtId="4"/>
    <dataField name="CANCELACION CXP" fld="2" baseField="0" baseItem="1"/>
    <dataField name="TOTAL PAGOS" fld="3" baseField="0" baseItem="1" numFmtId="43"/>
  </dataFields>
  <formats count="2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2:B23"/>
  <sheetViews>
    <sheetView showGridLines="0" showRowColHeaders="0" tabSelected="1" zoomScale="70" zoomScaleNormal="70" workbookViewId="0"/>
  </sheetViews>
  <sheetFormatPr baseColWidth="10" defaultRowHeight="15" x14ac:dyDescent="0.25"/>
  <cols>
    <col min="1" max="1" width="8.140625" customWidth="1"/>
    <col min="2" max="2" width="177.5703125" customWidth="1"/>
  </cols>
  <sheetData>
    <row r="2" spans="1:2" ht="36" x14ac:dyDescent="0.55000000000000004">
      <c r="A2" s="67" t="s">
        <v>133</v>
      </c>
    </row>
    <row r="9" spans="1:2" ht="36" x14ac:dyDescent="0.55000000000000004">
      <c r="B9" s="44" t="s">
        <v>147</v>
      </c>
    </row>
    <row r="10" spans="1:2" ht="36" x14ac:dyDescent="0.55000000000000004">
      <c r="B10" s="104" t="s">
        <v>148</v>
      </c>
    </row>
    <row r="11" spans="1:2" ht="36" x14ac:dyDescent="0.55000000000000004">
      <c r="B11" s="104" t="s">
        <v>157</v>
      </c>
    </row>
    <row r="12" spans="1:2" ht="36" x14ac:dyDescent="0.55000000000000004">
      <c r="B12" s="104" t="s">
        <v>149</v>
      </c>
    </row>
    <row r="13" spans="1:2" ht="36" x14ac:dyDescent="0.55000000000000004">
      <c r="B13" s="104" t="s">
        <v>150</v>
      </c>
    </row>
    <row r="14" spans="1:2" ht="36" x14ac:dyDescent="0.55000000000000004">
      <c r="B14" s="43"/>
    </row>
    <row r="15" spans="1:2" ht="36" x14ac:dyDescent="0.55000000000000004">
      <c r="B15" s="44" t="s">
        <v>151</v>
      </c>
    </row>
    <row r="16" spans="1:2" ht="36" x14ac:dyDescent="0.55000000000000004">
      <c r="B16" s="104" t="s">
        <v>152</v>
      </c>
    </row>
    <row r="17" spans="2:2" ht="36" x14ac:dyDescent="0.55000000000000004">
      <c r="B17" s="104" t="s">
        <v>153</v>
      </c>
    </row>
    <row r="18" spans="2:2" ht="36" x14ac:dyDescent="0.55000000000000004">
      <c r="B18" s="12"/>
    </row>
    <row r="20" spans="2:2" ht="36" x14ac:dyDescent="0.55000000000000004">
      <c r="B20" s="44" t="s">
        <v>154</v>
      </c>
    </row>
    <row r="21" spans="2:2" ht="36" x14ac:dyDescent="0.55000000000000004">
      <c r="B21" s="104" t="s">
        <v>155</v>
      </c>
    </row>
    <row r="22" spans="2:2" ht="36" x14ac:dyDescent="0.55000000000000004">
      <c r="B22" s="104" t="s">
        <v>156</v>
      </c>
    </row>
    <row r="23" spans="2:2" ht="36" x14ac:dyDescent="0.55000000000000004">
      <c r="B23" s="66"/>
    </row>
  </sheetData>
  <hyperlinks>
    <hyperlink ref="B10" location="'Participación Apropiación '!A1" display="1.1 Porcentaje Participación de la Apropiación  por Concepto de Gasto" xr:uid="{90671573-293B-4C2E-9727-B2E2C79011AE}"/>
    <hyperlink ref="B11" location="'APR VS RP  Y OBLIGACIÓN Y PAGO'!A1" display="1.2 Ejecución  Presupuestal Acumulada al  31/10/2022" xr:uid="{792E56B1-2AA7-433B-8F20-44485E202391}"/>
    <hyperlink ref="B12" location="'APR,RP´S,OBL Y PAGO FUNCIONAMIE'!A1" display="1.3 Comparativo Ejecución  Presupuestal del  Presupuesto de Funcionamiento " xr:uid="{0DAF3131-976A-45AE-A2CE-9AE5A295CD7C}"/>
    <hyperlink ref="B13" location="'INVERSIÓN APR VS RP Y OBLI'!A1" display="1.4 Detalle Ejecución Presupuestal por Proyecto de Inversión " xr:uid="{B3F2924F-A499-4476-B127-B48D053A30CE}"/>
    <hyperlink ref="B16" location="'Participación por Concepto RES'!A1" display="2.1 Porcentaje Participación de la Reserva por Concepto de Gasto" xr:uid="{872381CA-8BBF-4440-A77B-AC8C84DF181E}"/>
    <hyperlink ref="B17" location="'EJECUCIÓN  RESERVA'!A1" display="2.2 Ejecución Reserva Presupuestal Constituida" xr:uid="{A159319A-320F-4E96-9307-6ECCB3E02732}"/>
    <hyperlink ref="B21" location="'PART. CUENTA X PAGAR CONCEPTO '!A1" display="3.1 Porcentaje Participación de la Cuenta por Pagar por Concepto de Gasto" xr:uid="{705886AC-8479-4617-BCCB-CF095BDD8D6D}"/>
    <hyperlink ref="B22" location="'EJECUCIÓN CUENTA POR PAGAR '!A1" display="3.2 Ejecución de la Cuenta por Pagar Constituida" xr:uid="{E2EA80AA-38C7-4505-AB5D-5D8C769C9C8F}"/>
  </hyperlinks>
  <pageMargins left="0.7" right="0.7" top="0.75" bottom="0.75" header="0.3" footer="0.3"/>
  <pageSetup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9:N66"/>
  <sheetViews>
    <sheetView showGridLines="0" showRowColHeaders="0" zoomScaleNormal="100" workbookViewId="0"/>
  </sheetViews>
  <sheetFormatPr baseColWidth="10" defaultRowHeight="15" x14ac:dyDescent="0.25"/>
  <cols>
    <col min="1" max="1" width="5" customWidth="1"/>
    <col min="2" max="2" width="21.42578125" bestFit="1" customWidth="1"/>
    <col min="3" max="3" width="10.5703125" bestFit="1" customWidth="1"/>
    <col min="4" max="4" width="10.42578125" bestFit="1" customWidth="1"/>
    <col min="5" max="5" width="10.7109375" bestFit="1" customWidth="1"/>
    <col min="6" max="6" width="11.5703125" bestFit="1" customWidth="1"/>
  </cols>
  <sheetData>
    <row r="9" spans="2:10" ht="67.5" x14ac:dyDescent="0.25">
      <c r="B9" s="99" t="s">
        <v>88</v>
      </c>
      <c r="C9" s="103" t="s">
        <v>87</v>
      </c>
      <c r="D9" s="103" t="s">
        <v>89</v>
      </c>
      <c r="E9" s="103" t="s">
        <v>90</v>
      </c>
      <c r="F9" s="19"/>
    </row>
    <row r="10" spans="2:10" x14ac:dyDescent="0.25">
      <c r="B10" s="41" t="s">
        <v>24</v>
      </c>
      <c r="C10" s="40">
        <v>2249.6486331999999</v>
      </c>
      <c r="D10" s="40">
        <v>0</v>
      </c>
      <c r="E10" s="40">
        <v>2233.0090866599999</v>
      </c>
      <c r="F10" s="92">
        <f>GETPIVOTDATA("PAGOS
ACUMULADOS
",$B$9,"DENOMINACIÓN DEL CÓDIGO PRESUPUESTAL
","A-FUNCIONAMIENTO")/GETPIVOTDATA("RESERVAS CONSTITUIDAS
",$B$9,"DENOMINACIÓN DEL CÓDIGO PRESUPUESTAL
","A-FUNCIONAMIENTO")</f>
        <v>0.99260349092101052</v>
      </c>
    </row>
    <row r="11" spans="2:10" x14ac:dyDescent="0.25">
      <c r="B11" s="41" t="s">
        <v>119</v>
      </c>
      <c r="C11" s="40">
        <v>53197.266014589994</v>
      </c>
      <c r="D11" s="40">
        <v>1008.21884273</v>
      </c>
      <c r="E11" s="40">
        <v>43101.908577719994</v>
      </c>
      <c r="F11" s="92">
        <f>GETPIVOTDATA("PAGOS
ACUMULADOS
",$B$9,"DENOMINACIÓN DEL CÓDIGO PRESUPUESTAL
","C-INVERSIÓN")/GETPIVOTDATA("RESERVAS CONSTITUIDAS
",$B$9,"DENOMINACIÓN DEL CÓDIGO PRESUPUESTAL
","C-INVERSIÓN")</f>
        <v>0.81022788964189951</v>
      </c>
    </row>
    <row r="12" spans="2:10" x14ac:dyDescent="0.25">
      <c r="B12" s="41" t="s">
        <v>6</v>
      </c>
      <c r="C12" s="40">
        <v>55446.914647789992</v>
      </c>
      <c r="D12" s="40">
        <v>1008.21884273</v>
      </c>
      <c r="E12" s="40">
        <v>45334.917664379995</v>
      </c>
      <c r="F12" s="102" t="s">
        <v>94</v>
      </c>
    </row>
    <row r="13" spans="2:10" x14ac:dyDescent="0.25">
      <c r="B13" s="41"/>
      <c r="C13" s="40"/>
      <c r="D13" s="40"/>
      <c r="E13" s="92">
        <f>GETPIVOTDATA("PAGOS
ACUMULADOS
",$B$9)/GETPIVOTDATA("RESERVAS CONSTITUIDAS
",$B$9)</f>
        <v>0.81762741808731021</v>
      </c>
    </row>
    <row r="14" spans="2:10" ht="18.75" x14ac:dyDescent="0.3">
      <c r="B14" s="107" t="s">
        <v>93</v>
      </c>
      <c r="C14" s="107"/>
      <c r="D14" s="107"/>
      <c r="E14" s="107"/>
      <c r="F14" s="107"/>
      <c r="G14" s="107"/>
    </row>
    <row r="15" spans="2:10" x14ac:dyDescent="0.25">
      <c r="H15" s="5"/>
      <c r="J15" s="5"/>
    </row>
    <row r="17" spans="1:14" x14ac:dyDescent="0.25">
      <c r="E17" s="16"/>
      <c r="F17" s="16"/>
    </row>
    <row r="18" spans="1:14" x14ac:dyDescent="0.25">
      <c r="E18" s="16"/>
      <c r="F18" s="16"/>
    </row>
    <row r="19" spans="1:14" x14ac:dyDescent="0.25">
      <c r="B19" s="47"/>
      <c r="C19" s="47"/>
      <c r="D19" s="47"/>
      <c r="E19" s="47"/>
      <c r="F19" s="47"/>
    </row>
    <row r="20" spans="1:14" x14ac:dyDescent="0.25">
      <c r="B20" s="47"/>
      <c r="C20" s="47"/>
      <c r="D20" s="47"/>
      <c r="E20" s="47"/>
      <c r="F20" s="47"/>
    </row>
    <row r="21" spans="1:14" x14ac:dyDescent="0.25">
      <c r="A21" s="16"/>
      <c r="B21" s="47"/>
      <c r="C21" s="47"/>
      <c r="D21" s="47"/>
      <c r="E21" s="47"/>
      <c r="F21" s="47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6"/>
      <c r="B22" s="47"/>
      <c r="C22" s="47"/>
      <c r="D22" s="47"/>
      <c r="E22" s="47"/>
      <c r="F22" s="47"/>
      <c r="G22" s="16"/>
      <c r="H22" s="16"/>
      <c r="I22" s="75"/>
      <c r="J22" s="16"/>
      <c r="K22" s="16"/>
      <c r="L22" s="16"/>
      <c r="M22" s="16"/>
      <c r="N22" s="16"/>
    </row>
    <row r="23" spans="1:14" x14ac:dyDescent="0.25">
      <c r="A23" s="16"/>
      <c r="B23" s="47"/>
      <c r="C23" s="47"/>
      <c r="D23" s="47"/>
      <c r="E23" s="47"/>
      <c r="F23" s="47"/>
      <c r="G23" s="16"/>
      <c r="H23" s="16"/>
      <c r="I23" s="69"/>
      <c r="J23" s="16"/>
      <c r="K23" s="16"/>
      <c r="L23" s="16"/>
      <c r="M23" s="16"/>
      <c r="N23" s="16"/>
    </row>
    <row r="24" spans="1:14" x14ac:dyDescent="0.25">
      <c r="A24" s="16"/>
      <c r="B24" s="47"/>
      <c r="C24" s="47"/>
      <c r="D24" s="47"/>
      <c r="E24" s="47"/>
      <c r="F24" s="47"/>
      <c r="G24" s="16"/>
      <c r="H24" s="16"/>
      <c r="I24" s="70"/>
      <c r="J24" s="75"/>
      <c r="K24" s="16"/>
      <c r="L24" s="16"/>
      <c r="M24" s="16"/>
      <c r="N24" s="16"/>
    </row>
    <row r="25" spans="1:14" x14ac:dyDescent="0.25">
      <c r="A25" s="16"/>
      <c r="B25" s="47"/>
      <c r="C25" s="47"/>
      <c r="D25" s="47"/>
      <c r="E25" s="47"/>
      <c r="F25" s="47"/>
      <c r="G25" s="16"/>
      <c r="H25" s="16"/>
      <c r="I25" s="16"/>
      <c r="J25" s="70"/>
      <c r="K25" s="16"/>
      <c r="L25" s="16"/>
      <c r="M25" s="16"/>
      <c r="N25" s="16"/>
    </row>
    <row r="26" spans="1:14" x14ac:dyDescent="0.25">
      <c r="A26" s="16"/>
      <c r="B26" s="47"/>
      <c r="C26" s="47"/>
      <c r="D26" s="47"/>
      <c r="E26" s="47"/>
      <c r="F26" s="47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6"/>
      <c r="B27" s="47"/>
      <c r="C27" s="47"/>
      <c r="D27" s="47"/>
      <c r="E27" s="47"/>
      <c r="F27" s="47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6"/>
      <c r="B28" s="47"/>
      <c r="C28" s="47"/>
      <c r="D28" s="47"/>
      <c r="E28" s="47"/>
      <c r="F28" s="47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6"/>
      <c r="B29" s="47"/>
      <c r="C29" s="47"/>
      <c r="D29" s="47"/>
      <c r="E29" s="47"/>
      <c r="F29" s="47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75"/>
      <c r="K30" s="16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75"/>
      <c r="K31" s="16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75"/>
      <c r="K32" s="16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75"/>
      <c r="K33" s="16"/>
      <c r="L33" s="16"/>
      <c r="M33" s="16"/>
      <c r="N33" s="16"/>
    </row>
    <row r="34" spans="1:14" ht="18.75" x14ac:dyDescent="0.3">
      <c r="A34" s="16"/>
      <c r="B34" s="106" t="s">
        <v>92</v>
      </c>
      <c r="C34" s="106"/>
      <c r="D34" s="106"/>
      <c r="E34" s="106"/>
      <c r="F34" s="10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68.25" x14ac:dyDescent="0.25">
      <c r="A37" s="16"/>
      <c r="B37" s="100" t="s">
        <v>87</v>
      </c>
      <c r="C37" s="100" t="s">
        <v>89</v>
      </c>
      <c r="D37" s="100" t="s">
        <v>90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/>
      <c r="B38" s="40">
        <v>55446.914647789992</v>
      </c>
      <c r="C38" s="40">
        <v>1008.21884273</v>
      </c>
      <c r="D38" s="40">
        <v>45334.917664379995</v>
      </c>
      <c r="E38" s="45" t="s">
        <v>94</v>
      </c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6"/>
      <c r="F43" s="16"/>
      <c r="G43" s="16"/>
      <c r="H43" s="16"/>
      <c r="I43" s="75"/>
      <c r="J43" s="16"/>
      <c r="K43" s="16"/>
      <c r="L43" s="16"/>
      <c r="M43" s="16"/>
      <c r="N43" s="16"/>
    </row>
    <row r="44" spans="1:14" x14ac:dyDescent="0.25">
      <c r="A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6"/>
      <c r="F46" s="16"/>
      <c r="G46" s="16"/>
      <c r="H46" s="16"/>
      <c r="I46" s="16"/>
      <c r="J46" s="75"/>
      <c r="K46" s="16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10"/>
      <c r="K48" s="10"/>
    </row>
    <row r="49" spans="1:1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10"/>
      <c r="K49" s="10"/>
    </row>
    <row r="50" spans="1:1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10"/>
      <c r="K50" s="10"/>
    </row>
    <row r="51" spans="1:1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10"/>
      <c r="K51" s="10"/>
    </row>
    <row r="52" spans="1:1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10"/>
      <c r="K52" s="10"/>
    </row>
    <row r="53" spans="1:1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</row>
    <row r="57" spans="1:11" x14ac:dyDescent="0.25">
      <c r="A57" s="26"/>
      <c r="B57" s="26"/>
      <c r="C57" s="26"/>
      <c r="D57" s="26"/>
      <c r="E57" s="26"/>
      <c r="F57" s="26"/>
      <c r="G57" s="26"/>
      <c r="H57" s="26"/>
      <c r="I57" s="26"/>
    </row>
    <row r="58" spans="1:11" x14ac:dyDescent="0.25">
      <c r="A58" s="26"/>
      <c r="B58" s="26"/>
      <c r="C58" s="26"/>
      <c r="D58" s="26"/>
      <c r="E58" s="26"/>
      <c r="F58" s="26"/>
      <c r="G58" s="26"/>
      <c r="H58" s="26"/>
      <c r="I58" s="26"/>
    </row>
    <row r="59" spans="1:1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0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10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</row>
    <row r="63" spans="1:11" x14ac:dyDescent="0.25">
      <c r="A63" s="26"/>
      <c r="G63" s="26"/>
      <c r="H63" s="26"/>
      <c r="I63" s="26"/>
    </row>
    <row r="64" spans="1:11" x14ac:dyDescent="0.25">
      <c r="A64" s="26"/>
      <c r="G64" s="26"/>
      <c r="H64" s="26"/>
      <c r="I64" s="26"/>
    </row>
    <row r="65" spans="1:9" x14ac:dyDescent="0.25">
      <c r="A65" s="26"/>
      <c r="G65" s="26"/>
      <c r="H65" s="26"/>
      <c r="I65" s="26"/>
    </row>
    <row r="66" spans="1:9" x14ac:dyDescent="0.25">
      <c r="A66" s="26"/>
      <c r="G66" s="26"/>
      <c r="H66" s="26"/>
      <c r="I66" s="26"/>
    </row>
  </sheetData>
  <mergeCells count="2">
    <mergeCell ref="B34:F34"/>
    <mergeCell ref="B14:G14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2:G11"/>
  <sheetViews>
    <sheetView workbookViewId="0">
      <selection activeCell="C9" sqref="C9"/>
    </sheetView>
  </sheetViews>
  <sheetFormatPr baseColWidth="10" defaultRowHeight="15" x14ac:dyDescent="0.25"/>
  <cols>
    <col min="2" max="2" width="24.140625" bestFit="1" customWidth="1"/>
    <col min="3" max="3" width="20" bestFit="1" customWidth="1"/>
    <col min="4" max="4" width="21.42578125" bestFit="1" customWidth="1"/>
    <col min="5" max="5" width="15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2" spans="2:7" ht="38.25" x14ac:dyDescent="0.25">
      <c r="B2" s="93" t="s">
        <v>82</v>
      </c>
      <c r="C2" s="94" t="s">
        <v>131</v>
      </c>
      <c r="D2" s="95" t="s">
        <v>132</v>
      </c>
      <c r="E2" s="94" t="s">
        <v>85</v>
      </c>
    </row>
    <row r="3" spans="2:7" x14ac:dyDescent="0.25">
      <c r="B3" s="96" t="s">
        <v>24</v>
      </c>
      <c r="C3" s="97">
        <f>7893784910.4/1000000</f>
        <v>7893.7849103999997</v>
      </c>
      <c r="D3" s="98">
        <v>0</v>
      </c>
      <c r="E3" s="98">
        <f>6858440499.4/1000000</f>
        <v>6858.4404993999997</v>
      </c>
      <c r="F3" s="49"/>
      <c r="G3" s="40"/>
    </row>
    <row r="4" spans="2:7" x14ac:dyDescent="0.25">
      <c r="B4" s="96" t="s">
        <v>119</v>
      </c>
      <c r="C4" s="97">
        <f>182428674/1000000</f>
        <v>182.428674</v>
      </c>
      <c r="D4" s="98">
        <v>0</v>
      </c>
      <c r="E4" s="98">
        <f>182428674/1000000</f>
        <v>182.428674</v>
      </c>
      <c r="F4" s="48"/>
      <c r="G4" s="49"/>
    </row>
    <row r="6" spans="2:7" x14ac:dyDescent="0.25">
      <c r="C6" s="39"/>
      <c r="D6" s="39"/>
      <c r="E6" s="39"/>
    </row>
    <row r="7" spans="2:7" x14ac:dyDescent="0.25">
      <c r="E7" s="27"/>
    </row>
    <row r="8" spans="2:7" ht="38.25" x14ac:dyDescent="0.25">
      <c r="B8" s="93" t="s">
        <v>82</v>
      </c>
      <c r="C8" s="94" t="s">
        <v>138</v>
      </c>
    </row>
    <row r="9" spans="2:7" x14ac:dyDescent="0.25">
      <c r="B9" s="96" t="s">
        <v>24</v>
      </c>
      <c r="C9" s="97">
        <f>C3-D3</f>
        <v>7893.7849103999997</v>
      </c>
    </row>
    <row r="10" spans="2:7" x14ac:dyDescent="0.25">
      <c r="B10" s="96" t="s">
        <v>119</v>
      </c>
      <c r="C10" s="97">
        <f>C4-D4</f>
        <v>182.428674</v>
      </c>
    </row>
    <row r="11" spans="2:7" x14ac:dyDescent="0.25">
      <c r="C11" s="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8:F13"/>
  <sheetViews>
    <sheetView showGridLines="0" zoomScaleNormal="100" workbookViewId="0"/>
  </sheetViews>
  <sheetFormatPr baseColWidth="10" defaultRowHeight="15" x14ac:dyDescent="0.25"/>
  <cols>
    <col min="1" max="1" width="4.7109375" customWidth="1"/>
    <col min="2" max="2" width="19.85546875" bestFit="1" customWidth="1"/>
    <col min="3" max="3" width="21.85546875" bestFit="1" customWidth="1"/>
    <col min="4" max="4" width="11" bestFit="1" customWidth="1"/>
    <col min="5" max="5" width="12.5703125" bestFit="1" customWidth="1"/>
  </cols>
  <sheetData>
    <row r="8" spans="2:6" x14ac:dyDescent="0.25">
      <c r="B8" s="2"/>
      <c r="C8" s="19"/>
    </row>
    <row r="9" spans="2:6" x14ac:dyDescent="0.25">
      <c r="B9" s="4" t="s">
        <v>88</v>
      </c>
      <c r="C9" t="s">
        <v>139</v>
      </c>
    </row>
    <row r="10" spans="2:6" x14ac:dyDescent="0.25">
      <c r="B10" s="2" t="s">
        <v>24</v>
      </c>
      <c r="C10" s="46">
        <v>7893.7849103999997</v>
      </c>
    </row>
    <row r="11" spans="2:6" x14ac:dyDescent="0.25">
      <c r="B11" s="2" t="s">
        <v>119</v>
      </c>
      <c r="C11" s="46">
        <v>182.428674</v>
      </c>
    </row>
    <row r="12" spans="2:6" x14ac:dyDescent="0.25">
      <c r="B12" s="2" t="s">
        <v>6</v>
      </c>
      <c r="C12" s="46">
        <v>8076.2135843999995</v>
      </c>
      <c r="D12" s="45" t="s">
        <v>94</v>
      </c>
    </row>
    <row r="13" spans="2:6" x14ac:dyDescent="0.25">
      <c r="C13" s="40"/>
      <c r="F13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9:N75"/>
  <sheetViews>
    <sheetView showGridLines="0" showRowColHeaders="0" zoomScaleNormal="100" workbookViewId="0"/>
  </sheetViews>
  <sheetFormatPr baseColWidth="10" defaultRowHeight="15" x14ac:dyDescent="0.25"/>
  <cols>
    <col min="2" max="2" width="18.140625" bestFit="1" customWidth="1"/>
    <col min="3" max="3" width="17.7109375" bestFit="1" customWidth="1"/>
    <col min="4" max="5" width="13.28515625" bestFit="1" customWidth="1"/>
    <col min="6" max="6" width="11.5703125" bestFit="1" customWidth="1"/>
    <col min="10" max="10" width="18.140625" bestFit="1" customWidth="1"/>
    <col min="11" max="11" width="17.7109375" bestFit="1" customWidth="1"/>
    <col min="12" max="13" width="24.85546875" bestFit="1" customWidth="1"/>
  </cols>
  <sheetData>
    <row r="9" spans="2:8" x14ac:dyDescent="0.25">
      <c r="B9" s="4" t="s">
        <v>88</v>
      </c>
      <c r="C9" t="s">
        <v>134</v>
      </c>
      <c r="D9" t="s">
        <v>137</v>
      </c>
      <c r="E9" t="s">
        <v>135</v>
      </c>
    </row>
    <row r="10" spans="2:8" x14ac:dyDescent="0.25">
      <c r="B10" s="2" t="s">
        <v>24</v>
      </c>
      <c r="C10" s="46">
        <v>7893.7849103999997</v>
      </c>
      <c r="D10">
        <v>0</v>
      </c>
      <c r="E10" s="40">
        <v>6858.4404993999997</v>
      </c>
      <c r="F10" s="92">
        <f>GETPIVOTDATA("TOTAL PAGOS",$B$9,"DENOMINACIÓN DEL CÓDIGO PRESUPUESTAL
","A-FUNCIONAMIENTO")/GETPIVOTDATA("CXP CONSTITUIDAS",$B$9,"DENOMINACIÓN DEL CÓDIGO PRESUPUESTAL
","A-FUNCIONAMIENTO")</f>
        <v>0.86884055966157103</v>
      </c>
    </row>
    <row r="11" spans="2:8" x14ac:dyDescent="0.25">
      <c r="B11" s="2" t="s">
        <v>119</v>
      </c>
      <c r="C11" s="46">
        <v>182.428674</v>
      </c>
      <c r="D11">
        <v>0</v>
      </c>
      <c r="E11" s="40">
        <v>182.428674</v>
      </c>
      <c r="F11" s="92">
        <f>GETPIVOTDATA("TOTAL PAGOS",$B$9,"DENOMINACIÓN DEL CÓDIGO PRESUPUESTAL
","C-INVERSIÓN")/GETPIVOTDATA("CXP CONSTITUIDAS",$B$9,"DENOMINACIÓN DEL CÓDIGO PRESUPUESTAL
","C-INVERSIÓN")</f>
        <v>1</v>
      </c>
    </row>
    <row r="12" spans="2:8" x14ac:dyDescent="0.25">
      <c r="B12" s="2" t="s">
        <v>6</v>
      </c>
      <c r="C12" s="46">
        <v>8076.2135843999995</v>
      </c>
      <c r="D12">
        <v>0</v>
      </c>
      <c r="E12" s="40">
        <v>7040.8691733999995</v>
      </c>
      <c r="F12" s="102" t="s">
        <v>94</v>
      </c>
    </row>
    <row r="13" spans="2:8" x14ac:dyDescent="0.25">
      <c r="E13" s="92">
        <f>GETPIVOTDATA("TOTAL PAGOS",$B$9)/GETPIVOTDATA("CXP CONSTITUIDAS",$B$9)</f>
        <v>0.87180324044427582</v>
      </c>
    </row>
    <row r="14" spans="2:8" x14ac:dyDescent="0.25">
      <c r="B14" s="41"/>
      <c r="C14" s="40"/>
      <c r="D14" s="40"/>
      <c r="E14" s="40"/>
    </row>
    <row r="15" spans="2:8" ht="18.75" x14ac:dyDescent="0.3">
      <c r="B15" s="108" t="s">
        <v>146</v>
      </c>
      <c r="C15" s="108"/>
      <c r="D15" s="108"/>
      <c r="E15" s="108"/>
      <c r="F15" s="108"/>
      <c r="G15" s="108"/>
    </row>
    <row r="16" spans="2:8" x14ac:dyDescent="0.25">
      <c r="H16" s="5"/>
    </row>
    <row r="18" spans="1:14" x14ac:dyDescent="0.25">
      <c r="E18" s="16"/>
      <c r="F18" s="16"/>
    </row>
    <row r="19" spans="1:14" x14ac:dyDescent="0.25">
      <c r="E19" s="16"/>
      <c r="F19" s="16"/>
    </row>
    <row r="20" spans="1:14" x14ac:dyDescent="0.25">
      <c r="B20" s="47"/>
      <c r="C20" s="47"/>
      <c r="D20" s="47"/>
      <c r="E20" s="47"/>
      <c r="F20" s="47"/>
      <c r="N20" s="76"/>
    </row>
    <row r="21" spans="1:14" x14ac:dyDescent="0.25">
      <c r="B21" s="47"/>
      <c r="C21" s="47"/>
      <c r="D21" s="47"/>
      <c r="E21" s="47"/>
      <c r="F21" s="47"/>
    </row>
    <row r="22" spans="1:14" x14ac:dyDescent="0.25">
      <c r="A22" s="16"/>
      <c r="B22" s="47"/>
      <c r="C22" s="47"/>
      <c r="D22" s="47"/>
      <c r="E22" s="47"/>
      <c r="F22" s="47"/>
      <c r="G22" s="16"/>
      <c r="H22" s="16"/>
      <c r="I22" s="16"/>
      <c r="M22" s="75"/>
      <c r="N22" s="16"/>
    </row>
    <row r="23" spans="1:14" x14ac:dyDescent="0.25">
      <c r="A23" s="16"/>
      <c r="B23" s="47"/>
      <c r="C23" s="47"/>
      <c r="D23" s="47"/>
      <c r="E23" s="47"/>
      <c r="F23" s="47"/>
      <c r="G23" s="16"/>
      <c r="H23" s="16"/>
      <c r="I23" s="68"/>
      <c r="M23" s="16"/>
      <c r="N23" s="16"/>
    </row>
    <row r="24" spans="1:14" x14ac:dyDescent="0.25">
      <c r="A24" s="16"/>
      <c r="B24" s="47"/>
      <c r="C24" s="47"/>
      <c r="D24" s="47"/>
      <c r="E24" s="47"/>
      <c r="F24" s="47"/>
      <c r="G24" s="16"/>
      <c r="H24" s="16"/>
      <c r="I24" s="70"/>
      <c r="J24" s="16"/>
      <c r="K24" s="16"/>
      <c r="L24" s="16"/>
      <c r="M24" s="16"/>
      <c r="N24" s="16"/>
    </row>
    <row r="25" spans="1:14" x14ac:dyDescent="0.25">
      <c r="A25" s="16"/>
      <c r="B25" s="47"/>
      <c r="C25" s="47"/>
      <c r="D25" s="47"/>
      <c r="E25" s="47"/>
      <c r="F25" s="47"/>
      <c r="G25" s="16"/>
      <c r="H25" s="16"/>
      <c r="L25" s="16"/>
      <c r="M25" s="16"/>
      <c r="N25" s="16"/>
    </row>
    <row r="26" spans="1:14" x14ac:dyDescent="0.25">
      <c r="A26" s="16"/>
      <c r="B26" s="47"/>
      <c r="C26" s="47"/>
      <c r="D26" s="47"/>
      <c r="E26" s="47"/>
      <c r="F26" s="47"/>
      <c r="G26" s="16"/>
      <c r="H26" s="16"/>
      <c r="L26" s="16"/>
      <c r="M26" s="16"/>
      <c r="N26" s="16"/>
    </row>
    <row r="27" spans="1:14" x14ac:dyDescent="0.25">
      <c r="A27" s="16"/>
      <c r="B27" s="47"/>
      <c r="C27" s="47"/>
      <c r="D27" s="47"/>
      <c r="E27" s="47"/>
      <c r="F27" s="47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6"/>
      <c r="B28" s="47"/>
      <c r="C28" s="47"/>
      <c r="D28" s="47"/>
      <c r="E28" s="47"/>
      <c r="F28" s="47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6"/>
      <c r="B29" s="47"/>
      <c r="C29" s="47"/>
      <c r="D29" s="47"/>
      <c r="E29" s="47"/>
      <c r="F29" s="47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/>
      <c r="B30" s="47"/>
      <c r="C30" s="47"/>
      <c r="D30" s="47"/>
      <c r="E30" s="47"/>
      <c r="F30" s="47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8.75" x14ac:dyDescent="0.3">
      <c r="A33" s="16"/>
      <c r="B33" s="108" t="s">
        <v>145</v>
      </c>
      <c r="C33" s="108"/>
      <c r="D33" s="108"/>
      <c r="E33" s="108"/>
      <c r="F33" s="108"/>
      <c r="G33" s="108"/>
      <c r="H33" s="16"/>
      <c r="I33" s="16"/>
      <c r="J33" s="16"/>
      <c r="K33" s="16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t="s">
        <v>134</v>
      </c>
      <c r="C35" t="s">
        <v>137</v>
      </c>
      <c r="D35" t="s">
        <v>135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8.75" x14ac:dyDescent="0.3">
      <c r="A36" s="16"/>
      <c r="B36" s="40">
        <v>8076.2135843999995</v>
      </c>
      <c r="C36" s="40">
        <v>0</v>
      </c>
      <c r="D36" s="40">
        <v>7040.8691733999995</v>
      </c>
      <c r="E36" s="102" t="s">
        <v>94</v>
      </c>
      <c r="F36" s="91"/>
      <c r="G36" s="16"/>
      <c r="H36" s="16"/>
      <c r="I36" s="16"/>
      <c r="J36" s="16"/>
      <c r="K36" s="16"/>
      <c r="L36" s="16"/>
      <c r="M36" s="16"/>
      <c r="N36" s="16"/>
    </row>
    <row r="37" spans="1:14" ht="18.75" x14ac:dyDescent="0.3">
      <c r="A37" s="16"/>
      <c r="B37" s="40"/>
      <c r="C37" s="40"/>
      <c r="D37" s="40"/>
      <c r="E37" s="91"/>
      <c r="F37" s="91"/>
      <c r="G37" s="16"/>
      <c r="H37" s="16"/>
      <c r="I37" s="16"/>
      <c r="J37" s="16"/>
      <c r="K37" s="16"/>
      <c r="L37" s="16"/>
      <c r="M37" s="16"/>
      <c r="N37" s="16"/>
    </row>
    <row r="38" spans="1:14" ht="18.75" x14ac:dyDescent="0.3">
      <c r="C38" s="91"/>
      <c r="D38" s="91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B39" s="16"/>
      <c r="C39" s="16"/>
      <c r="D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16"/>
      <c r="E50" s="26"/>
      <c r="F50" s="26"/>
      <c r="G50" s="16"/>
      <c r="H50" s="16"/>
      <c r="I50" s="16"/>
      <c r="J50" s="16"/>
      <c r="K50" s="16"/>
      <c r="L50" s="16"/>
      <c r="M50" s="16"/>
      <c r="N50" s="16"/>
    </row>
    <row r="51" spans="1:14" s="10" customFormat="1" x14ac:dyDescent="0.25">
      <c r="A51" s="26"/>
      <c r="B51" s="16"/>
      <c r="C51" s="16"/>
      <c r="D51" s="16"/>
      <c r="E51" s="26"/>
      <c r="F51" s="26"/>
      <c r="G51" s="26"/>
      <c r="H51" s="26"/>
      <c r="I51" s="16"/>
      <c r="J51" s="16"/>
      <c r="K51" s="16"/>
      <c r="L51"/>
      <c r="M51"/>
      <c r="N51"/>
    </row>
    <row r="52" spans="1:14" s="10" customFormat="1" x14ac:dyDescent="0.25">
      <c r="A52" s="26"/>
      <c r="B52" s="26"/>
      <c r="C52" s="26"/>
      <c r="D52" s="26"/>
      <c r="E52" s="26"/>
      <c r="F52" s="26"/>
      <c r="G52" s="26"/>
      <c r="H52" s="26"/>
      <c r="I52" s="16"/>
      <c r="J52" s="16"/>
      <c r="K52" s="16"/>
      <c r="L52" s="9"/>
      <c r="M52" s="9"/>
      <c r="N52" s="9"/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10"/>
      <c r="K56" s="10"/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10"/>
      <c r="K57" s="10"/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10"/>
      <c r="K58" s="10"/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0"/>
      <c r="K59" s="10"/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10"/>
      <c r="K60" s="10"/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10"/>
      <c r="K61" s="10"/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10"/>
      <c r="K62" s="10"/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10"/>
      <c r="K63" s="10"/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10"/>
      <c r="K64" s="10"/>
    </row>
    <row r="65" spans="1:10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10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10" x14ac:dyDescent="0.25">
      <c r="A67" s="26"/>
      <c r="B67" s="26"/>
      <c r="C67" s="26"/>
      <c r="D67" s="26"/>
      <c r="E67" s="26"/>
      <c r="F67" s="26"/>
      <c r="G67" s="26"/>
      <c r="H67" s="26"/>
      <c r="I67" s="26"/>
    </row>
    <row r="68" spans="1:10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0"/>
    </row>
    <row r="69" spans="1:10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10"/>
    </row>
    <row r="70" spans="1:10" x14ac:dyDescent="0.25">
      <c r="A70" s="26"/>
      <c r="B70" s="26"/>
      <c r="C70" s="26"/>
      <c r="D70" s="26"/>
      <c r="G70" s="26"/>
      <c r="H70" s="26"/>
      <c r="I70" s="26"/>
    </row>
    <row r="71" spans="1:10" x14ac:dyDescent="0.25">
      <c r="A71" s="26"/>
      <c r="B71" s="26"/>
      <c r="C71" s="26"/>
      <c r="D71" s="26"/>
      <c r="G71" s="26"/>
      <c r="H71" s="26"/>
      <c r="I71" s="26"/>
    </row>
    <row r="72" spans="1:10" x14ac:dyDescent="0.25">
      <c r="A72" s="26"/>
      <c r="G72" s="26"/>
      <c r="H72" s="26"/>
      <c r="I72" s="26"/>
    </row>
    <row r="73" spans="1:10" x14ac:dyDescent="0.25">
      <c r="A73" s="26"/>
      <c r="G73" s="26"/>
      <c r="H73" s="26"/>
      <c r="I73" s="26"/>
    </row>
    <row r="74" spans="1:10" x14ac:dyDescent="0.25">
      <c r="I74" s="26"/>
    </row>
    <row r="75" spans="1:10" x14ac:dyDescent="0.25">
      <c r="I75" s="26"/>
    </row>
  </sheetData>
  <mergeCells count="2">
    <mergeCell ref="B15:G15"/>
    <mergeCell ref="B33:G33"/>
  </mergeCells>
  <pageMargins left="0.7" right="0.7" top="0.75" bottom="0.75" header="0.3" footer="0.3"/>
  <pageSetup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8:D40"/>
  <sheetViews>
    <sheetView showGridLines="0" showRowColHeaders="0" zoomScaleNormal="100" workbookViewId="0"/>
  </sheetViews>
  <sheetFormatPr baseColWidth="10" defaultRowHeight="15" x14ac:dyDescent="0.25"/>
  <cols>
    <col min="1" max="1" width="6.85546875" customWidth="1"/>
    <col min="2" max="2" width="31.140625" bestFit="1" customWidth="1"/>
    <col min="3" max="3" width="23.5703125" customWidth="1"/>
  </cols>
  <sheetData>
    <row r="8" spans="2:4" x14ac:dyDescent="0.25">
      <c r="B8" s="4" t="s">
        <v>5</v>
      </c>
      <c r="C8" t="s">
        <v>19</v>
      </c>
    </row>
    <row r="9" spans="2:4" x14ac:dyDescent="0.25">
      <c r="B9" s="2" t="s">
        <v>24</v>
      </c>
      <c r="C9" s="19">
        <v>99785.985369999995</v>
      </c>
    </row>
    <row r="10" spans="2:4" x14ac:dyDescent="0.25">
      <c r="B10" s="2" t="s">
        <v>25</v>
      </c>
      <c r="C10" s="19">
        <v>1167604.3350470001</v>
      </c>
    </row>
    <row r="11" spans="2:4" x14ac:dyDescent="0.25">
      <c r="B11" s="2" t="s">
        <v>26</v>
      </c>
      <c r="C11" s="19">
        <v>4505182.0250120005</v>
      </c>
    </row>
    <row r="12" spans="2:4" x14ac:dyDescent="0.25">
      <c r="B12" s="2" t="s">
        <v>6</v>
      </c>
      <c r="C12" s="19">
        <v>5772572.3454290004</v>
      </c>
      <c r="D12" s="102" t="s">
        <v>94</v>
      </c>
    </row>
    <row r="13" spans="2:4" x14ac:dyDescent="0.25">
      <c r="B13" s="2"/>
      <c r="C13" s="19"/>
      <c r="D13" s="45"/>
    </row>
    <row r="39" ht="14.25" customHeight="1" x14ac:dyDescent="0.25"/>
    <row r="40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zoomScale="86" zoomScaleNormal="86" workbookViewId="0">
      <selection activeCell="C22" sqref="C22:G24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  <col min="8" max="8" width="24.42578125" bestFit="1" customWidth="1"/>
    <col min="9" max="9" width="16.28515625" bestFit="1" customWidth="1"/>
  </cols>
  <sheetData>
    <row r="1" spans="1:7" ht="30" x14ac:dyDescent="0.25">
      <c r="A1" s="21" t="s">
        <v>0</v>
      </c>
      <c r="B1" s="21" t="s">
        <v>1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</row>
    <row r="2" spans="1:7" x14ac:dyDescent="0.25">
      <c r="A2" s="23" t="s">
        <v>2</v>
      </c>
      <c r="B2" s="25" t="s">
        <v>24</v>
      </c>
      <c r="C2" s="24">
        <f t="shared" ref="C2:C7" si="0">+C12/1000000</f>
        <v>99785.985369999995</v>
      </c>
      <c r="D2" s="24">
        <f t="shared" ref="C2:G8" si="1">+D12/1000000</f>
        <v>89813.544051010002</v>
      </c>
      <c r="E2" s="24">
        <f t="shared" si="1"/>
        <v>78550.677418410007</v>
      </c>
      <c r="F2" s="24">
        <f t="shared" si="1"/>
        <v>76517.35834834</v>
      </c>
      <c r="G2" s="24">
        <f t="shared" si="1"/>
        <v>73525.237534330008</v>
      </c>
    </row>
    <row r="3" spans="1:7" x14ac:dyDescent="0.25">
      <c r="A3" s="23" t="s">
        <v>20</v>
      </c>
      <c r="B3" s="25" t="s">
        <v>27</v>
      </c>
      <c r="C3" s="24">
        <f t="shared" si="0"/>
        <v>56308.670080000004</v>
      </c>
      <c r="D3" s="24">
        <f t="shared" si="1"/>
        <v>56308.670080000004</v>
      </c>
      <c r="E3" s="24">
        <f t="shared" si="1"/>
        <v>46540.152865190001</v>
      </c>
      <c r="F3" s="24">
        <f t="shared" si="1"/>
        <v>46540.152865190001</v>
      </c>
      <c r="G3" s="24">
        <f t="shared" si="1"/>
        <v>43609.40434719</v>
      </c>
    </row>
    <row r="4" spans="1:7" x14ac:dyDescent="0.25">
      <c r="A4" s="23" t="s">
        <v>21</v>
      </c>
      <c r="B4" s="25" t="s">
        <v>28</v>
      </c>
      <c r="C4" s="24">
        <f t="shared" si="0"/>
        <v>19419.071</v>
      </c>
      <c r="D4" s="24">
        <f t="shared" si="1"/>
        <v>18411.832621369998</v>
      </c>
      <c r="E4" s="24">
        <f t="shared" si="1"/>
        <v>16984.168386580001</v>
      </c>
      <c r="F4" s="24">
        <f t="shared" si="1"/>
        <v>14997.46443951</v>
      </c>
      <c r="G4" s="24">
        <f t="shared" si="1"/>
        <v>14936.0921435</v>
      </c>
    </row>
    <row r="5" spans="1:7" x14ac:dyDescent="0.25">
      <c r="A5" s="23" t="s">
        <v>22</v>
      </c>
      <c r="B5" s="25" t="s">
        <v>29</v>
      </c>
      <c r="C5" s="24">
        <f t="shared" si="0"/>
        <v>10006.772290000001</v>
      </c>
      <c r="D5" s="24">
        <f t="shared" si="1"/>
        <v>2938.5454606399999</v>
      </c>
      <c r="E5" s="24">
        <f t="shared" si="1"/>
        <v>2874.9248986399998</v>
      </c>
      <c r="F5" s="24">
        <f t="shared" si="1"/>
        <v>2828.3097756399998</v>
      </c>
      <c r="G5" s="24">
        <f t="shared" si="1"/>
        <v>2828.3097756399998</v>
      </c>
    </row>
    <row r="6" spans="1:7" ht="30" x14ac:dyDescent="0.25">
      <c r="A6" s="23" t="s">
        <v>23</v>
      </c>
      <c r="B6" s="25" t="s">
        <v>30</v>
      </c>
      <c r="C6" s="24">
        <f t="shared" si="0"/>
        <v>14051.472</v>
      </c>
      <c r="D6" s="24">
        <f t="shared" si="1"/>
        <v>12154.495889</v>
      </c>
      <c r="E6" s="24">
        <f t="shared" si="1"/>
        <v>12151.431268</v>
      </c>
      <c r="F6" s="24">
        <f t="shared" si="1"/>
        <v>12151.431268</v>
      </c>
      <c r="G6" s="24">
        <f t="shared" si="1"/>
        <v>12151.431268</v>
      </c>
    </row>
    <row r="7" spans="1:7" x14ac:dyDescent="0.25">
      <c r="A7" s="23" t="s">
        <v>3</v>
      </c>
      <c r="B7" s="25" t="s">
        <v>25</v>
      </c>
      <c r="C7" s="24">
        <f t="shared" si="0"/>
        <v>1167604.3350470001</v>
      </c>
      <c r="D7" s="24">
        <f t="shared" si="1"/>
        <v>954990.752829</v>
      </c>
      <c r="E7" s="24">
        <f t="shared" si="1"/>
        <v>954990.752829</v>
      </c>
      <c r="F7" s="24">
        <f t="shared" si="1"/>
        <v>954990.752829</v>
      </c>
      <c r="G7" s="24">
        <f t="shared" si="1"/>
        <v>954990.752829</v>
      </c>
    </row>
    <row r="8" spans="1:7" x14ac:dyDescent="0.25">
      <c r="A8" s="23" t="s">
        <v>4</v>
      </c>
      <c r="B8" s="25" t="s">
        <v>26</v>
      </c>
      <c r="C8" s="24">
        <f t="shared" si="1"/>
        <v>4505182.0250120005</v>
      </c>
      <c r="D8" s="24">
        <f t="shared" si="1"/>
        <v>4468533.6023113905</v>
      </c>
      <c r="E8" s="24">
        <f t="shared" si="1"/>
        <v>4439873.9795468505</v>
      </c>
      <c r="F8" s="24">
        <f t="shared" si="1"/>
        <v>398275.14684652997</v>
      </c>
      <c r="G8" s="24">
        <f t="shared" si="1"/>
        <v>391610.44009198999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51" t="s">
        <v>106</v>
      </c>
      <c r="C11" s="54" t="s">
        <v>109</v>
      </c>
      <c r="D11" s="54" t="s">
        <v>110</v>
      </c>
      <c r="E11" s="54" t="s">
        <v>111</v>
      </c>
      <c r="F11" s="54" t="s">
        <v>112</v>
      </c>
      <c r="G11" s="55" t="s">
        <v>113</v>
      </c>
    </row>
    <row r="12" spans="1:7" ht="19.5" thickBot="1" x14ac:dyDescent="0.3">
      <c r="B12" s="52" t="s">
        <v>107</v>
      </c>
      <c r="C12" s="56">
        <f>SUM(C13:C16)</f>
        <v>99785985370</v>
      </c>
      <c r="D12" s="56">
        <f t="shared" ref="D12:G12" si="2">SUM(D13:D16)</f>
        <v>89813544051.009995</v>
      </c>
      <c r="E12" s="56">
        <f t="shared" si="2"/>
        <v>78550677418.410004</v>
      </c>
      <c r="F12" s="56">
        <f t="shared" si="2"/>
        <v>76517358348.339996</v>
      </c>
      <c r="G12" s="56">
        <f t="shared" si="2"/>
        <v>73525237534.330002</v>
      </c>
    </row>
    <row r="13" spans="1:7" ht="15.75" x14ac:dyDescent="0.25">
      <c r="B13" s="53" t="s">
        <v>108</v>
      </c>
      <c r="C13" s="59">
        <v>56308670080</v>
      </c>
      <c r="D13" s="59">
        <v>56308670080</v>
      </c>
      <c r="E13" s="59">
        <v>46540152865.190002</v>
      </c>
      <c r="F13" s="59">
        <v>46540152865.190002</v>
      </c>
      <c r="G13" s="60">
        <v>43609404347.190002</v>
      </c>
    </row>
    <row r="14" spans="1:7" ht="15.75" x14ac:dyDescent="0.25">
      <c r="B14" s="58" t="s">
        <v>114</v>
      </c>
      <c r="C14" s="61">
        <v>19419071000</v>
      </c>
      <c r="D14" s="61">
        <v>18411832621.369999</v>
      </c>
      <c r="E14" s="61">
        <v>16984168386.58</v>
      </c>
      <c r="F14" s="61">
        <v>14997464439.51</v>
      </c>
      <c r="G14" s="62">
        <v>14936092143.5</v>
      </c>
    </row>
    <row r="15" spans="1:7" ht="15.75" x14ac:dyDescent="0.25">
      <c r="B15" s="58" t="s">
        <v>115</v>
      </c>
      <c r="C15" s="61">
        <v>10006772290</v>
      </c>
      <c r="D15" s="61">
        <v>2938545460.6399999</v>
      </c>
      <c r="E15" s="61">
        <v>2874924898.6399999</v>
      </c>
      <c r="F15" s="61">
        <v>2828309775.6399999</v>
      </c>
      <c r="G15" s="62">
        <v>2828309775.6399999</v>
      </c>
    </row>
    <row r="16" spans="1:7" ht="32.25" thickBot="1" x14ac:dyDescent="0.3">
      <c r="B16" s="58" t="s">
        <v>116</v>
      </c>
      <c r="C16" s="61">
        <v>14051472000</v>
      </c>
      <c r="D16" s="61">
        <v>12154495889</v>
      </c>
      <c r="E16" s="61">
        <v>12151431268</v>
      </c>
      <c r="F16" s="61">
        <v>12151431268</v>
      </c>
      <c r="G16" s="62">
        <v>12151431268</v>
      </c>
    </row>
    <row r="17" spans="2:7" ht="19.5" thickBot="1" x14ac:dyDescent="0.3">
      <c r="B17" s="52" t="s">
        <v>117</v>
      </c>
      <c r="C17" s="56">
        <v>1167604335047</v>
      </c>
      <c r="D17" s="56">
        <v>954990752829</v>
      </c>
      <c r="E17" s="56">
        <v>954990752829</v>
      </c>
      <c r="F17" s="56">
        <v>954990752829</v>
      </c>
      <c r="G17" s="57">
        <v>954990752829</v>
      </c>
    </row>
    <row r="18" spans="2:7" ht="19.5" thickBot="1" x14ac:dyDescent="0.3">
      <c r="B18" s="52" t="s">
        <v>118</v>
      </c>
      <c r="C18" s="56">
        <v>4505182025012</v>
      </c>
      <c r="D18" s="56">
        <v>4468533602311.3906</v>
      </c>
      <c r="E18" s="56">
        <v>4439873979546.8506</v>
      </c>
      <c r="F18" s="56">
        <v>398275146846.52997</v>
      </c>
      <c r="G18" s="56">
        <v>391610440091.98999</v>
      </c>
    </row>
    <row r="20" spans="2:7" x14ac:dyDescent="0.25">
      <c r="C20" s="63">
        <f>+SUM(C13:C18)</f>
        <v>5772572345429</v>
      </c>
      <c r="D20" s="63">
        <f>+SUM(D13:D18)</f>
        <v>5513337899191.4004</v>
      </c>
      <c r="E20" s="63">
        <f>+SUM(E13:E18)</f>
        <v>5473415409794.2607</v>
      </c>
      <c r="F20" s="63">
        <f t="shared" ref="F20:G20" si="3">+SUM(F13:F18)</f>
        <v>1429783258023.8699</v>
      </c>
      <c r="G20" s="63">
        <f t="shared" si="3"/>
        <v>1420126430455.3198</v>
      </c>
    </row>
    <row r="21" spans="2:7" x14ac:dyDescent="0.25">
      <c r="C21" s="63"/>
      <c r="D21" s="63"/>
      <c r="E21" s="63"/>
      <c r="F21" s="63"/>
      <c r="G21" s="63"/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B1:I4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40" sqref="E40:H40"/>
    </sheetView>
  </sheetViews>
  <sheetFormatPr baseColWidth="10" defaultRowHeight="15" x14ac:dyDescent="0.25"/>
  <cols>
    <col min="2" max="2" width="15.42578125" customWidth="1"/>
    <col min="3" max="3" width="94.42578125" customWidth="1"/>
    <col min="4" max="4" width="26.28515625" style="27" customWidth="1"/>
    <col min="5" max="5" width="33.28515625" style="27" bestFit="1" customWidth="1"/>
    <col min="6" max="6" width="30.7109375" style="27" bestFit="1" customWidth="1"/>
    <col min="7" max="7" width="28.28515625" style="27" customWidth="1"/>
    <col min="8" max="8" width="23" style="27" bestFit="1" customWidth="1"/>
    <col min="9" max="9" width="37.7109375" style="27" bestFit="1" customWidth="1"/>
  </cols>
  <sheetData>
    <row r="1" spans="2:9" ht="15.75" thickBot="1" x14ac:dyDescent="0.3">
      <c r="B1" s="18" t="s">
        <v>31</v>
      </c>
      <c r="C1" s="18" t="s">
        <v>1</v>
      </c>
      <c r="D1" s="71" t="s">
        <v>7</v>
      </c>
      <c r="E1" s="71" t="s">
        <v>8</v>
      </c>
      <c r="F1" s="71" t="s">
        <v>9</v>
      </c>
      <c r="G1" s="71" t="s">
        <v>10</v>
      </c>
      <c r="H1" s="71" t="s">
        <v>14</v>
      </c>
      <c r="I1" s="72" t="s">
        <v>105</v>
      </c>
    </row>
    <row r="2" spans="2:9" ht="15.75" thickTop="1" x14ac:dyDescent="0.25">
      <c r="B2" s="17" t="s">
        <v>32</v>
      </c>
      <c r="C2" s="64" t="s">
        <v>96</v>
      </c>
      <c r="D2" s="65">
        <v>199229942693</v>
      </c>
      <c r="E2" s="65">
        <v>199229942693</v>
      </c>
      <c r="F2" s="65">
        <v>199229942693</v>
      </c>
      <c r="G2" s="65">
        <v>667460180</v>
      </c>
      <c r="H2" s="65">
        <v>667460180</v>
      </c>
      <c r="I2" s="90">
        <v>0</v>
      </c>
    </row>
    <row r="3" spans="2:9" x14ac:dyDescent="0.25">
      <c r="B3" s="17" t="s">
        <v>33</v>
      </c>
      <c r="C3" s="64" t="s">
        <v>34</v>
      </c>
      <c r="D3" s="65">
        <v>3111246158</v>
      </c>
      <c r="E3" s="65">
        <v>3111246158</v>
      </c>
      <c r="F3" s="65">
        <v>3111246158</v>
      </c>
      <c r="G3" s="65">
        <v>0</v>
      </c>
      <c r="H3" s="65">
        <v>0</v>
      </c>
      <c r="I3" s="73">
        <v>0</v>
      </c>
    </row>
    <row r="4" spans="2:9" x14ac:dyDescent="0.25">
      <c r="B4" s="17" t="s">
        <v>59</v>
      </c>
      <c r="C4" s="64" t="s">
        <v>43</v>
      </c>
      <c r="D4" s="65">
        <v>267568660974</v>
      </c>
      <c r="E4" s="65">
        <v>267568660974</v>
      </c>
      <c r="F4" s="65">
        <v>267568660974</v>
      </c>
      <c r="G4" s="65">
        <v>515340818</v>
      </c>
      <c r="H4" s="65">
        <v>515340818</v>
      </c>
      <c r="I4" s="73">
        <v>0</v>
      </c>
    </row>
    <row r="5" spans="2:9" x14ac:dyDescent="0.25">
      <c r="B5" s="17" t="s">
        <v>60</v>
      </c>
      <c r="C5" s="64" t="s">
        <v>44</v>
      </c>
      <c r="D5" s="65">
        <v>175859178607</v>
      </c>
      <c r="E5" s="65">
        <v>175859178607</v>
      </c>
      <c r="F5" s="65">
        <v>175859178607</v>
      </c>
      <c r="G5" s="65">
        <v>589163443</v>
      </c>
      <c r="H5" s="65">
        <v>589163443</v>
      </c>
      <c r="I5" s="73">
        <v>0</v>
      </c>
    </row>
    <row r="6" spans="2:9" x14ac:dyDescent="0.25">
      <c r="B6" s="17" t="s">
        <v>61</v>
      </c>
      <c r="C6" s="64" t="s">
        <v>45</v>
      </c>
      <c r="D6" s="65">
        <v>253083219752</v>
      </c>
      <c r="E6" s="65">
        <v>253083219752</v>
      </c>
      <c r="F6" s="65">
        <v>253083219752</v>
      </c>
      <c r="G6" s="65">
        <v>8076357952</v>
      </c>
      <c r="H6" s="65">
        <v>8076357952</v>
      </c>
      <c r="I6" s="73">
        <v>0</v>
      </c>
    </row>
    <row r="7" spans="2:9" x14ac:dyDescent="0.25">
      <c r="B7" s="17" t="s">
        <v>62</v>
      </c>
      <c r="C7" s="64" t="s">
        <v>97</v>
      </c>
      <c r="D7" s="65">
        <v>243923443489</v>
      </c>
      <c r="E7" s="65">
        <v>243923443489</v>
      </c>
      <c r="F7" s="65">
        <v>243923443489</v>
      </c>
      <c r="G7" s="65">
        <v>21653320129</v>
      </c>
      <c r="H7" s="65">
        <v>21653320129</v>
      </c>
      <c r="I7" s="73">
        <v>0</v>
      </c>
    </row>
    <row r="8" spans="2:9" x14ac:dyDescent="0.25">
      <c r="B8" s="17" t="s">
        <v>63</v>
      </c>
      <c r="C8" s="64" t="s">
        <v>46</v>
      </c>
      <c r="D8" s="65">
        <v>173754342655</v>
      </c>
      <c r="E8" s="65">
        <v>173754342655</v>
      </c>
      <c r="F8" s="65">
        <v>173754342655</v>
      </c>
      <c r="G8" s="65">
        <v>26218470693</v>
      </c>
      <c r="H8" s="65">
        <v>26218470693</v>
      </c>
      <c r="I8" s="73">
        <v>0</v>
      </c>
    </row>
    <row r="9" spans="2:9" x14ac:dyDescent="0.25">
      <c r="B9" s="17" t="s">
        <v>64</v>
      </c>
      <c r="C9" s="64" t="s">
        <v>47</v>
      </c>
      <c r="D9" s="65">
        <v>188036887431</v>
      </c>
      <c r="E9" s="65">
        <v>188036887431</v>
      </c>
      <c r="F9" s="65">
        <v>188036887431</v>
      </c>
      <c r="G9" s="65">
        <v>31914916292</v>
      </c>
      <c r="H9" s="65">
        <v>31914916292</v>
      </c>
      <c r="I9" s="73">
        <v>0</v>
      </c>
    </row>
    <row r="10" spans="2:9" x14ac:dyDescent="0.25">
      <c r="B10" s="17" t="s">
        <v>65</v>
      </c>
      <c r="C10" s="64" t="s">
        <v>48</v>
      </c>
      <c r="D10" s="65">
        <v>230526549416</v>
      </c>
      <c r="E10" s="65">
        <v>230526549416</v>
      </c>
      <c r="F10" s="65">
        <v>230526549416</v>
      </c>
      <c r="G10" s="65">
        <v>27184528940</v>
      </c>
      <c r="H10" s="65">
        <v>27184528940</v>
      </c>
      <c r="I10" s="73">
        <v>0</v>
      </c>
    </row>
    <row r="11" spans="2:9" x14ac:dyDescent="0.25">
      <c r="B11" s="17" t="s">
        <v>66</v>
      </c>
      <c r="C11" s="64" t="s">
        <v>124</v>
      </c>
      <c r="D11" s="65">
        <v>12654096592</v>
      </c>
      <c r="E11" s="65">
        <v>12055504905.59</v>
      </c>
      <c r="F11" s="65">
        <v>11790457365.940001</v>
      </c>
      <c r="G11" s="65">
        <v>9665517901.7399998</v>
      </c>
      <c r="H11" s="65">
        <v>9640791930.7399998</v>
      </c>
      <c r="I11" s="73">
        <v>0</v>
      </c>
    </row>
    <row r="12" spans="2:9" x14ac:dyDescent="0.25">
      <c r="B12" s="17" t="s">
        <v>67</v>
      </c>
      <c r="C12" s="64" t="s">
        <v>49</v>
      </c>
      <c r="D12" s="65">
        <v>222571821813</v>
      </c>
      <c r="E12" s="65">
        <v>222571821813</v>
      </c>
      <c r="F12" s="65">
        <v>222571821813</v>
      </c>
      <c r="G12" s="65">
        <v>7839829655</v>
      </c>
      <c r="H12" s="65">
        <v>7839829655</v>
      </c>
      <c r="I12" s="73">
        <v>0</v>
      </c>
    </row>
    <row r="13" spans="2:9" x14ac:dyDescent="0.25">
      <c r="B13" s="17" t="s">
        <v>68</v>
      </c>
      <c r="C13" s="64" t="s">
        <v>98</v>
      </c>
      <c r="D13" s="65">
        <v>256174672458</v>
      </c>
      <c r="E13" s="65">
        <v>256174672458</v>
      </c>
      <c r="F13" s="65">
        <v>256174672458</v>
      </c>
      <c r="G13" s="65">
        <v>783848182</v>
      </c>
      <c r="H13" s="65">
        <v>783848182</v>
      </c>
      <c r="I13" s="73">
        <v>0</v>
      </c>
    </row>
    <row r="14" spans="2:9" x14ac:dyDescent="0.25">
      <c r="B14" s="17" t="s">
        <v>69</v>
      </c>
      <c r="C14" s="64" t="s">
        <v>99</v>
      </c>
      <c r="D14" s="65">
        <v>133566456234</v>
      </c>
      <c r="E14" s="65">
        <v>133566456234</v>
      </c>
      <c r="F14" s="65">
        <v>133566456234</v>
      </c>
      <c r="G14" s="65">
        <v>426302018</v>
      </c>
      <c r="H14" s="65">
        <v>426302018</v>
      </c>
      <c r="I14" s="73">
        <v>0</v>
      </c>
    </row>
    <row r="15" spans="2:9" x14ac:dyDescent="0.25">
      <c r="B15" s="17" t="s">
        <v>70</v>
      </c>
      <c r="C15" s="64" t="s">
        <v>100</v>
      </c>
      <c r="D15" s="65">
        <v>92126982346</v>
      </c>
      <c r="E15" s="65">
        <v>92126982346</v>
      </c>
      <c r="F15" s="65">
        <v>92126982346</v>
      </c>
      <c r="G15" s="65">
        <v>308643829</v>
      </c>
      <c r="H15" s="65">
        <v>308643829</v>
      </c>
      <c r="I15" s="73">
        <v>0</v>
      </c>
    </row>
    <row r="16" spans="2:9" x14ac:dyDescent="0.25">
      <c r="B16" s="17" t="s">
        <v>71</v>
      </c>
      <c r="C16" s="64" t="s">
        <v>50</v>
      </c>
      <c r="D16" s="65">
        <v>177242188803</v>
      </c>
      <c r="E16" s="65">
        <v>177242188803</v>
      </c>
      <c r="F16" s="65">
        <v>177242188803</v>
      </c>
      <c r="G16" s="65">
        <v>12868469971</v>
      </c>
      <c r="H16" s="65">
        <v>12868469971</v>
      </c>
      <c r="I16" s="73">
        <v>0</v>
      </c>
    </row>
    <row r="17" spans="2:9" x14ac:dyDescent="0.25">
      <c r="B17" s="17" t="s">
        <v>58</v>
      </c>
      <c r="C17" s="64" t="s">
        <v>101</v>
      </c>
      <c r="D17" s="65">
        <v>186661572672</v>
      </c>
      <c r="E17" s="65">
        <v>186661572672</v>
      </c>
      <c r="F17" s="65">
        <v>186661572672</v>
      </c>
      <c r="G17" s="65">
        <v>65829708441</v>
      </c>
      <c r="H17" s="65">
        <v>65829708441</v>
      </c>
      <c r="I17" s="73">
        <v>0</v>
      </c>
    </row>
    <row r="18" spans="2:9" x14ac:dyDescent="0.25">
      <c r="B18" s="17" t="s">
        <v>72</v>
      </c>
      <c r="C18" s="64" t="s">
        <v>51</v>
      </c>
      <c r="D18" s="65">
        <v>217966528302</v>
      </c>
      <c r="E18" s="65">
        <v>217966528302</v>
      </c>
      <c r="F18" s="65">
        <v>217966528302</v>
      </c>
      <c r="G18" s="65">
        <v>35582322411</v>
      </c>
      <c r="H18" s="65">
        <v>35582322411</v>
      </c>
      <c r="I18" s="73">
        <v>0</v>
      </c>
    </row>
    <row r="19" spans="2:9" x14ac:dyDescent="0.25">
      <c r="B19" s="17" t="s">
        <v>73</v>
      </c>
      <c r="C19" s="64" t="s">
        <v>52</v>
      </c>
      <c r="D19" s="65">
        <v>264689746048</v>
      </c>
      <c r="E19" s="65">
        <v>264689746048</v>
      </c>
      <c r="F19" s="65">
        <v>264689746048</v>
      </c>
      <c r="G19" s="65">
        <v>18890851579</v>
      </c>
      <c r="H19" s="65">
        <v>18890851579</v>
      </c>
      <c r="I19" s="73">
        <v>0</v>
      </c>
    </row>
    <row r="20" spans="2:9" x14ac:dyDescent="0.25">
      <c r="B20" s="17" t="s">
        <v>74</v>
      </c>
      <c r="C20" s="64" t="s">
        <v>53</v>
      </c>
      <c r="D20" s="65">
        <v>141607661383</v>
      </c>
      <c r="E20" s="65">
        <v>141607661383</v>
      </c>
      <c r="F20" s="65">
        <v>141607661383</v>
      </c>
      <c r="G20" s="65">
        <v>35860807678</v>
      </c>
      <c r="H20" s="65">
        <v>35860807678</v>
      </c>
      <c r="I20" s="73">
        <v>0</v>
      </c>
    </row>
    <row r="21" spans="2:9" x14ac:dyDescent="0.25">
      <c r="B21" s="17" t="s">
        <v>75</v>
      </c>
      <c r="C21" s="64" t="s">
        <v>54</v>
      </c>
      <c r="D21" s="65">
        <v>326484319237</v>
      </c>
      <c r="E21" s="65">
        <v>326484319237</v>
      </c>
      <c r="F21" s="65">
        <v>326484319237</v>
      </c>
      <c r="G21" s="65">
        <v>18896410145</v>
      </c>
      <c r="H21" s="65">
        <v>18896410145</v>
      </c>
      <c r="I21" s="73">
        <v>0</v>
      </c>
    </row>
    <row r="22" spans="2:9" x14ac:dyDescent="0.25">
      <c r="B22" s="17" t="s">
        <v>76</v>
      </c>
      <c r="C22" s="64" t="s">
        <v>55</v>
      </c>
      <c r="D22" s="65">
        <v>103270216578</v>
      </c>
      <c r="E22" s="65">
        <v>103270216578</v>
      </c>
      <c r="F22" s="65">
        <v>103270216578</v>
      </c>
      <c r="G22" s="65">
        <v>2037283578</v>
      </c>
      <c r="H22" s="65">
        <v>2037283578</v>
      </c>
      <c r="I22" s="73">
        <v>0</v>
      </c>
    </row>
    <row r="23" spans="2:9" x14ac:dyDescent="0.25">
      <c r="B23" s="17" t="s">
        <v>77</v>
      </c>
      <c r="C23" s="64" t="s">
        <v>102</v>
      </c>
      <c r="D23" s="65">
        <v>323578411182</v>
      </c>
      <c r="E23" s="65">
        <v>323578411182</v>
      </c>
      <c r="F23" s="65">
        <v>323578411182</v>
      </c>
      <c r="G23" s="65">
        <v>1121067275</v>
      </c>
      <c r="H23" s="65">
        <v>1121067275</v>
      </c>
      <c r="I23" s="73">
        <v>0</v>
      </c>
    </row>
    <row r="24" spans="2:9" x14ac:dyDescent="0.25">
      <c r="B24" s="17" t="s">
        <v>78</v>
      </c>
      <c r="C24" s="64" t="s">
        <v>56</v>
      </c>
      <c r="D24" s="65">
        <v>53127095469</v>
      </c>
      <c r="E24" s="65">
        <v>53127095469</v>
      </c>
      <c r="F24" s="65">
        <v>53127095469</v>
      </c>
      <c r="G24" s="65">
        <v>0</v>
      </c>
      <c r="H24" s="65">
        <v>0</v>
      </c>
      <c r="I24" s="73">
        <v>0</v>
      </c>
    </row>
    <row r="25" spans="2:9" x14ac:dyDescent="0.25">
      <c r="B25" s="17" t="s">
        <v>95</v>
      </c>
      <c r="C25" s="64" t="s">
        <v>125</v>
      </c>
      <c r="D25" s="65">
        <v>105000000000</v>
      </c>
      <c r="E25" s="65">
        <v>90331485743.869995</v>
      </c>
      <c r="F25" s="65">
        <v>89310143702.959991</v>
      </c>
      <c r="G25" s="65">
        <v>2013138244.46</v>
      </c>
      <c r="H25" s="65">
        <v>2012502744.46</v>
      </c>
      <c r="I25" s="73">
        <v>0</v>
      </c>
    </row>
    <row r="26" spans="2:9" x14ac:dyDescent="0.25">
      <c r="B26" s="17" t="s">
        <v>79</v>
      </c>
      <c r="C26" s="64" t="s">
        <v>103</v>
      </c>
      <c r="D26" s="65">
        <v>2257022926</v>
      </c>
      <c r="E26" s="65">
        <v>2088533456.5</v>
      </c>
      <c r="F26" s="65">
        <v>2076247291.0799999</v>
      </c>
      <c r="G26" s="65">
        <v>1713578457.0799999</v>
      </c>
      <c r="H26" s="65">
        <v>1712843895.0799999</v>
      </c>
      <c r="I26" s="73">
        <v>0</v>
      </c>
    </row>
    <row r="27" spans="2:9" x14ac:dyDescent="0.25">
      <c r="B27" s="17" t="s">
        <v>120</v>
      </c>
      <c r="C27" s="64" t="s">
        <v>121</v>
      </c>
      <c r="D27" s="65">
        <v>3785000000</v>
      </c>
      <c r="E27" s="65">
        <v>3231244898</v>
      </c>
      <c r="F27" s="65">
        <v>3231214802.5599999</v>
      </c>
      <c r="G27" s="65">
        <v>1343388459.1600001</v>
      </c>
      <c r="H27" s="65">
        <v>1069922286</v>
      </c>
      <c r="I27" s="73">
        <v>0</v>
      </c>
    </row>
    <row r="28" spans="2:9" s="9" customFormat="1" x14ac:dyDescent="0.25">
      <c r="B28" s="17" t="s">
        <v>35</v>
      </c>
      <c r="C28" s="64" t="s">
        <v>36</v>
      </c>
      <c r="D28" s="65">
        <v>76235881312</v>
      </c>
      <c r="E28" s="65">
        <v>74412328936.619995</v>
      </c>
      <c r="F28" s="65">
        <v>73592948133.169998</v>
      </c>
      <c r="G28" s="65">
        <v>46335676873.57</v>
      </c>
      <c r="H28" s="65">
        <v>40126189316.190002</v>
      </c>
      <c r="I28" s="74">
        <v>0</v>
      </c>
    </row>
    <row r="29" spans="2:9" s="9" customFormat="1" x14ac:dyDescent="0.25">
      <c r="B29" s="17" t="s">
        <v>80</v>
      </c>
      <c r="C29" s="64" t="s">
        <v>104</v>
      </c>
      <c r="D29" s="65">
        <v>1124097372</v>
      </c>
      <c r="E29" s="65">
        <v>924646888.25999999</v>
      </c>
      <c r="F29" s="65">
        <v>900347933.64999998</v>
      </c>
      <c r="G29" s="65">
        <v>750508058.64999998</v>
      </c>
      <c r="H29" s="65">
        <v>750508058.64999998</v>
      </c>
      <c r="I29" s="74">
        <v>0</v>
      </c>
    </row>
    <row r="30" spans="2:9" x14ac:dyDescent="0.25">
      <c r="B30" s="17" t="s">
        <v>37</v>
      </c>
      <c r="C30" s="64" t="s">
        <v>126</v>
      </c>
      <c r="D30" s="65">
        <v>1000000000</v>
      </c>
      <c r="E30" s="65">
        <v>474772932</v>
      </c>
      <c r="F30" s="65">
        <v>418755807.54000002</v>
      </c>
      <c r="G30" s="65">
        <v>51476006.200000003</v>
      </c>
      <c r="H30" s="65">
        <v>51476006.200000003</v>
      </c>
      <c r="I30" s="73">
        <v>0</v>
      </c>
    </row>
    <row r="31" spans="2:9" x14ac:dyDescent="0.25">
      <c r="B31" s="17" t="s">
        <v>81</v>
      </c>
      <c r="C31" s="64" t="s">
        <v>57</v>
      </c>
      <c r="D31" s="65">
        <v>3056837754</v>
      </c>
      <c r="E31" s="65">
        <v>2874283123.6500001</v>
      </c>
      <c r="F31" s="65">
        <v>2824607868.0900002</v>
      </c>
      <c r="G31" s="65">
        <v>2300648749.29</v>
      </c>
      <c r="H31" s="65">
        <v>2300302228.29</v>
      </c>
      <c r="I31" s="73">
        <v>0</v>
      </c>
    </row>
    <row r="32" spans="2:9" x14ac:dyDescent="0.25">
      <c r="B32" s="17" t="s">
        <v>122</v>
      </c>
      <c r="C32" s="64" t="s">
        <v>123</v>
      </c>
      <c r="D32" s="65">
        <v>907945356</v>
      </c>
      <c r="E32" s="65">
        <v>155653740</v>
      </c>
      <c r="F32" s="65">
        <v>150309905.47999999</v>
      </c>
      <c r="G32" s="65">
        <v>114599521.48</v>
      </c>
      <c r="H32" s="65">
        <v>114599521.48</v>
      </c>
      <c r="I32" s="73"/>
    </row>
    <row r="33" spans="2:9" x14ac:dyDescent="0.25">
      <c r="B33" s="17" t="s">
        <v>38</v>
      </c>
      <c r="C33" s="64" t="s">
        <v>127</v>
      </c>
      <c r="D33" s="65">
        <v>200000000</v>
      </c>
      <c r="E33" s="65">
        <v>163072930</v>
      </c>
      <c r="F33" s="65">
        <v>132454491.16</v>
      </c>
      <c r="G33" s="65">
        <v>66352206.159999996</v>
      </c>
      <c r="H33" s="65">
        <v>66352206.159999996</v>
      </c>
      <c r="I33" s="73">
        <v>0</v>
      </c>
    </row>
    <row r="34" spans="2:9" x14ac:dyDescent="0.25">
      <c r="B34" s="17" t="s">
        <v>39</v>
      </c>
      <c r="C34" s="64" t="s">
        <v>128</v>
      </c>
      <c r="D34" s="65">
        <v>58800000000</v>
      </c>
      <c r="E34" s="65">
        <v>42835090393.110001</v>
      </c>
      <c r="F34" s="65">
        <v>16471489250.85</v>
      </c>
      <c r="G34" s="65">
        <v>12512139241.370001</v>
      </c>
      <c r="H34" s="65">
        <v>12356828771.370001</v>
      </c>
      <c r="I34" s="73">
        <v>0</v>
      </c>
    </row>
    <row r="35" spans="2:9" x14ac:dyDescent="0.25">
      <c r="B35" s="17" t="s">
        <v>40</v>
      </c>
      <c r="C35" s="64" t="s">
        <v>129</v>
      </c>
      <c r="D35" s="65">
        <v>5000000000</v>
      </c>
      <c r="E35" s="65">
        <v>3863335633.79</v>
      </c>
      <c r="F35" s="65">
        <v>3861153116.2600002</v>
      </c>
      <c r="G35" s="65">
        <v>3351499812.2600002</v>
      </c>
      <c r="H35" s="65">
        <v>3351499812.2600002</v>
      </c>
      <c r="I35" s="73">
        <v>0</v>
      </c>
    </row>
    <row r="36" spans="2:9" x14ac:dyDescent="0.25">
      <c r="B36" s="17" t="s">
        <v>42</v>
      </c>
      <c r="C36" s="64" t="s">
        <v>130</v>
      </c>
      <c r="D36" s="65">
        <v>1000000000</v>
      </c>
      <c r="E36" s="65">
        <v>962505030</v>
      </c>
      <c r="F36" s="65">
        <v>952706178.11000001</v>
      </c>
      <c r="G36" s="65">
        <v>791520106.11000001</v>
      </c>
      <c r="H36" s="65">
        <v>791520106.11000001</v>
      </c>
      <c r="I36" s="73">
        <v>0</v>
      </c>
    </row>
    <row r="37" spans="2:9" x14ac:dyDescent="0.25">
      <c r="C37" s="1"/>
    </row>
    <row r="38" spans="2:9" x14ac:dyDescent="0.25">
      <c r="D38" s="27">
        <f>SUM(D2:D36)</f>
        <v>4505182025012</v>
      </c>
      <c r="E38" s="27">
        <f t="shared" ref="E38:H38" si="0">SUM(E2:E36)</f>
        <v>4468533602311.3906</v>
      </c>
      <c r="F38" s="27">
        <f t="shared" si="0"/>
        <v>4439873979546.8506</v>
      </c>
      <c r="G38" s="27">
        <f t="shared" si="0"/>
        <v>398275146846.52997</v>
      </c>
      <c r="H38" s="27">
        <f t="shared" si="0"/>
        <v>391610440091.98999</v>
      </c>
      <c r="I38" s="27">
        <f>+SUM(I2:I36)</f>
        <v>0</v>
      </c>
    </row>
    <row r="39" spans="2:9" x14ac:dyDescent="0.25">
      <c r="D39" s="27">
        <f>'Resumen Eje Egreso'!C18</f>
        <v>4505182025012</v>
      </c>
      <c r="E39" s="27">
        <f>'Resumen Eje Egreso'!D18</f>
        <v>4468533602311.3906</v>
      </c>
      <c r="F39" s="27">
        <f>'Resumen Eje Egreso'!E18</f>
        <v>4439873979546.8506</v>
      </c>
      <c r="G39" s="27">
        <f>'Resumen Eje Egreso'!F18</f>
        <v>398275146846.52997</v>
      </c>
      <c r="H39" s="27">
        <f>'Resumen Eje Egreso'!G18</f>
        <v>391610440091.98999</v>
      </c>
    </row>
    <row r="40" spans="2:9" x14ac:dyDescent="0.25">
      <c r="D40" s="27">
        <f>D38-D39</f>
        <v>0</v>
      </c>
      <c r="E40" s="27">
        <f t="shared" ref="E40:H40" si="1">E38-E39</f>
        <v>0</v>
      </c>
      <c r="F40" s="27">
        <f t="shared" si="1"/>
        <v>0</v>
      </c>
      <c r="G40" s="27">
        <f t="shared" si="1"/>
        <v>0</v>
      </c>
      <c r="H40" s="27">
        <f t="shared" si="1"/>
        <v>0</v>
      </c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8:O69"/>
  <sheetViews>
    <sheetView showGridLines="0" showRowColHeaders="0" zoomScaleNormal="100" workbookViewId="0">
      <selection activeCell="K4" sqref="K4"/>
    </sheetView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3.140625" bestFit="1" customWidth="1"/>
  </cols>
  <sheetData>
    <row r="8" spans="2:10" x14ac:dyDescent="0.25">
      <c r="B8" s="4" t="s">
        <v>5</v>
      </c>
      <c r="C8" t="s">
        <v>18</v>
      </c>
      <c r="D8" t="s">
        <v>41</v>
      </c>
      <c r="E8" t="s">
        <v>16</v>
      </c>
      <c r="F8" t="s">
        <v>17</v>
      </c>
    </row>
    <row r="9" spans="2:10" x14ac:dyDescent="0.25">
      <c r="B9" s="2" t="s">
        <v>24</v>
      </c>
      <c r="C9" s="19">
        <v>99785.985369999995</v>
      </c>
      <c r="D9" s="19">
        <v>78550.677418410007</v>
      </c>
      <c r="E9" s="19">
        <v>76517.35834834</v>
      </c>
      <c r="F9" s="19">
        <v>73525.237534330008</v>
      </c>
    </row>
    <row r="10" spans="2:10" x14ac:dyDescent="0.25">
      <c r="B10" s="2" t="s">
        <v>25</v>
      </c>
      <c r="C10" s="19">
        <v>1167604.3350470001</v>
      </c>
      <c r="D10" s="19">
        <v>954990.752829</v>
      </c>
      <c r="E10" s="19">
        <v>954990.752829</v>
      </c>
      <c r="F10" s="19">
        <v>954990.752829</v>
      </c>
    </row>
    <row r="11" spans="2:10" x14ac:dyDescent="0.25">
      <c r="B11" s="2" t="s">
        <v>26</v>
      </c>
      <c r="C11" s="19">
        <v>4505182.0250120005</v>
      </c>
      <c r="D11" s="19">
        <v>4439873.9795468505</v>
      </c>
      <c r="E11" s="19">
        <v>398275.14684652997</v>
      </c>
      <c r="F11" s="19">
        <v>391610.44009198999</v>
      </c>
    </row>
    <row r="12" spans="2:10" x14ac:dyDescent="0.25">
      <c r="B12" s="2" t="s">
        <v>6</v>
      </c>
      <c r="C12" s="19">
        <v>5772572.3454290004</v>
      </c>
      <c r="D12" s="19">
        <v>5473415.4097942607</v>
      </c>
      <c r="E12" s="19">
        <v>1429783.2580238699</v>
      </c>
      <c r="F12" s="19">
        <v>1420126.43045532</v>
      </c>
      <c r="G12" s="102" t="s">
        <v>94</v>
      </c>
      <c r="H12" s="5"/>
      <c r="J12" s="5"/>
    </row>
    <row r="18" spans="1:1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5"/>
      <c r="O23" s="76"/>
    </row>
    <row r="24" spans="1: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5"/>
    </row>
    <row r="25" spans="1: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16"/>
      <c r="K41" s="16"/>
      <c r="L41" s="16"/>
      <c r="M41" s="16"/>
      <c r="N41" s="16"/>
    </row>
    <row r="42" spans="1:14" hidden="1" outlineLevel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10"/>
      <c r="K42" s="10"/>
      <c r="L42" s="16"/>
      <c r="M42" s="16"/>
      <c r="N42" s="16"/>
    </row>
    <row r="43" spans="1:14" s="10" customFormat="1" hidden="1" outlineLevel="1" x14ac:dyDescent="0.25">
      <c r="A43" s="26"/>
      <c r="B43" s="77" t="s">
        <v>5</v>
      </c>
      <c r="C43" s="77" t="s">
        <v>18</v>
      </c>
      <c r="D43" s="77" t="s">
        <v>41</v>
      </c>
      <c r="E43" s="77" t="s">
        <v>16</v>
      </c>
      <c r="F43" s="77" t="s">
        <v>17</v>
      </c>
      <c r="G43" s="26"/>
      <c r="H43" s="26"/>
      <c r="I43" s="26"/>
      <c r="L43"/>
      <c r="M43"/>
      <c r="N43"/>
    </row>
    <row r="44" spans="1:14" s="10" customFormat="1" hidden="1" outlineLevel="1" x14ac:dyDescent="0.25">
      <c r="A44" s="26"/>
      <c r="B44" s="78" t="s">
        <v>24</v>
      </c>
      <c r="C44" s="79">
        <f>+GETPIVOTDATA("APROPIACION",$B$8,"DESCRIPCION","A-FUNCIONAMIENTO")</f>
        <v>99785.985369999995</v>
      </c>
      <c r="D44" s="80">
        <f>+GETPIVOTDATA("COMPROMISOS",$B$8,"DESCRIPCION","A-FUNCIONAMIENTO")/C44</f>
        <v>0.78719147911552068</v>
      </c>
      <c r="E44" s="80">
        <f>+GETPIVOTDATA(" OBLIGACIONES",$B$8,"DESCRIPCION","A-FUNCIONAMIENTO")/C44</f>
        <v>0.76681467908162226</v>
      </c>
      <c r="F44" s="80">
        <f>+GETPIVOTDATA(" PAGOS",$B$8,"DESCRIPCION","A-FUNCIONAMIENTO")/GETPIVOTDATA("APROPIACION",$B$8,"DESCRIPCION","A-FUNCIONAMIENTO")</f>
        <v>0.73682929783880147</v>
      </c>
      <c r="G44" s="26"/>
      <c r="H44" s="26"/>
      <c r="I44" s="26"/>
      <c r="L44"/>
      <c r="M44"/>
      <c r="N44"/>
    </row>
    <row r="45" spans="1:14" s="10" customFormat="1" hidden="1" outlineLevel="1" x14ac:dyDescent="0.25">
      <c r="A45" s="26"/>
      <c r="B45" s="78" t="s">
        <v>25</v>
      </c>
      <c r="C45" s="79">
        <f>+GETPIVOTDATA("APROPIACION",$B$8,"DESCRIPCION","B-SERVICIO DE LA DEUDA PÚBLICA")</f>
        <v>1167604.3350470001</v>
      </c>
      <c r="D45" s="80">
        <f>+GETPIVOTDATA("COMPROMISOS",$B$8,"DESCRIPCION","B-SERVICIO DE LA DEUDA PÚBLICA")/C45</f>
        <v>0.81790613837568382</v>
      </c>
      <c r="E45" s="80">
        <f>+GETPIVOTDATA(" OBLIGACIONES",$B$8,"DESCRIPCION","B-SERVICIO DE LA DEUDA PÚBLICA")/GETPIVOTDATA("APROPIACION",$B$8,"DESCRIPCION","B-SERVICIO DE LA DEUDA PÚBLICA")</f>
        <v>0.81790613837568382</v>
      </c>
      <c r="F45" s="80">
        <f>+GETPIVOTDATA(" PAGOS",$B$8,"DESCRIPCION","B-SERVICIO DE LA DEUDA PÚBLICA")/GETPIVOTDATA("APROPIACION",$B$8,"DESCRIPCION","B-SERVICIO DE LA DEUDA PÚBLICA")</f>
        <v>0.81790613837568382</v>
      </c>
      <c r="G45" s="26"/>
      <c r="H45" s="88"/>
      <c r="I45" s="26"/>
      <c r="L45" s="76"/>
      <c r="M45" s="76"/>
      <c r="N45" s="76"/>
    </row>
    <row r="46" spans="1:14" s="10" customFormat="1" hidden="1" outlineLevel="1" x14ac:dyDescent="0.25">
      <c r="A46" s="26"/>
      <c r="B46" s="78" t="s">
        <v>26</v>
      </c>
      <c r="C46" s="81">
        <f>+GETPIVOTDATA("APROPIACION",$B$8,"DESCRIPCION","C- INVERSION")</f>
        <v>4505182.0250120005</v>
      </c>
      <c r="D46" s="80">
        <f>+GETPIVOTDATA("COMPROMISOS",$B$8,"DESCRIPCION","C- INVERSION")/C46</f>
        <v>0.98550379427455526</v>
      </c>
      <c r="E46" s="80">
        <f>+GETPIVOTDATA(" OBLIGACIONES",$B$8,"DESCRIPCION","C- INVERSION")/GETPIVOTDATA("APROPIACION",$B$8,"DESCRIPCION","C- INVERSION")</f>
        <v>8.8403785826049741E-2</v>
      </c>
      <c r="F46" s="80">
        <f>+GETPIVOTDATA(" PAGOS",$B$8,"DESCRIPCION","C- INVERSION")/GETPIVOTDATA("APROPIACION",$B$8,"DESCRIPCION","C- INVERSION")</f>
        <v>8.692444343376933E-2</v>
      </c>
      <c r="G46" s="26"/>
      <c r="H46" s="26"/>
      <c r="I46" s="26"/>
      <c r="L46"/>
      <c r="M46"/>
      <c r="N46"/>
    </row>
    <row r="47" spans="1:14" s="10" customFormat="1" hidden="1" outlineLevel="1" x14ac:dyDescent="0.25">
      <c r="A47" s="26"/>
      <c r="B47" s="82" t="s">
        <v>6</v>
      </c>
      <c r="C47" s="83">
        <f>+GETPIVOTDATA("APROPIACION",$B$8)</f>
        <v>5772572.3454290004</v>
      </c>
      <c r="D47" s="89">
        <f>+GETPIVOTDATA("COMPROMISOS",$B$8)/GETPIVOTDATA("APROPIACION",$B$8)</f>
        <v>0.94817614787077953</v>
      </c>
      <c r="E47" s="89">
        <f>+GETPIVOTDATA(" OBLIGACIONES",$B$8)/GETPIVOTDATA("APROPIACION",$B$8)</f>
        <v>0.2476856369164504</v>
      </c>
      <c r="F47" s="89">
        <f>+GETPIVOTDATA(" PAGOS",$B$8)/GETPIVOTDATA("APROPIACION",$B$8)</f>
        <v>0.24601275574828338</v>
      </c>
      <c r="G47" s="26"/>
      <c r="H47" s="26"/>
      <c r="I47" s="26"/>
      <c r="L47"/>
      <c r="M47"/>
      <c r="N47"/>
    </row>
    <row r="48" spans="1:14" s="10" customFormat="1" hidden="1" outlineLevel="1" x14ac:dyDescent="0.25">
      <c r="A48" s="26"/>
      <c r="B48" s="26"/>
      <c r="C48" s="26"/>
      <c r="D48" s="26"/>
      <c r="E48" s="26"/>
      <c r="F48" s="26"/>
      <c r="G48" s="26"/>
      <c r="H48" s="26"/>
      <c r="I48" s="26"/>
      <c r="L48" s="9"/>
      <c r="M48" s="9"/>
      <c r="N48" s="9"/>
    </row>
    <row r="49" spans="1:11" hidden="1" outlineLevel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10"/>
      <c r="K49" s="10"/>
    </row>
    <row r="50" spans="1:11" hidden="1" outlineLevel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10"/>
      <c r="K50" s="10"/>
    </row>
    <row r="51" spans="1:11" hidden="1" outlineLevel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10"/>
      <c r="K51" s="10"/>
    </row>
    <row r="52" spans="1:11" hidden="1" outlineLevel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10"/>
      <c r="K52" s="10"/>
    </row>
    <row r="53" spans="1:11" hidden="1" outlineLevel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1" hidden="1" outlineLevel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1" hidden="1" outlineLevel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1" hidden="1" outlineLevel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10"/>
      <c r="K56" s="10"/>
    </row>
    <row r="57" spans="1:11" hidden="1" outlineLevel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10"/>
      <c r="K57" s="10"/>
    </row>
    <row r="58" spans="1:11" hidden="1" outlineLevel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10"/>
      <c r="K58" s="10"/>
    </row>
    <row r="59" spans="1:11" collapsed="1" x14ac:dyDescent="0.25">
      <c r="A59" s="26"/>
      <c r="B59" s="26"/>
      <c r="C59" s="26"/>
      <c r="D59" s="26"/>
      <c r="E59" s="26"/>
      <c r="F59" s="26"/>
      <c r="G59" s="26"/>
      <c r="H59" s="26"/>
      <c r="I59" s="26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0"/>
    </row>
    <row r="63" spans="1:1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10"/>
    </row>
    <row r="64" spans="1:11" x14ac:dyDescent="0.25">
      <c r="A64" s="26"/>
      <c r="B64" s="26"/>
      <c r="C64" s="26"/>
      <c r="D64" s="26"/>
      <c r="E64" s="26"/>
      <c r="F64" s="26"/>
      <c r="G64" s="26"/>
      <c r="H64" s="26"/>
      <c r="I64" s="26"/>
    </row>
    <row r="65" spans="1:9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9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9" x14ac:dyDescent="0.25">
      <c r="A67" s="26"/>
      <c r="B67" s="26"/>
      <c r="C67" s="26"/>
      <c r="D67" s="26"/>
      <c r="E67" s="26"/>
      <c r="F67" s="26"/>
      <c r="G67" s="26"/>
      <c r="H67" s="26"/>
      <c r="I67" s="26"/>
    </row>
    <row r="68" spans="1:9" x14ac:dyDescent="0.25">
      <c r="A68" s="26"/>
      <c r="B68" s="26"/>
      <c r="C68" s="26"/>
      <c r="D68" s="26"/>
      <c r="E68" s="26"/>
      <c r="F68" s="26"/>
      <c r="G68" s="26"/>
      <c r="H68" s="26"/>
      <c r="I68" s="26"/>
    </row>
    <row r="69" spans="1:9" x14ac:dyDescent="0.25">
      <c r="A69" s="26"/>
      <c r="B69" s="26"/>
      <c r="C69" s="26"/>
      <c r="D69" s="26"/>
      <c r="E69" s="26"/>
      <c r="F69" s="26"/>
      <c r="G69" s="26"/>
      <c r="H69" s="26"/>
      <c r="I69" s="26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B8:L55"/>
  <sheetViews>
    <sheetView showGridLines="0" showRowColHeaders="0" zoomScaleNormal="100" workbookViewId="0"/>
  </sheetViews>
  <sheetFormatPr baseColWidth="10" defaultRowHeight="15" outlineLevelRow="1" x14ac:dyDescent="0.25"/>
  <cols>
    <col min="1" max="1" width="5.85546875" customWidth="1"/>
    <col min="2" max="2" width="7.42578125" customWidth="1"/>
    <col min="3" max="3" width="47.7109375" bestFit="1" customWidth="1"/>
    <col min="4" max="4" width="14" bestFit="1" customWidth="1"/>
    <col min="5" max="5" width="15.42578125" bestFit="1" customWidth="1"/>
    <col min="6" max="6" width="14.7109375" bestFit="1" customWidth="1"/>
    <col min="7" max="7" width="14.42578125" bestFit="1" customWidth="1"/>
  </cols>
  <sheetData>
    <row r="8" spans="3:8" ht="30" x14ac:dyDescent="0.25">
      <c r="C8" s="4" t="s">
        <v>5</v>
      </c>
      <c r="D8" s="14" t="s">
        <v>19</v>
      </c>
      <c r="E8" s="14" t="s">
        <v>12</v>
      </c>
      <c r="F8" s="14" t="s">
        <v>13</v>
      </c>
      <c r="G8" s="14" t="s">
        <v>15</v>
      </c>
    </row>
    <row r="9" spans="3:8" x14ac:dyDescent="0.25">
      <c r="C9" s="2" t="s">
        <v>27</v>
      </c>
      <c r="D9" s="19">
        <v>56308.670080000004</v>
      </c>
      <c r="E9" s="19">
        <v>46540.152865190001</v>
      </c>
      <c r="F9" s="19">
        <v>46540.152865190001</v>
      </c>
      <c r="G9" s="19">
        <v>43609.40434719</v>
      </c>
    </row>
    <row r="10" spans="3:8" x14ac:dyDescent="0.25">
      <c r="C10" s="2" t="s">
        <v>28</v>
      </c>
      <c r="D10" s="19">
        <v>19419.071</v>
      </c>
      <c r="E10" s="19">
        <v>16984.168386580001</v>
      </c>
      <c r="F10" s="19">
        <v>14997.46443951</v>
      </c>
      <c r="G10" s="19">
        <v>14936.0921435</v>
      </c>
    </row>
    <row r="11" spans="3:8" x14ac:dyDescent="0.25">
      <c r="C11" s="2" t="s">
        <v>29</v>
      </c>
      <c r="D11" s="19">
        <v>10006.772290000001</v>
      </c>
      <c r="E11" s="19">
        <v>2874.9248986399998</v>
      </c>
      <c r="F11" s="19">
        <v>2828.3097756399998</v>
      </c>
      <c r="G11" s="19">
        <v>2828.3097756399998</v>
      </c>
    </row>
    <row r="12" spans="3:8" ht="30" x14ac:dyDescent="0.25">
      <c r="C12" s="11" t="s">
        <v>30</v>
      </c>
      <c r="D12" s="19">
        <v>14051.472</v>
      </c>
      <c r="E12" s="19">
        <v>12151.431268</v>
      </c>
      <c r="F12" s="19">
        <v>12151.431268</v>
      </c>
      <c r="G12" s="19">
        <v>12151.431268</v>
      </c>
    </row>
    <row r="13" spans="3:8" x14ac:dyDescent="0.25">
      <c r="C13" s="2" t="s">
        <v>6</v>
      </c>
      <c r="D13" s="19">
        <v>99785.985369999995</v>
      </c>
      <c r="E13" s="19">
        <v>78550.677418410007</v>
      </c>
      <c r="F13" s="19">
        <v>76517.35834834</v>
      </c>
      <c r="G13" s="19">
        <v>73525.237534329994</v>
      </c>
      <c r="H13" s="102" t="s">
        <v>94</v>
      </c>
    </row>
    <row r="18" spans="3:7" x14ac:dyDescent="0.25">
      <c r="C18" s="13"/>
      <c r="D18" s="13"/>
      <c r="E18" s="13"/>
      <c r="F18" s="13"/>
      <c r="G18" s="13"/>
    </row>
    <row r="19" spans="3:7" x14ac:dyDescent="0.25">
      <c r="C19" s="13"/>
      <c r="D19" s="13"/>
      <c r="E19" s="13"/>
      <c r="F19" s="13"/>
      <c r="G19" s="13"/>
    </row>
    <row r="20" spans="3:7" x14ac:dyDescent="0.25">
      <c r="C20" s="13"/>
      <c r="D20" s="13"/>
      <c r="E20" s="13"/>
      <c r="F20" s="13"/>
      <c r="G20" s="13"/>
    </row>
    <row r="21" spans="3:7" x14ac:dyDescent="0.25">
      <c r="C21" s="13"/>
      <c r="D21" s="13"/>
      <c r="E21" s="13"/>
      <c r="F21" s="13"/>
      <c r="G21" s="13"/>
    </row>
    <row r="22" spans="3:7" x14ac:dyDescent="0.25">
      <c r="C22" s="13"/>
      <c r="D22" s="13"/>
      <c r="E22" s="13"/>
      <c r="F22" s="13"/>
      <c r="G22" s="13"/>
    </row>
    <row r="23" spans="3:7" x14ac:dyDescent="0.25">
      <c r="C23" s="13"/>
      <c r="D23" s="13"/>
      <c r="E23" s="13"/>
      <c r="F23" s="13"/>
      <c r="G23" s="13"/>
    </row>
    <row r="24" spans="3:7" x14ac:dyDescent="0.25">
      <c r="C24" s="13"/>
      <c r="D24" s="13"/>
      <c r="E24" s="13"/>
      <c r="F24" s="13"/>
      <c r="G24" s="13"/>
    </row>
    <row r="25" spans="3:7" x14ac:dyDescent="0.25">
      <c r="C25" s="13"/>
      <c r="D25" s="13"/>
      <c r="E25" s="13"/>
      <c r="F25" s="13"/>
      <c r="G25" s="13"/>
    </row>
    <row r="26" spans="3:7" x14ac:dyDescent="0.25">
      <c r="C26" s="13"/>
      <c r="D26" s="13"/>
      <c r="E26" s="13"/>
      <c r="F26" s="13"/>
      <c r="G26" s="13"/>
    </row>
    <row r="27" spans="3:7" x14ac:dyDescent="0.25">
      <c r="C27" s="13"/>
      <c r="D27" s="13"/>
      <c r="E27" s="13"/>
      <c r="F27" s="13"/>
      <c r="G27" s="13"/>
    </row>
    <row r="28" spans="3:7" x14ac:dyDescent="0.25">
      <c r="C28" s="13"/>
      <c r="D28" s="13"/>
      <c r="E28" s="13"/>
      <c r="F28" s="13"/>
      <c r="G28" s="13"/>
    </row>
    <row r="29" spans="3:7" x14ac:dyDescent="0.25">
      <c r="C29" s="13"/>
      <c r="D29" s="13"/>
      <c r="E29" s="13"/>
      <c r="F29" s="13"/>
      <c r="G29" s="13"/>
    </row>
    <row r="30" spans="3:7" x14ac:dyDescent="0.25">
      <c r="C30" s="13"/>
      <c r="D30" s="13"/>
      <c r="E30" s="13"/>
      <c r="F30" s="13"/>
      <c r="G30" s="13"/>
    </row>
    <row r="31" spans="3:7" x14ac:dyDescent="0.25">
      <c r="C31" s="13"/>
      <c r="D31" s="13"/>
      <c r="E31" s="13"/>
      <c r="F31" s="13"/>
      <c r="G31" s="13"/>
    </row>
    <row r="32" spans="3:7" x14ac:dyDescent="0.25">
      <c r="C32" s="13"/>
      <c r="D32" s="13"/>
      <c r="E32" s="13"/>
      <c r="F32" s="13"/>
      <c r="G32" s="13"/>
    </row>
    <row r="33" spans="2:12" x14ac:dyDescent="0.25">
      <c r="C33" s="13"/>
      <c r="D33" s="13"/>
      <c r="E33" s="13"/>
      <c r="F33" s="13"/>
      <c r="G33" s="13"/>
    </row>
    <row r="34" spans="2:12" x14ac:dyDescent="0.25">
      <c r="C34" s="13"/>
      <c r="D34" s="13"/>
      <c r="E34" s="13"/>
      <c r="F34" s="13"/>
      <c r="G34" s="13"/>
    </row>
    <row r="35" spans="2:12" x14ac:dyDescent="0.25">
      <c r="C35" s="13"/>
      <c r="D35" s="13"/>
      <c r="E35" s="13"/>
      <c r="F35" s="13"/>
      <c r="G35" s="13"/>
    </row>
    <row r="36" spans="2:12" x14ac:dyDescent="0.25">
      <c r="C36" s="13"/>
      <c r="D36" s="13"/>
      <c r="E36" s="13"/>
      <c r="F36" s="13"/>
      <c r="G36" s="13"/>
    </row>
    <row r="37" spans="2:12" x14ac:dyDescent="0.25">
      <c r="C37" s="13"/>
      <c r="D37" s="13"/>
      <c r="E37" s="13"/>
      <c r="F37" s="13"/>
      <c r="G37" s="13"/>
    </row>
    <row r="38" spans="2:12" x14ac:dyDescent="0.25">
      <c r="C38" s="13"/>
      <c r="D38" s="13"/>
      <c r="E38" s="13"/>
      <c r="F38" s="13"/>
      <c r="G38" s="13"/>
    </row>
    <row r="39" spans="2:12" x14ac:dyDescent="0.25">
      <c r="C39" s="13"/>
      <c r="D39" s="13"/>
      <c r="E39" s="13"/>
      <c r="F39" s="13"/>
      <c r="G39" s="13"/>
    </row>
    <row r="40" spans="2:12" x14ac:dyDescent="0.25">
      <c r="C40" s="13"/>
      <c r="D40" s="13"/>
      <c r="E40" s="13"/>
      <c r="F40" s="13"/>
      <c r="G40" s="13"/>
    </row>
    <row r="41" spans="2:12" x14ac:dyDescent="0.25">
      <c r="C41" s="13"/>
      <c r="D41" s="13"/>
      <c r="E41" s="13"/>
      <c r="F41" s="13"/>
      <c r="G41" s="13"/>
    </row>
    <row r="42" spans="2:12" x14ac:dyDescent="0.25">
      <c r="C42" s="13"/>
      <c r="D42" s="13"/>
      <c r="E42" s="13"/>
      <c r="F42" s="13"/>
      <c r="G42" s="13"/>
    </row>
    <row r="43" spans="2:12" x14ac:dyDescent="0.25">
      <c r="C43" s="13"/>
      <c r="D43" s="13"/>
      <c r="E43" s="13"/>
      <c r="F43" s="13"/>
      <c r="G43" s="13"/>
    </row>
    <row r="44" spans="2:12" x14ac:dyDescent="0.25">
      <c r="C44" s="10"/>
      <c r="D44" s="10"/>
      <c r="E44" s="10"/>
      <c r="F44" s="10"/>
      <c r="G44" s="9"/>
      <c r="H44" s="9"/>
      <c r="I44" s="9"/>
    </row>
    <row r="45" spans="2:12" x14ac:dyDescent="0.25">
      <c r="C45" s="10" t="s">
        <v>5</v>
      </c>
      <c r="D45" s="10" t="s">
        <v>19</v>
      </c>
      <c r="E45" s="10" t="s">
        <v>12</v>
      </c>
      <c r="F45" s="10" t="s">
        <v>13</v>
      </c>
      <c r="G45" s="10" t="s">
        <v>15</v>
      </c>
      <c r="H45" s="10"/>
      <c r="I45" s="9"/>
    </row>
    <row r="46" spans="2:12" hidden="1" outlineLevel="1" x14ac:dyDescent="0.25">
      <c r="B46" s="26"/>
      <c r="C46" s="84" t="s">
        <v>27</v>
      </c>
      <c r="D46" s="84">
        <f>+GETPIVOTDATA(" APROPIACION
 VIGENTE",$C$8,"DESCRIPCION","A-01 -GASTOS DE PERSONAL")</f>
        <v>56308.670080000004</v>
      </c>
      <c r="E46" s="85">
        <f>+GETPIVOTDATA(" COMPROMISOS
 ACUMULADOS",$C$8,"DESCRIPCION","A-01 -GASTOS DE PERSONAL")/GETPIVOTDATA(" APROPIACION
 VIGENTE",$C$8,"DESCRIPCION","A-01 -GASTOS DE PERSONAL")</f>
        <v>0.82651841712952068</v>
      </c>
      <c r="F46" s="85">
        <f>+GETPIVOTDATA(" OBLIGACIONES
 ACUMULADAS",$C$8,"DESCRIPCION","A-01 -GASTOS DE PERSONAL")/GETPIVOTDATA(" APROPIACION
 VIGENTE",$C$8,"DESCRIPCION","A-01 -GASTOS DE PERSONAL")</f>
        <v>0.82651841712952068</v>
      </c>
      <c r="G46" s="85">
        <f>+GETPIVOTDATA(" PAGOS
 ACUMULADOS",$C$8,"DESCRIPCION","A-01 -GASTOS DE PERSONAL")/GETPIVOTDATA(" APROPIACION
 VIGENTE",$C$8,"DESCRIPCION","A-01 -GASTOS DE PERSONAL")</f>
        <v>0.77447050845335819</v>
      </c>
      <c r="H46" s="13"/>
      <c r="I46" s="13"/>
      <c r="J46" s="13"/>
      <c r="K46" s="13"/>
      <c r="L46" s="13"/>
    </row>
    <row r="47" spans="2:12" hidden="1" outlineLevel="1" x14ac:dyDescent="0.25">
      <c r="B47" s="26"/>
      <c r="C47" s="84" t="s">
        <v>28</v>
      </c>
      <c r="D47" s="84">
        <f>+GETPIVOTDATA(" APROPIACION
 VIGENTE",$C$8,"DESCRIPCION","A-02 -ADQUISICIÓN DE BIENES  Y SERVICIOS")</f>
        <v>19419.071</v>
      </c>
      <c r="E47" s="85">
        <f>+GETPIVOTDATA(" COMPROMISOS
 ACUMULADOS",$C$8,"DESCRIPCION","A-02 -ADQUISICIÓN DE BIENES  Y SERVICIOS")/GETPIVOTDATA(" APROPIACION
 VIGENTE",$C$8,"DESCRIPCION","A-02 -ADQUISICIÓN DE BIENES  Y SERVICIOS")</f>
        <v>0.87461281678098812</v>
      </c>
      <c r="F47" s="85">
        <f>+GETPIVOTDATA(" OBLIGACIONES
 ACUMULADAS",$C$8,"DESCRIPCION","A-02 -ADQUISICIÓN DE BIENES  Y SERVICIOS")/GETPIVOTDATA(" APROPIACION
 VIGENTE",$C$8,"DESCRIPCION","A-02 -ADQUISICIÓN DE BIENES  Y SERVICIOS")</f>
        <v>0.77230596867944923</v>
      </c>
      <c r="G47" s="85">
        <f>+GETPIVOTDATA(" PAGOS
 ACUMULADOS",$C$8,"DESCRIPCION","A-02 -ADQUISICIÓN DE BIENES  Y SERVICIOS")/GETPIVOTDATA(" APROPIACION
 VIGENTE",$C$8,"DESCRIPCION","A-02 -ADQUISICIÓN DE BIENES  Y SERVICIOS")</f>
        <v>0.76914555508345384</v>
      </c>
      <c r="H47" s="13"/>
      <c r="I47" s="13"/>
      <c r="J47" s="13"/>
      <c r="K47" s="13"/>
      <c r="L47" s="13"/>
    </row>
    <row r="48" spans="2:12" hidden="1" outlineLevel="1" x14ac:dyDescent="0.25">
      <c r="B48" s="26"/>
      <c r="C48" s="84" t="s">
        <v>29</v>
      </c>
      <c r="D48" s="84">
        <f>+GETPIVOTDATA(" APROPIACION
 VIGENTE",$C$8,"DESCRIPCION","A-03-TRANSFERENCIAS CORRIENTES")</f>
        <v>10006.772290000001</v>
      </c>
      <c r="E48" s="85">
        <f>+GETPIVOTDATA(" COMPROMISOS
 ACUMULADOS",$C$8,"DESCRIPCION","A-03-TRANSFERENCIAS CORRIENTES")/GETPIVOTDATA(" APROPIACION
 VIGENTE",$C$8,"DESCRIPCION","A-03-TRANSFERENCIAS CORRIENTES")</f>
        <v>0.28729792337864818</v>
      </c>
      <c r="F48" s="85">
        <f>+GETPIVOTDATA(" OBLIGACIONES
 ACUMULADAS",$C$8,"DESCRIPCION","A-03-TRANSFERENCIAS CORRIENTES")/GETPIVOTDATA(" APROPIACION
 VIGENTE",$C$8,"DESCRIPCION","A-03-TRANSFERENCIAS CORRIENTES")</f>
        <v>0.28263956585345656</v>
      </c>
      <c r="G48" s="85">
        <f>+GETPIVOTDATA(" PAGOS
 ACUMULADOS",$C$8,"DESCRIPCION","A-03-TRANSFERENCIAS CORRIENTES")/GETPIVOTDATA(" APROPIACION
 VIGENTE",$C$8,"DESCRIPCION","A-03-TRANSFERENCIAS CORRIENTES")</f>
        <v>0.28263956585345656</v>
      </c>
      <c r="H48" s="13"/>
      <c r="I48" s="13"/>
      <c r="J48" s="13"/>
      <c r="K48" s="13"/>
      <c r="L48" s="13"/>
    </row>
    <row r="49" spans="2:12" hidden="1" outlineLevel="1" x14ac:dyDescent="0.25">
      <c r="B49" s="26"/>
      <c r="C49" s="84" t="s">
        <v>30</v>
      </c>
      <c r="D49" s="84">
        <f>+GETPIVOTDATA(" APROPIACION
 VIGENTE",$C$8,"DESCRIPCION","A-08-GASTOS POR TRIBUTOS, MULTAS, SANCIONES E INTERESES DE MORA")</f>
        <v>14051.472</v>
      </c>
      <c r="E49" s="85">
        <f>+GETPIVOTDATA(" COMPROMISOS
 ACUMULADOS",$C$8,"DESCRIPCION","A-08-GASTOS POR TRIBUTOS, MULTAS, SANCIONES E INTERESES DE MORA")/GETPIVOTDATA(" APROPIACION
 VIGENTE",$C$8,"DESCRIPCION","A-08-GASTOS POR TRIBUTOS, MULTAS, SANCIONES E INTERESES DE MORA")</f>
        <v>0.86477995102577154</v>
      </c>
      <c r="F49" s="85">
        <f>+GETPIVOTDATA(" OBLIGACIONES
 ACUMULADAS",$C$8,"DESCRIPCION","A-08-GASTOS POR TRIBUTOS, MULTAS, SANCIONES E INTERESES DE MORA")/GETPIVOTDATA(" APROPIACION
 VIGENTE",$C$8,"DESCRIPCION","A-08-GASTOS POR TRIBUTOS, MULTAS, SANCIONES E INTERESES DE MORA")</f>
        <v>0.86477995102577154</v>
      </c>
      <c r="G49" s="85">
        <f>+GETPIVOTDATA(" PAGOS
 ACUMULADOS",$C$8,"DESCRIPCION","A-08-GASTOS POR TRIBUTOS, MULTAS, SANCIONES E INTERESES DE MORA")/GETPIVOTDATA(" APROPIACION
 VIGENTE",$C$8,"DESCRIPCION","A-08-GASTOS POR TRIBUTOS, MULTAS, SANCIONES E INTERESES DE MORA")</f>
        <v>0.86477995102577154</v>
      </c>
      <c r="H49" s="13"/>
      <c r="I49" s="13"/>
      <c r="J49" s="13"/>
      <c r="K49" s="13"/>
      <c r="L49" s="13"/>
    </row>
    <row r="50" spans="2:12" hidden="1" outlineLevel="1" x14ac:dyDescent="0.25">
      <c r="B50" s="26"/>
      <c r="C50" s="77" t="s">
        <v>6</v>
      </c>
      <c r="D50" s="77">
        <f>+GETPIVOTDATA(" APROPIACION
 VIGENTE",$C$8)</f>
        <v>99785.985369999995</v>
      </c>
      <c r="E50" s="87">
        <f>+GETPIVOTDATA(" COMPROMISOS
 ACUMULADOS",$C$8)/GETPIVOTDATA(" APROPIACION
 VIGENTE",$C$8)</f>
        <v>0.78719147911552068</v>
      </c>
      <c r="F50" s="87">
        <f>+GETPIVOTDATA(" OBLIGACIONES
 ACUMULADAS",$C$8)/GETPIVOTDATA(" APROPIACION
 VIGENTE",$C$8)</f>
        <v>0.76681467908162226</v>
      </c>
      <c r="G50" s="87">
        <f>+GETPIVOTDATA(" PAGOS
 ACUMULADOS",$C$8)/GETPIVOTDATA(" APROPIACION
 VIGENTE",$C$8)</f>
        <v>0.73682929783880124</v>
      </c>
      <c r="H50" s="86"/>
      <c r="I50" s="13"/>
      <c r="J50" s="13"/>
      <c r="K50" s="13"/>
      <c r="L50" s="13"/>
    </row>
    <row r="51" spans="2:12" collapsed="1" x14ac:dyDescent="0.25">
      <c r="B51" s="26"/>
      <c r="C51" s="26"/>
      <c r="D51" s="26"/>
      <c r="E51" s="26"/>
      <c r="F51" s="26"/>
    </row>
    <row r="52" spans="2:12" x14ac:dyDescent="0.25">
      <c r="B52" s="26"/>
      <c r="C52" s="26"/>
      <c r="D52" s="26"/>
      <c r="E52" s="26"/>
      <c r="F52" s="26"/>
    </row>
    <row r="55" spans="2:12" x14ac:dyDescent="0.25">
      <c r="B55" s="9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7:F42"/>
  <sheetViews>
    <sheetView showGridLines="0" showRowColHeaders="0" workbookViewId="0"/>
  </sheetViews>
  <sheetFormatPr baseColWidth="10" defaultRowHeight="15" x14ac:dyDescent="0.25"/>
  <cols>
    <col min="1" max="1" width="5.5703125" customWidth="1"/>
    <col min="2" max="3" width="18" bestFit="1" customWidth="1"/>
    <col min="4" max="4" width="21.28515625" bestFit="1" customWidth="1"/>
    <col min="5" max="5" width="15.42578125" bestFit="1" customWidth="1"/>
    <col min="6" max="6" width="22.5703125" bestFit="1" customWidth="1"/>
  </cols>
  <sheetData>
    <row r="7" spans="2:6" x14ac:dyDescent="0.25">
      <c r="B7" s="8" t="s">
        <v>1</v>
      </c>
      <c r="C7" s="7" t="s">
        <v>136</v>
      </c>
    </row>
    <row r="9" spans="2:6" x14ac:dyDescent="0.25">
      <c r="B9" t="s">
        <v>141</v>
      </c>
      <c r="C9" t="s">
        <v>142</v>
      </c>
      <c r="D9" t="s">
        <v>143</v>
      </c>
      <c r="E9" t="s">
        <v>144</v>
      </c>
    </row>
    <row r="10" spans="2:6" x14ac:dyDescent="0.25">
      <c r="B10" s="101">
        <v>4505182025012</v>
      </c>
      <c r="C10" s="101">
        <v>4439873979546.8506</v>
      </c>
      <c r="D10" s="101">
        <v>398275146846.52997</v>
      </c>
      <c r="E10" s="101">
        <v>391610440091.98999</v>
      </c>
      <c r="F10" s="102" t="s">
        <v>94</v>
      </c>
    </row>
    <row r="12" spans="2:6" x14ac:dyDescent="0.25">
      <c r="B12" s="15"/>
      <c r="F12" s="1"/>
    </row>
    <row r="15" spans="2:6" x14ac:dyDescent="0.25">
      <c r="E15" s="5"/>
    </row>
    <row r="39" spans="2:6" ht="52.5" customHeight="1" x14ac:dyDescent="0.25"/>
    <row r="40" spans="2:6" x14ac:dyDescent="0.25">
      <c r="D40" s="6"/>
    </row>
    <row r="41" spans="2:6" ht="15" customHeight="1" x14ac:dyDescent="0.25">
      <c r="B41" s="105" t="str">
        <f>+CONCATENATE("PROYECTO","  ",C7)</f>
        <v>PROYECTO  (Todas)</v>
      </c>
      <c r="C41" s="105"/>
      <c r="D41" s="105"/>
      <c r="E41" s="105"/>
      <c r="F41" s="105"/>
    </row>
    <row r="42" spans="2:6" x14ac:dyDescent="0.25">
      <c r="B42" s="105"/>
      <c r="C42" s="105"/>
      <c r="D42" s="105"/>
      <c r="E42" s="105"/>
      <c r="F42" s="105"/>
    </row>
  </sheetData>
  <sheetProtection autoFilter="0" pivotTables="0"/>
  <mergeCells count="1">
    <mergeCell ref="B41:F42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activeCell="G3" sqref="G3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9" width="17.85546875" bestFit="1" customWidth="1"/>
  </cols>
  <sheetData>
    <row r="1" spans="2:7" ht="15.75" thickBot="1" x14ac:dyDescent="0.3"/>
    <row r="2" spans="2:7" ht="63.75" thickBot="1" x14ac:dyDescent="0.3">
      <c r="B2" s="28" t="s">
        <v>82</v>
      </c>
      <c r="C2" s="29" t="s">
        <v>83</v>
      </c>
      <c r="D2" s="30" t="s">
        <v>84</v>
      </c>
      <c r="E2" s="31" t="s">
        <v>85</v>
      </c>
      <c r="G2" t="s">
        <v>158</v>
      </c>
    </row>
    <row r="3" spans="2:7" ht="16.5" thickBot="1" x14ac:dyDescent="0.3">
      <c r="B3" s="35" t="s">
        <v>24</v>
      </c>
      <c r="C3" s="36">
        <f>2249648633.2/1000000</f>
        <v>2249.6486331999999</v>
      </c>
      <c r="D3" s="37">
        <v>0</v>
      </c>
      <c r="E3" s="38">
        <f>G3/1000000</f>
        <v>2233.0090866599999</v>
      </c>
      <c r="F3" s="49"/>
      <c r="G3" s="40">
        <v>2233009086.6599998</v>
      </c>
    </row>
    <row r="4" spans="2:7" ht="19.5" thickBot="1" x14ac:dyDescent="0.3">
      <c r="B4" s="32" t="s">
        <v>119</v>
      </c>
      <c r="C4" s="33">
        <f>53197266014.59/1000000</f>
        <v>53197.266014589994</v>
      </c>
      <c r="D4" s="36">
        <f>1008218842.73/1000000</f>
        <v>1008.21884273</v>
      </c>
      <c r="E4" s="34">
        <f>G4/1000000</f>
        <v>43101.908577719994</v>
      </c>
      <c r="F4" s="48"/>
      <c r="G4" s="40">
        <v>43101908577.719994</v>
      </c>
    </row>
    <row r="5" spans="2:7" x14ac:dyDescent="0.25">
      <c r="G5" s="40"/>
    </row>
    <row r="6" spans="2:7" x14ac:dyDescent="0.25">
      <c r="C6" s="39"/>
      <c r="D6" s="39"/>
      <c r="E6" s="39"/>
    </row>
    <row r="7" spans="2:7" ht="15.75" thickBot="1" x14ac:dyDescent="0.3">
      <c r="E7" s="27"/>
    </row>
    <row r="8" spans="2:7" ht="63.75" thickBot="1" x14ac:dyDescent="0.3">
      <c r="B8" s="28" t="s">
        <v>82</v>
      </c>
      <c r="C8" s="38" t="s">
        <v>91</v>
      </c>
      <c r="E8" s="27"/>
    </row>
    <row r="9" spans="2:7" ht="19.5" thickBot="1" x14ac:dyDescent="0.3">
      <c r="B9" s="35" t="s">
        <v>24</v>
      </c>
      <c r="C9" s="34">
        <f>C3-D3</f>
        <v>2249.6486331999999</v>
      </c>
      <c r="E9" s="40"/>
      <c r="G9" s="40"/>
    </row>
    <row r="10" spans="2:7" ht="19.5" thickBot="1" x14ac:dyDescent="0.3">
      <c r="B10" s="32" t="s">
        <v>86</v>
      </c>
      <c r="C10" s="34">
        <f>C4-D4</f>
        <v>52189.047171859995</v>
      </c>
      <c r="D10" s="46"/>
      <c r="E10" s="40"/>
    </row>
    <row r="12" spans="2:7" x14ac:dyDescent="0.25">
      <c r="C12" s="46"/>
      <c r="D12" s="46"/>
      <c r="E12" s="46"/>
      <c r="F12" s="49"/>
      <c r="G12" s="50"/>
    </row>
    <row r="13" spans="2:7" x14ac:dyDescent="0.25">
      <c r="C13" s="27"/>
      <c r="D13" s="40"/>
    </row>
    <row r="14" spans="2:7" x14ac:dyDescent="0.25">
      <c r="C14" s="27"/>
      <c r="D14" s="40"/>
    </row>
    <row r="15" spans="2:7" x14ac:dyDescent="0.25">
      <c r="C15" s="40"/>
    </row>
    <row r="16" spans="2:7" x14ac:dyDescent="0.25">
      <c r="C16" s="27"/>
      <c r="D16" s="40"/>
    </row>
    <row r="17" spans="3:4" x14ac:dyDescent="0.25">
      <c r="C17" s="27"/>
      <c r="D17" s="40"/>
    </row>
  </sheetData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8:F13"/>
  <sheetViews>
    <sheetView showGridLines="0" showRowColHeaders="0" zoomScaleNormal="100" workbookViewId="0">
      <selection activeCell="H10" sqref="H10"/>
    </sheetView>
  </sheetViews>
  <sheetFormatPr baseColWidth="10" defaultRowHeight="15" x14ac:dyDescent="0.25"/>
  <cols>
    <col min="1" max="1" width="4.85546875" customWidth="1"/>
    <col min="2" max="2" width="21.42578125" bestFit="1" customWidth="1"/>
    <col min="3" max="3" width="20.5703125" bestFit="1" customWidth="1"/>
  </cols>
  <sheetData>
    <row r="8" spans="2:6" x14ac:dyDescent="0.25">
      <c r="B8" s="2"/>
      <c r="C8" s="19"/>
    </row>
    <row r="9" spans="2:6" x14ac:dyDescent="0.25">
      <c r="B9" s="42" t="s">
        <v>88</v>
      </c>
      <c r="C9" s="40" t="s">
        <v>140</v>
      </c>
    </row>
    <row r="10" spans="2:6" x14ac:dyDescent="0.25">
      <c r="B10" s="41" t="s">
        <v>24</v>
      </c>
      <c r="C10" s="40">
        <v>2249.6486331999999</v>
      </c>
    </row>
    <row r="11" spans="2:6" x14ac:dyDescent="0.25">
      <c r="B11" s="41" t="s">
        <v>86</v>
      </c>
      <c r="C11" s="40">
        <v>52189.047171859995</v>
      </c>
    </row>
    <row r="12" spans="2:6" x14ac:dyDescent="0.25">
      <c r="B12" s="41" t="s">
        <v>6</v>
      </c>
      <c r="C12" s="40">
        <v>54438.695805059993</v>
      </c>
      <c r="D12" s="102" t="s">
        <v>94</v>
      </c>
    </row>
    <row r="13" spans="2:6" x14ac:dyDescent="0.25">
      <c r="F13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  <ds:schemaRef ds:uri="a40b8588-6542-483a-a94b-1301c9cf23f4"/>
    <ds:schemaRef ds:uri="471cdbed-6ead-44eb-9325-e34ef5ea4fe9"/>
  </ds:schemaRefs>
</ds:datastoreItem>
</file>

<file path=customXml/itemProps2.xml><?xml version="1.0" encoding="utf-8"?>
<ds:datastoreItem xmlns:ds="http://schemas.openxmlformats.org/officeDocument/2006/customXml" ds:itemID="{FAB17227-539C-403B-99E6-0873850D6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 RES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Alvaro Ramon Antonio Mosquera Ramos</cp:lastModifiedBy>
  <cp:lastPrinted>2022-07-18T14:11:10Z</cp:lastPrinted>
  <dcterms:created xsi:type="dcterms:W3CDTF">2018-03-13T13:24:17Z</dcterms:created>
  <dcterms:modified xsi:type="dcterms:W3CDTF">2022-12-31T23:56:57Z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MediaServiceImageTags">
    <vt:lpwstr/>
  </property>
</Properties>
</file>