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.sharepoint.com/Gestión VAF/Presupuesto/Documentos compartidos/2022/GRÁFICAS DE EJECUCIÓN/GRÁFICAS GASTOS/"/>
    </mc:Choice>
  </mc:AlternateContent>
  <xr:revisionPtr revIDLastSave="1296" documentId="8_{DA0C1451-29D1-4995-8E20-8810810E9802}" xr6:coauthVersionLast="47" xr6:coauthVersionMax="47" xr10:uidLastSave="{5329CB07-4F7D-4472-86F1-8D2E3C751CD3}"/>
  <bookViews>
    <workbookView xWindow="-120" yWindow="-120" windowWidth="20730" windowHeight="1116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 RES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9" l="1"/>
  <c r="G12" i="1" l="1"/>
  <c r="G2" i="1" s="1"/>
  <c r="F12" i="1"/>
  <c r="F2" i="1" s="1"/>
  <c r="E12" i="1"/>
  <c r="E2" i="1" s="1"/>
  <c r="D12" i="1"/>
  <c r="D2" i="1" s="1"/>
  <c r="C12" i="1"/>
  <c r="C2" i="1" s="1"/>
  <c r="F8" i="1"/>
  <c r="E3" i="9"/>
  <c r="E4" i="13"/>
  <c r="C4" i="13"/>
  <c r="E3" i="13"/>
  <c r="C3" i="13"/>
  <c r="C10" i="9"/>
  <c r="C9" i="9"/>
  <c r="C10" i="13"/>
  <c r="C9" i="13"/>
  <c r="D4" i="9"/>
  <c r="C4" i="9"/>
  <c r="C3" i="9"/>
  <c r="I38" i="4"/>
  <c r="H38" i="4"/>
  <c r="G38" i="4"/>
  <c r="F38" i="4"/>
  <c r="E38" i="4"/>
  <c r="D38" i="4"/>
  <c r="G20" i="1"/>
  <c r="F20" i="1"/>
  <c r="E20" i="1"/>
  <c r="D20" i="1"/>
  <c r="G8" i="1"/>
  <c r="E8" i="1"/>
  <c r="D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F10" i="19"/>
  <c r="E13" i="10"/>
  <c r="F10" i="10"/>
  <c r="F11" i="10"/>
  <c r="E13" i="19"/>
  <c r="F11" i="19"/>
  <c r="C18" i="1" l="1"/>
  <c r="B41" i="7"/>
  <c r="E46" i="3"/>
  <c r="F46" i="3"/>
  <c r="C45" i="3"/>
  <c r="F48" i="5"/>
  <c r="G50" i="5"/>
  <c r="G47" i="5"/>
  <c r="E50" i="5"/>
  <c r="D46" i="5"/>
  <c r="F47" i="5"/>
  <c r="F46" i="5"/>
  <c r="F49" i="5"/>
  <c r="E47" i="5"/>
  <c r="C46" i="3"/>
  <c r="F47" i="3"/>
  <c r="F44" i="3"/>
  <c r="G46" i="5"/>
  <c r="G48" i="5"/>
  <c r="D49" i="5"/>
  <c r="D47" i="5"/>
  <c r="D48" i="5"/>
  <c r="C44" i="3"/>
  <c r="E47" i="3"/>
  <c r="D50" i="5"/>
  <c r="E45" i="3"/>
  <c r="C47" i="3"/>
  <c r="D47" i="3"/>
  <c r="F45" i="3"/>
  <c r="G49" i="5"/>
  <c r="F50" i="5"/>
  <c r="E46" i="5"/>
  <c r="E49" i="5"/>
  <c r="E48" i="5"/>
  <c r="E44" i="3"/>
  <c r="D44" i="3"/>
  <c r="D46" i="3"/>
  <c r="D45" i="3"/>
  <c r="C8" i="1" l="1"/>
  <c r="C20" i="1"/>
</calcChain>
</file>

<file path=xl/sharedStrings.xml><?xml version="1.0" encoding="utf-8"?>
<sst xmlns="http://schemas.openxmlformats.org/spreadsheetml/2006/main" count="238" uniqueCount="158">
  <si>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</si>
  <si>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</si>
  <si>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</si>
  <si>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</si>
  <si>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</si>
  <si>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</si>
  <si>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</si>
  <si>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</si>
  <si>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</si>
  <si>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</si>
  <si>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</si>
  <si>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</si>
  <si>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</si>
  <si>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</si>
  <si>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</si>
  <si>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</si>
  <si>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</si>
  <si>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</si>
  <si>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</si>
  <si>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</si>
  <si>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</si>
  <si>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</si>
  <si>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</si>
  <si>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</si>
  <si>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</si>
  <si>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</si>
  <si>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</si>
  <si>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</si>
  <si>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</si>
  <si>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</si>
  <si>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</si>
  <si>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</si>
  <si>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</si>
  <si>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</si>
  <si>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</si>
  <si>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</si>
  <si>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</si>
  <si>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</si>
  <si>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</si>
  <si>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</si>
  <si>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</si>
  <si>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</si>
  <si>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</si>
  <si>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</si>
  <si>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</si>
  <si>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</si>
  <si>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</si>
  <si>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</si>
  <si>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</si>
  <si>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</si>
  <si>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</si>
  <si>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</si>
  <si>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</si>
  <si>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</si>
  <si>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</si>
  <si>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</si>
  <si>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</si>
  <si>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</si>
  <si>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</si>
  <si>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</si>
  <si>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</si>
  <si>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</si>
  <si>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</si>
  <si>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</si>
  <si>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</si>
  <si>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</si>
  <si>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</si>
  <si>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</si>
  <si>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</si>
  <si>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</si>
  <si>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</si>
  <si>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</si>
  <si>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</si>
  <si>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</si>
  <si>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</si>
  <si>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</si>
  <si>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</si>
  <si>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</si>
  <si>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</si>
  <si>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</si>
  <si>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</si>
  <si>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</si>
  <si>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</si>
  <si>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</si>
  <si>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</si>
  <si>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</si>
  <si>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</si>
  <si>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</si>
  <si>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</si>
  <si>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</si>
  <si>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</si>
  <si>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Reservas Vigente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</si>
  <si>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</si>
  <si>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</si>
  <si>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</si>
  <si>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</si>
  <si>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</si>
  <si>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</si>
  <si>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</si>
  <si>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</si>
  <si>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</si>
  <si>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</si>
  <si>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</si>
  <si>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</si>
  <si>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</si>
  <si>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</si>
  <si>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</si>
  <si>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</si>
  <si>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</si>
  <si>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</si>
  <si>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</si>
  <si>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</si>
  <si>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</si>
  <si>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</si>
  <si>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</si>
  <si>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</si>
  <si>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</si>
  <si>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</si>
  <si>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</si>
  <si>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</si>
  <si>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</si>
  <si>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</si>
  <si>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</si>
  <si>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</si>
  <si>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</si>
  <si>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</si>
  <si>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</si>
  <si>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</si>
  <si>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</si>
  <si>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</si>
  <si>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</si>
  <si>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</si>
  <si>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</si>
  <si>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 xml:space="preserve">  </t>
  </si>
  <si>
    <t>CXP CONSTITUIDAS</t>
  </si>
  <si>
    <t>TOTAL PAGOS</t>
  </si>
  <si>
    <t>(Todas)</t>
  </si>
  <si>
    <t>CANCELACION CXP</t>
  </si>
  <si>
    <t xml:space="preserve">CXP VIGENTES
</t>
  </si>
  <si>
    <t>Suma de CXP VIGENTES</t>
  </si>
  <si>
    <t>RESERVAS VIGENTES</t>
  </si>
  <si>
    <t>APROPIACION VIG.</t>
  </si>
  <si>
    <t>COMPRO. ACUMU.</t>
  </si>
  <si>
    <t>OBLIGACION. ACUMU.</t>
  </si>
  <si>
    <t>PAGOS ACUMU.</t>
  </si>
  <si>
    <t>Ejecucion Acumulada Cuentas por Pagar</t>
  </si>
  <si>
    <t>Ejecucion Cuentas por Pagar por Concepto</t>
  </si>
  <si>
    <t>1. Ejecución Presupuesto de Gastos</t>
  </si>
  <si>
    <t>1.1 Porcentaje Participación de la Apropiación  por Concepto de Gasto</t>
  </si>
  <si>
    <t xml:space="preserve">1.3 Comparativo Ejecución  Presupuestal del  Presupuesto de Funcionamiento </t>
  </si>
  <si>
    <t xml:space="preserve">1.4 Detalle Ejecución Presupuestal por Proyecto de Inversión </t>
  </si>
  <si>
    <t>2. Ejecución Reserva Presupuestal Constituida</t>
  </si>
  <si>
    <t>2.1 Porcentaje Participación de la Reserva por Concepto de Gasto</t>
  </si>
  <si>
    <t>2.2 Ejecución Reserva Presupuestal Constituida</t>
  </si>
  <si>
    <t>3. Ejecución Cuenta por Pagar Constituida</t>
  </si>
  <si>
    <t>3.1 Porcentaje Participación de la Cuenta por Pagar por Concepto de Gasto</t>
  </si>
  <si>
    <t>3.2 Ejecución de la Cuenta por Pagar Constituida</t>
  </si>
  <si>
    <t>1.2 Ejecución  Presupuestal Acumulada al 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</si>
</sst>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0.0%"/>
    <numFmt numFmtId="167" formatCode="_-* #,##0.00_-;\-* #,##0.00_-;_-* &quot;-&quot;_-;_-@_-"/>
    <numFmt numFmtId="168" formatCode="#,##0.00,,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horizontal="left" wrapText="1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/>
    <xf numFmtId="0" fontId="13" fillId="0" borderId="3" xfId="0" applyFont="1" applyBorder="1" applyAlignment="1">
      <alignment horizontal="justify" wrapText="1"/>
    </xf>
    <xf numFmtId="0" fontId="12" fillId="0" borderId="2" xfId="15" applyFont="1" applyAlignment="1">
      <alignment horizontal="justify" wrapText="1"/>
    </xf>
    <xf numFmtId="167" fontId="0" fillId="0" borderId="0" xfId="0" applyNumberFormat="1"/>
    <xf numFmtId="0" fontId="15" fillId="2" borderId="0" xfId="0" applyFont="1" applyFill="1"/>
    <xf numFmtId="0" fontId="16" fillId="4" borderId="1" xfId="0" applyFont="1" applyFill="1" applyBorder="1" applyAlignment="1">
      <alignment horizontal="center" vertical="center"/>
    </xf>
    <xf numFmtId="41" fontId="16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7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5" fillId="0" borderId="0" xfId="0" applyFont="1"/>
    <xf numFmtId="43" fontId="0" fillId="0" borderId="0" xfId="16" applyFont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3" applyFont="1" applyFill="1" applyBorder="1" applyAlignment="1">
      <alignment horizontal="center" vertical="center" wrapText="1"/>
    </xf>
    <xf numFmtId="4" fontId="17" fillId="2" borderId="5" xfId="3" applyNumberFormat="1" applyFont="1" applyFill="1" applyBorder="1" applyAlignment="1">
      <alignment horizontal="center" vertical="center" wrapText="1"/>
    </xf>
    <xf numFmtId="164" fontId="17" fillId="2" borderId="6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164" fontId="18" fillId="2" borderId="5" xfId="3" applyFont="1" applyFill="1" applyBorder="1" applyAlignment="1">
      <alignment horizontal="right" vertical="center"/>
    </xf>
    <xf numFmtId="4" fontId="18" fillId="2" borderId="6" xfId="3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 wrapText="1"/>
    </xf>
    <xf numFmtId="164" fontId="17" fillId="2" borderId="7" xfId="3" applyFont="1" applyFill="1" applyBorder="1" applyAlignment="1">
      <alignment horizontal="right" vertical="center"/>
    </xf>
    <xf numFmtId="4" fontId="17" fillId="2" borderId="7" xfId="3" applyNumberFormat="1" applyFont="1" applyFill="1" applyBorder="1" applyAlignment="1">
      <alignment horizontal="right" vertical="center"/>
    </xf>
    <xf numFmtId="4" fontId="17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/>
    <xf numFmtId="0" fontId="8" fillId="0" borderId="0" xfId="14" applyFont="1" applyFill="1" applyBorder="1"/>
    <xf numFmtId="0" fontId="7" fillId="5" borderId="0" xfId="0" applyFont="1" applyFill="1" applyAlignment="1">
      <alignment horizontal="center"/>
    </xf>
    <xf numFmtId="0" fontId="21" fillId="0" borderId="0" xfId="0" applyFont="1"/>
    <xf numFmtId="4" fontId="0" fillId="0" borderId="0" xfId="0" applyNumberFormat="1"/>
    <xf numFmtId="0" fontId="22" fillId="0" borderId="0" xfId="0" applyFont="1"/>
    <xf numFmtId="9" fontId="0" fillId="0" borderId="0" xfId="13" applyFont="1"/>
    <xf numFmtId="166" fontId="0" fillId="0" borderId="0" xfId="13" applyNumberFormat="1" applyFont="1"/>
    <xf numFmtId="10" fontId="0" fillId="0" borderId="0" xfId="13" applyNumberFormat="1" applyFont="1"/>
    <xf numFmtId="0" fontId="23" fillId="6" borderId="9" xfId="4" applyFont="1" applyFill="1" applyBorder="1" applyAlignment="1">
      <alignment horizontal="center" vertical="center" wrapText="1"/>
    </xf>
    <xf numFmtId="0" fontId="18" fillId="7" borderId="5" xfId="17" applyFont="1" applyFill="1" applyBorder="1" applyAlignment="1">
      <alignment vertical="center" wrapText="1"/>
    </xf>
    <xf numFmtId="0" fontId="17" fillId="2" borderId="10" xfId="17" applyFont="1" applyFill="1" applyBorder="1" applyAlignment="1">
      <alignment vertical="center" wrapText="1"/>
    </xf>
    <xf numFmtId="164" fontId="23" fillId="6" borderId="9" xfId="5" applyFont="1" applyFill="1" applyBorder="1" applyAlignment="1">
      <alignment horizontal="center" vertical="center" wrapText="1"/>
    </xf>
    <xf numFmtId="164" fontId="23" fillId="6" borderId="11" xfId="5" applyFont="1" applyFill="1" applyBorder="1" applyAlignment="1">
      <alignment horizontal="center" vertical="center" wrapText="1"/>
    </xf>
    <xf numFmtId="39" fontId="18" fillId="7" borderId="5" xfId="18" applyNumberFormat="1" applyFont="1" applyFill="1" applyBorder="1" applyAlignment="1">
      <alignment horizontal="right" vertical="center"/>
    </xf>
    <xf numFmtId="39" fontId="18" fillId="7" borderId="6" xfId="18" applyNumberFormat="1" applyFont="1" applyFill="1" applyBorder="1" applyAlignment="1">
      <alignment horizontal="right" vertical="center"/>
    </xf>
    <xf numFmtId="0" fontId="17" fillId="2" borderId="1" xfId="17" applyFont="1" applyFill="1" applyBorder="1" applyAlignment="1">
      <alignment vertical="center" wrapText="1"/>
    </xf>
    <xf numFmtId="4" fontId="24" fillId="2" borderId="10" xfId="17" applyNumberFormat="1" applyFont="1" applyFill="1" applyBorder="1" applyAlignment="1">
      <alignment vertical="center" wrapText="1"/>
    </xf>
    <xf numFmtId="4" fontId="24" fillId="2" borderId="12" xfId="17" applyNumberFormat="1" applyFont="1" applyFill="1" applyBorder="1" applyAlignment="1">
      <alignment vertical="center" wrapText="1"/>
    </xf>
    <xf numFmtId="4" fontId="25" fillId="2" borderId="1" xfId="17" applyNumberFormat="1" applyFont="1" applyFill="1" applyBorder="1" applyAlignment="1">
      <alignment horizontal="right" vertical="center" wrapText="1" readingOrder="1"/>
    </xf>
    <xf numFmtId="4" fontId="25" fillId="2" borderId="13" xfId="17" applyNumberFormat="1" applyFont="1" applyFill="1" applyBorder="1" applyAlignment="1">
      <alignment horizontal="right" vertical="center" wrapText="1" readingOrder="1"/>
    </xf>
    <xf numFmtId="167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6" fillId="0" borderId="0" xfId="0" applyFont="1"/>
    <xf numFmtId="0" fontId="7" fillId="0" borderId="0" xfId="0" applyFont="1"/>
    <xf numFmtId="9" fontId="10" fillId="0" borderId="0" xfId="13" applyFont="1" applyFill="1"/>
    <xf numFmtId="166" fontId="10" fillId="0" borderId="0" xfId="13" applyNumberFormat="1" applyFont="1" applyFill="1"/>
    <xf numFmtId="10" fontId="10" fillId="0" borderId="0" xfId="13" applyNumberFormat="1" applyFont="1" applyFill="1"/>
    <xf numFmtId="43" fontId="12" fillId="0" borderId="2" xfId="16" applyFont="1" applyBorder="1"/>
    <xf numFmtId="43" fontId="12" fillId="0" borderId="2" xfId="16" applyFont="1" applyBorder="1" applyAlignment="1">
      <alignment horizontal="center"/>
    </xf>
    <xf numFmtId="43" fontId="14" fillId="0" borderId="4" xfId="16" applyFont="1" applyBorder="1"/>
    <xf numFmtId="43" fontId="14" fillId="2" borderId="4" xfId="16" applyFont="1" applyFill="1" applyBorder="1"/>
    <xf numFmtId="10" fontId="10" fillId="0" borderId="0" xfId="0" applyNumberFormat="1" applyFont="1"/>
    <xf numFmtId="10" fontId="0" fillId="0" borderId="0" xfId="0" applyNumberFormat="1"/>
    <xf numFmtId="0" fontId="28" fillId="0" borderId="0" xfId="0" applyFont="1"/>
    <xf numFmtId="0" fontId="29" fillId="0" borderId="0" xfId="0" applyFont="1" applyAlignment="1">
      <alignment horizontal="left"/>
    </xf>
    <xf numFmtId="41" fontId="29" fillId="0" borderId="0" xfId="0" applyNumberFormat="1" applyFont="1"/>
    <xf numFmtId="10" fontId="29" fillId="0" borderId="0" xfId="13" applyNumberFormat="1" applyFont="1" applyFill="1" applyBorder="1"/>
    <xf numFmtId="41" fontId="29" fillId="0" borderId="0" xfId="1" applyFont="1" applyFill="1" applyBorder="1"/>
    <xf numFmtId="0" fontId="28" fillId="0" borderId="0" xfId="0" applyFont="1" applyAlignment="1">
      <alignment horizontal="left"/>
    </xf>
    <xf numFmtId="41" fontId="28" fillId="0" borderId="0" xfId="0" applyNumberFormat="1" applyFont="1"/>
    <xf numFmtId="0" fontId="29" fillId="0" borderId="0" xfId="0" applyFont="1"/>
    <xf numFmtId="10" fontId="29" fillId="0" borderId="0" xfId="13" applyNumberFormat="1" applyFont="1" applyFill="1"/>
    <xf numFmtId="0" fontId="27" fillId="0" borderId="0" xfId="0" applyFont="1"/>
    <xf numFmtId="10" fontId="28" fillId="0" borderId="0" xfId="13" applyNumberFormat="1" applyFont="1" applyFill="1"/>
    <xf numFmtId="10" fontId="15" fillId="0" borderId="0" xfId="0" applyNumberFormat="1" applyFont="1"/>
    <xf numFmtId="10" fontId="28" fillId="0" borderId="0" xfId="13" applyNumberFormat="1" applyFont="1" applyFill="1" applyBorder="1"/>
    <xf numFmtId="43" fontId="14" fillId="8" borderId="4" xfId="16" applyFont="1" applyFill="1" applyBorder="1"/>
    <xf numFmtId="0" fontId="20" fillId="0" borderId="0" xfId="0" applyFont="1" applyAlignment="1">
      <alignment horizontal="center"/>
    </xf>
    <xf numFmtId="10" fontId="5" fillId="0" borderId="0" xfId="13" applyNumberFormat="1" applyFont="1"/>
    <xf numFmtId="0" fontId="30" fillId="2" borderId="1" xfId="0" applyFont="1" applyFill="1" applyBorder="1" applyAlignment="1">
      <alignment horizontal="center" vertical="center" wrapText="1"/>
    </xf>
    <xf numFmtId="164" fontId="30" fillId="2" borderId="1" xfId="3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164" fontId="30" fillId="2" borderId="1" xfId="3" applyFont="1" applyFill="1" applyBorder="1" applyAlignment="1">
      <alignment horizontal="right" vertical="center"/>
    </xf>
    <xf numFmtId="4" fontId="30" fillId="2" borderId="1" xfId="3" applyNumberFormat="1" applyFont="1" applyFill="1" applyBorder="1" applyAlignment="1">
      <alignment horizontal="right" vertical="center"/>
    </xf>
    <xf numFmtId="43" fontId="29" fillId="0" borderId="0" xfId="0" pivotButton="1" applyNumberFormat="1" applyFont="1" applyAlignment="1">
      <alignment horizontal="center" vertical="center" wrapText="1"/>
    </xf>
    <xf numFmtId="43" fontId="31" fillId="0" borderId="0" xfId="0" applyNumberFormat="1" applyFont="1" applyAlignment="1">
      <alignment horizontal="center" wrapText="1"/>
    </xf>
    <xf numFmtId="168" fontId="0" fillId="0" borderId="0" xfId="0" applyNumberFormat="1" applyAlignment="1">
      <alignment wrapText="1"/>
    </xf>
    <xf numFmtId="0" fontId="33" fillId="0" borderId="0" xfId="0" applyFont="1"/>
    <xf numFmtId="43" fontId="31" fillId="0" borderId="0" xfId="0" applyNumberFormat="1" applyFont="1" applyAlignment="1">
      <alignment horizontal="center" vertical="center" wrapText="1"/>
    </xf>
    <xf numFmtId="0" fontId="34" fillId="0" borderId="0" xfId="14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76">
    <dxf>
      <numFmt numFmtId="35" formatCode="_-* #,##0.00_-;\-* #,##0.00_-;_-* &quot;-&quot;??_-;_-@_-"/>
    </dxf>
    <dxf>
      <numFmt numFmtId="4" formatCode="#,##0.00"/>
    </dxf>
    <dxf>
      <numFmt numFmtId="35" formatCode="_-* #,##0.00_-;\-* #,##0.00_-;_-* &quot;-&quot;??_-;_-@_-"/>
    </dxf>
    <dxf>
      <numFmt numFmtId="4" formatCode="#,##0.00"/>
    </dxf>
    <dxf>
      <numFmt numFmtId="169" formatCode="0.000"/>
    </dxf>
    <dxf>
      <alignment vertical="bottom"/>
    </dxf>
    <dxf>
      <alignment horizontal="center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sz val="8"/>
      </font>
    </dxf>
    <dxf>
      <font>
        <sz val="9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#,##0.00,,"/>
    </dxf>
    <dxf>
      <numFmt numFmtId="168" formatCode="#,##0.00,,"/>
    </dxf>
    <dxf>
      <numFmt numFmtId="168" formatCode="#,##0.00,,"/>
    </dxf>
    <dxf>
      <numFmt numFmtId="168" formatCode="#,##0.00,,"/>
    </dxf>
    <dxf>
      <numFmt numFmtId="167" formatCode="_-* #,##0.00_-;\-* #,##0.00_-;_-* &quot;-&quot;_-;_-@_-"/>
    </dxf>
    <dxf>
      <alignment horizontal="center"/>
    </dxf>
    <dxf>
      <alignment wrapText="1"/>
    </dxf>
    <dxf>
      <numFmt numFmtId="170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7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7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'!$F$10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{1E0AA31C-C8E0-41ED-AF29-AEB7FDC5044A}</c15:txfldGUID>
                  <c15:f>'EJECUCIÓN CUENTA POR PAGAR '!$F$10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'!$F$11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{9ACA79EA-490E-4813-88EA-4019F4105178}</c15:txfldGUID>
                  <c15:f>'EJECUCIÓN CUENTA POR PAGAR '!$F$11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'!$F$10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'!$F$10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'!$F$10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'!$F$10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{B7505165-A76C-4E47-A9F7-3246CA8F79B9}</c15:txfldGUID>
                      <c15:f>'EJECUCIÓN CUENTA POR PAGAR '!$F$10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'!$F$11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{109002E6-FC14-4AA3-B00D-FF3A0B3E3A31}</c15:txfldGUID>
                      <c15:f>'EJECUCIÓN CUENTA POR PAGAR '!$F$11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'!$E$13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{FD554123-A283-4DAF-BC03-1957C3F4E18A}</c15:txfldGUID>
                  <c15:f>'EJECUCIÓN CUENTA POR PAGAR '!$E$13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'!$E$13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'!$E$13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'!$E$13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'!$E$13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{6AC1DB27-BB80-4C21-9E9F-9CBAF12F6FDC}</c15:txfldGUID>
                      <c15:f>'EJECUCIÓN CUENTA POR PAGAR '!$E$13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Porcentaje Participación Apropiación por Concepto de Gastos</a:t>
            </a:r>
          </a:p>
        </c:rich>
      </c:tx>
      <c:layout>
        <c:manualLayout>
          <c:xMode val="edge"/>
          <c:yMode val="edge"/>
          <c:x val="9.5443515989072789E-2"/>
          <c:y val="5.68222273466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'!$B$9:$B$12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'!$C$9:$C$12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71,52%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{7456F6E0-3BCE-4795-8286-ADC84299FA4E}</c15:txfldGUID>
                  <c15:f>'APR VS RP  Y OBLIGACIÓN Y PAGO'!$D$44</c15:f>
                  <c15:dlblFieldTableCache>
                    <c:ptCount val="1"/>
                    <c:pt idx="0">
                      <c:v>71,52%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PAGO'!$D$45</c:f>
              <c:strCache>
                <c:ptCount val="1"/>
                <c:pt idx="0">
                  <c:v>79,85%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{8EB01753-16C4-4C27-B4EF-2E3E11894D4B}</c15:txfldGUID>
                  <c15:f>'APR VS RP  Y OBLIGACIÓN Y PAGO'!$D$45</c15:f>
                  <c15:dlblFieldTableCache>
                    <c:ptCount val="1"/>
                    <c:pt idx="0">
                      <c:v>79,85%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PAGO'!$D$46</c:f>
              <c:strCache>
                <c:ptCount val="1"/>
                <c:pt idx="0">
                  <c:v>96,59%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{06B90BE8-E814-45D2-9298-9538EC9ACBA8}</c15:txfldGUID>
                  <c15:f>'APR VS RP  Y OBLIGACIÓN Y PAGO'!$D$46</c15:f>
                  <c15:dlblFieldTableCache>
                    <c:ptCount val="1"/>
                    <c:pt idx="0">
                      <c:v>96,59%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69,29%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{22AD7901-4A39-4424-A4A3-349E033F5320}</c15:txfldGUID>
                  <c15:f>'APR VS RP  Y OBLIGACIÓN Y PAGO'!$E$44</c15:f>
                  <c15:dlblFieldTableCache>
                    <c:ptCount val="1"/>
                    <c:pt idx="0">
                      <c:v>69,29%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PAGO'!$E$45</c:f>
              <c:strCache>
                <c:ptCount val="1"/>
                <c:pt idx="0">
                  <c:v>79,85%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{9117EB36-49E1-4434-BBDC-F1808B5189B5}</c15:txfldGUID>
                  <c15:f>'APR VS RP  Y OBLIGACIÓN Y PAGO'!$E$45</c15:f>
                  <c15:dlblFieldTableCache>
                    <c:ptCount val="1"/>
                    <c:pt idx="0">
                      <c:v>79,85%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PAGO'!$E$46</c:f>
              <c:strCache>
                <c:ptCount val="1"/>
                <c:pt idx="0">
                  <c:v>8,44%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{24672A89-F347-44C3-A8D2-D9E0DA2C9EF4}</c15:txfldGUID>
                  <c15:f>'APR VS RP  Y OBLIGACIÓN Y PAGO'!$E$46</c15:f>
                  <c15:dlblFieldTableCache>
                    <c:ptCount val="1"/>
                    <c:pt idx="0">
                      <c:v>8,44%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67,79%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{ADE4A845-1391-4EE1-9A7D-1AAB3EF259D9}</c15:txfldGUID>
                  <c15:f>'APR VS RP  Y OBLIGACIÓN Y PAGO'!$F$44</c15:f>
                  <c15:dlblFieldTableCache>
                    <c:ptCount val="1"/>
                    <c:pt idx="0">
                      <c:v>67,79%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PAGO'!$F$45</c:f>
              <c:strCache>
                <c:ptCount val="1"/>
                <c:pt idx="0">
                  <c:v>79,85%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{4B7767DF-A92F-467E-B04F-DE52B26F1416}</c15:txfldGUID>
                  <c15:f>'APR VS RP  Y OBLIGACIÓN Y PAGO'!$F$45</c15:f>
                  <c15:dlblFieldTableCache>
                    <c:ptCount val="1"/>
                    <c:pt idx="0">
                      <c:v>79,85%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PAGO'!$F$46</c:f>
              <c:strCache>
                <c:ptCount val="1"/>
                <c:pt idx="0">
                  <c:v>8,44%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{C39CD525-E63D-4D94-959A-1EF44D5E80AC}</c15:txfldGUID>
                  <c15:f>'APR VS RP  Y OBLIGACIÓN Y PAGO'!$F$46</c15:f>
                  <c15:dlblFieldTableCache>
                    <c:ptCount val="1"/>
                    <c:pt idx="0">
                      <c:v>8,44%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PAGO'!$D$44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PAGO'!$D$44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71,52%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{4D2ED588-6C16-499C-A250-685E2CB1AE18}</c15:txfldGUID>
                      <c15:f>'APR VS RP  Y OBLIGACIÓN Y PAGO'!$D$44</c15:f>
                      <c15:dlblFieldTableCache>
                        <c:ptCount val="1"/>
                        <c:pt idx="0">
                          <c:v>71,52%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PAGO'!$D$45</c:f>
                  <c:strCache>
                    <c:ptCount val="1"/>
                    <c:pt idx="0">
                      <c:v>79,85%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{ADC2757D-1331-4C80-B745-85863B2FDE1E}</c15:txfldGUID>
                      <c15:f>'APR VS RP  Y OBLIGACIÓN Y PAGO'!$D$45</c15:f>
                      <c15:dlblFieldTableCache>
                        <c:ptCount val="1"/>
                        <c:pt idx="0">
                          <c:v>79,85%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PAGO'!$D$46</c:f>
                  <c:strCache>
                    <c:ptCount val="1"/>
                    <c:pt idx="0">
                      <c:v>96,59%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{5DD69AF0-236F-4739-91E6-DED944EC669F}</c15:txfldGUID>
                      <c15:f>'APR VS RP  Y OBLIGACIÓN Y PAGO'!$D$46</c15:f>
                      <c15:dlblFieldTableCache>
                        <c:ptCount val="1"/>
                        <c:pt idx="0">
                          <c:v>96,59%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71364.141822850012</c:v>
                </c:pt>
                <c:pt idx="1">
                  <c:v>932302.88402700005</c:v>
                </c:pt>
                <c:pt idx="2">
                  <c:v>4351551.928545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PAGO'!$D$44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69,29%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{E0B4974C-A5BD-4E5D-A1D8-BB807B8A7436}</c15:txfldGUID>
                      <c15:f>'APR VS RP  Y OBLIGACIÓN Y PAGO'!$E$44</c15:f>
                      <c15:dlblFieldTableCache>
                        <c:ptCount val="1"/>
                        <c:pt idx="0">
                          <c:v>69,29%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PAGO'!$E$45</c:f>
                  <c:strCache>
                    <c:ptCount val="1"/>
                    <c:pt idx="0">
                      <c:v>79,85%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{13ED4C23-97C4-4D6B-8339-73EA09EF5F19}</c15:txfldGUID>
                      <c15:f>'APR VS RP  Y OBLIGACIÓN Y PAGO'!$E$45</c15:f>
                      <c15:dlblFieldTableCache>
                        <c:ptCount val="1"/>
                        <c:pt idx="0">
                          <c:v>79,85%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PAGO'!$E$46</c:f>
                  <c:strCache>
                    <c:ptCount val="1"/>
                    <c:pt idx="0">
                      <c:v>8,44%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{FA2F7E28-18DE-4557-BD3C-9173EAC27B0E}</c15:txfldGUID>
                      <c15:f>'APR VS RP  Y OBLIGACIÓN Y PAGO'!$E$46</c15:f>
                      <c15:dlblFieldTableCache>
                        <c:ptCount val="1"/>
                        <c:pt idx="0">
                          <c:v>8,44%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69141.968314359998</c:v>
                </c:pt>
                <c:pt idx="1">
                  <c:v>932302.88402700005</c:v>
                </c:pt>
                <c:pt idx="2">
                  <c:v>380406.50059789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PAGO'!$D$44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67,79%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{2CB8B1DD-18CA-4F5C-84ED-EFB6CAA185DC}</c15:txfldGUID>
                      <c15:f>'APR VS RP  Y OBLIGACIÓN Y PAGO'!$F$44</c15:f>
                      <c15:dlblFieldTableCache>
                        <c:ptCount val="1"/>
                        <c:pt idx="0">
                          <c:v>67,79%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PAGO'!$F$45</c:f>
                  <c:strCache>
                    <c:ptCount val="1"/>
                    <c:pt idx="0">
                      <c:v>79,85%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{9A927BCD-7B07-4102-8146-21DC882AD2BD}</c15:txfldGUID>
                      <c15:f>'APR VS RP  Y OBLIGACIÓN Y PAGO'!$F$45</c15:f>
                      <c15:dlblFieldTableCache>
                        <c:ptCount val="1"/>
                        <c:pt idx="0">
                          <c:v>79,85%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PAGO'!$F$46</c:f>
                  <c:strCache>
                    <c:ptCount val="1"/>
                    <c:pt idx="0">
                      <c:v>8,44%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{F0F3A8D2-E357-4D21-BE8D-F62EF40F8831}</c15:txfldGUID>
                      <c15:f>'APR VS RP  Y OBLIGACIÓN Y PAGO'!$F$46</c15:f>
                      <c15:dlblFieldTableCache>
                        <c:ptCount val="1"/>
                        <c:pt idx="0">
                          <c:v>8,44%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67642.043213359997</c:v>
                </c:pt>
                <c:pt idx="1">
                  <c:v>932302.88402700005</c:v>
                </c:pt>
                <c:pt idx="2">
                  <c:v>380087.08099789004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16571550913061"/>
          <c:y val="0.38184099592435999"/>
          <c:w val="8.600251860849302E-2"/>
          <c:h val="0.21114547393984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FUNCIONAMIE'!$G$47</c:f>
              <c:strCache>
                <c:ptCount val="1"/>
                <c:pt idx="0">
                  <c:v>71,33%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{614678F7-406F-43C1-A988-E2DCB5D91898}</c15:txfldGUID>
                  <c15:f>'APR,RP´S,OBL Y PAGO FUNCIONAMIE'!$G$47</c15:f>
                  <c15:dlblFieldTableCache>
                    <c:ptCount val="1"/>
                    <c:pt idx="0">
                      <c:v>71,33%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73,77%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{E864C0B4-4A02-49C6-B041-65740F7D3331}</c15:txfldGUID>
                  <c15:f>'APR,RP´S,OBL Y PAGO FUNCIONAMIE'!$F$47</c15:f>
                  <c15:dlblFieldTableCache>
                    <c:ptCount val="1"/>
                    <c:pt idx="0">
                      <c:v>73,77%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FUNCIONAMIE'!$G$46</c:f>
              <c:strCache>
                <c:ptCount val="1"/>
                <c:pt idx="0">
                  <c:v>68,98%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{78403EFA-0F2B-47B0-898E-DB057F724C44}</c15:txfldGUID>
                  <c15:f>'APR,RP´S,OBL Y PAGO FUNCIONAMIE'!$G$46</c15:f>
                  <c15:dlblFieldTableCache>
                    <c:ptCount val="1"/>
                    <c:pt idx="0">
                      <c:v>68,98%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85,22%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{A979F6F5-4968-455F-BE9D-C57CB046C845}</c15:txfldGUID>
                  <c15:f>'APR,RP´S,OBL Y PAGO FUNCIONAMIE'!$E$47</c15:f>
                  <c15:dlblFieldTableCache>
                    <c:ptCount val="1"/>
                    <c:pt idx="0">
                      <c:v>85,22%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70,80%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{2B2A950B-5E7A-4E6A-A426-E7B0CD878ED7}</c15:txfldGUID>
                  <c15:f>'APR,RP´S,OBL Y PAGO FUNCIONAMIE'!$F$46</c15:f>
                  <c15:dlblFieldTableCache>
                    <c:ptCount val="1"/>
                    <c:pt idx="0">
                      <c:v>70,80%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70,80%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{6C03576D-0737-4F6D-8002-92ABEC653A3B}</c15:txfldGUID>
                  <c15:f>'APR,RP´S,OBL Y PAGO FUNCIONAMIE'!$E$46</c15:f>
                  <c15:dlblFieldTableCache>
                    <c:ptCount val="1"/>
                    <c:pt idx="0">
                      <c:v>70,80%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FUNCIONAMIE'!$E$48</c:f>
              <c:strCache>
                <c:ptCount val="1"/>
                <c:pt idx="0">
                  <c:v>27,98%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{B099BDA9-A501-4E3B-81AD-508FA9FCF95E}</c15:txfldGUID>
                  <c15:f>'APR,RP´S,OBL Y PAGO FUNCIONAMIE'!$E$48</c15:f>
                  <c15:dlblFieldTableCache>
                    <c:ptCount val="1"/>
                    <c:pt idx="0">
                      <c:v>27,98%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FUNCIONAMIE'!$G$48</c:f>
              <c:strCache>
                <c:ptCount val="1"/>
                <c:pt idx="0">
                  <c:v>27,98%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{357A2169-7E26-4776-B851-E8D59F8F5699}</c15:txfldGUID>
                  <c15:f>'APR,RP´S,OBL Y PAGO FUNCIONAMIE'!$G$48</c15:f>
                  <c15:dlblFieldTableCache>
                    <c:ptCount val="1"/>
                    <c:pt idx="0">
                      <c:v>27,98%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FUNCIONAMIE'!$F$48</c:f>
              <c:strCache>
                <c:ptCount val="1"/>
                <c:pt idx="0">
                  <c:v>27,98%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{CAEF9AB1-C090-4564-BF40-F71F506E864E}</c15:txfldGUID>
                  <c15:f>'APR,RP´S,OBL Y PAGO FUNCIONAMIE'!$F$48</c15:f>
                  <c15:dlblFieldTableCache>
                    <c:ptCount val="1"/>
                    <c:pt idx="0">
                      <c:v>27,98%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FUNCIONAMIE'!$E$49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{39DF2CCB-6CE6-4488-91D3-C178C0363F35}</c15:txfldGUID>
                  <c15:f>'APR,RP´S,OBL Y PAGO FUNCIONAMIE'!$E$49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FUNCIONAMIE'!$F$49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{9B75B35F-6062-46A9-914B-38223F43FFC0}</c15:txfldGUID>
                  <c15:f>'APR,RP´S,OBL Y PAGO FUNCIONAMIE'!$F$49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FUNCIONAMIE'!$G$49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{6574A39E-0106-4C58-98AC-80AD868A808F}</c15:txfldGUID>
                  <c15:f>'APR,RP´S,OBL Y PAGO FUNCIONAMIE'!$G$49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FUNCIONAMIE'!$G$47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56308.670080000004</c:v>
                </c:pt>
                <c:pt idx="1">
                  <c:v>19419.071</c:v>
                </c:pt>
                <c:pt idx="2">
                  <c:v>10006.772290000001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FUNCIONAMIE'!$G$47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70,80%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{6CD2706A-9B10-45E9-B997-E615BE0C074F}</c15:txfldGUID>
                      <c15:f>'APR,RP´S,OBL Y PAGO FUNCIONAMIE'!$E$46</c15:f>
                      <c15:dlblFieldTableCache>
                        <c:ptCount val="1"/>
                        <c:pt idx="0">
                          <c:v>70,80%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85,22%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{7E196E32-8C34-494D-B077-A57207117E6D}</c15:txfldGUID>
                      <c15:f>'APR,RP´S,OBL Y PAGO FUNCIONAMIE'!$E$47</c15:f>
                      <c15:dlblFieldTableCache>
                        <c:ptCount val="1"/>
                        <c:pt idx="0">
                          <c:v>85,22%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FUNCIONAMIE'!$E$48</c:f>
                  <c:strCache>
                    <c:ptCount val="1"/>
                    <c:pt idx="0">
                      <c:v>27,98%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{32691924-850E-46D1-831D-CA38AD8B6B38}</c15:txfldGUID>
                      <c15:f>'APR,RP´S,OBL Y PAGO FUNCIONAMIE'!$E$48</c15:f>
                      <c15:dlblFieldTableCache>
                        <c:ptCount val="1"/>
                        <c:pt idx="0">
                          <c:v>27,98%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FUNCIONAMIE'!$E$49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{5EFD7E3D-A055-4D7A-B50E-98138F6295E3}</c15:txfldGUID>
                      <c15:f>'APR,RP´S,OBL Y PAGO FUNCIONAMIE'!$E$49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39864.821969270008</c:v>
                </c:pt>
                <c:pt idx="1">
                  <c:v>16548.21374694</c:v>
                </c:pt>
                <c:pt idx="2">
                  <c:v>2799.67483864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FUNCIONAMIE'!$G$47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70,80%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{A0460200-1ABC-4575-B25A-ED167B9F983B}</c15:txfldGUID>
                      <c15:f>'APR,RP´S,OBL Y PAGO FUNCIONAMIE'!$F$46</c15:f>
                      <c15:dlblFieldTableCache>
                        <c:ptCount val="1"/>
                        <c:pt idx="0">
                          <c:v>70,80%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73,77%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{AA838368-2FF1-492A-AA59-22093DCED812}</c15:txfldGUID>
                      <c15:f>'APR,RP´S,OBL Y PAGO FUNCIONAMIE'!$F$47</c15:f>
                      <c15:dlblFieldTableCache>
                        <c:ptCount val="1"/>
                        <c:pt idx="0">
                          <c:v>73,77%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FUNCIONAMIE'!$F$48</c:f>
                  <c:strCache>
                    <c:ptCount val="1"/>
                    <c:pt idx="0">
                      <c:v>27,98%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{7B9D889E-F37C-49CE-A327-379E2A845B38}</c15:txfldGUID>
                      <c15:f>'APR,RP´S,OBL Y PAGO FUNCIONAMIE'!$F$48</c15:f>
                      <c15:dlblFieldTableCache>
                        <c:ptCount val="1"/>
                        <c:pt idx="0">
                          <c:v>27,98%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FUNCIONAMIE'!$F$49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{9429E7A1-8853-4019-8BCB-F59A7F473F51}</c15:txfldGUID>
                      <c15:f>'APR,RP´S,OBL Y PAGO FUNCIONAMIE'!$F$49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39864.821969270008</c:v>
                </c:pt>
                <c:pt idx="1">
                  <c:v>14326.040238449998</c:v>
                </c:pt>
                <c:pt idx="2">
                  <c:v>2799.67483864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FUNCIONAMIE'!$G$47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FUNCIONAMIE'!$G$46</c:f>
                  <c:strCache>
                    <c:ptCount val="1"/>
                    <c:pt idx="0">
                      <c:v>68,98%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{E2AB0492-479A-4C02-B730-8D66F0EE76A6}</c15:txfldGUID>
                      <c15:f>'APR,RP´S,OBL Y PAGO FUNCIONAMIE'!$G$46</c15:f>
                      <c15:dlblFieldTableCache>
                        <c:ptCount val="1"/>
                        <c:pt idx="0">
                          <c:v>68,98%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FUNCIONAMIE'!$G$47</c:f>
                  <c:strCache>
                    <c:ptCount val="1"/>
                    <c:pt idx="0">
                      <c:v>71,33%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{C6D901BF-AD41-48A1-8F5B-6F2570DFA3EC}</c15:txfldGUID>
                      <c15:f>'APR,RP´S,OBL Y PAGO FUNCIONAMIE'!$G$47</c15:f>
                      <c15:dlblFieldTableCache>
                        <c:ptCount val="1"/>
                        <c:pt idx="0">
                          <c:v>71,33%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FUNCIONAMIE'!$G$48</c:f>
                  <c:strCache>
                    <c:ptCount val="1"/>
                    <c:pt idx="0">
                      <c:v>27,98%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{6096FC7C-F5F8-49BE-8600-8869F702753A}</c15:txfldGUID>
                      <c15:f>'APR,RP´S,OBL Y PAGO FUNCIONAMIE'!$G$48</c15:f>
                      <c15:dlblFieldTableCache>
                        <c:ptCount val="1"/>
                        <c:pt idx="0">
                          <c:v>27,98%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FUNCIONAMIE'!$G$49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{4C7DC924-C27E-4526-82AD-7BB8217BB61E}</c15:txfldGUID>
                      <c15:f>'APR,RP´S,OBL Y PAGO FUNCIONAMIE'!$G$49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38839.374167269998</c:v>
                </c:pt>
                <c:pt idx="1">
                  <c:v>13851.562939449997</c:v>
                </c:pt>
                <c:pt idx="2">
                  <c:v>2799.67483864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OBLI'!$B$9</c:f>
              <c:strCache>
                <c:ptCount val="1"/>
                <c:pt idx="0">
                  <c:v>APROPIACION VIG.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OBLI'!$B$10</c:f>
              <c:numCache>
                <c:formatCode>#,##0.00,,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OBLI'!$C$9</c:f>
              <c:strCache>
                <c:ptCount val="1"/>
                <c:pt idx="0">
                  <c:v>COMPRO. ACUMU.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OBLI'!$C$10</c:f>
              <c:numCache>
                <c:formatCode>#,##0.00,,</c:formatCode>
                <c:ptCount val="1"/>
                <c:pt idx="0">
                  <c:v>4351551928545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OBLI'!$D$9</c:f>
              <c:strCache>
                <c:ptCount val="1"/>
                <c:pt idx="0">
                  <c:v>OBLIGACION. ACUMU.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OBLI'!$D$10</c:f>
              <c:numCache>
                <c:formatCode>#,##0.00,,</c:formatCode>
                <c:ptCount val="1"/>
                <c:pt idx="0">
                  <c:v>380406500597.89001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OBLI'!$E$9</c:f>
              <c:strCache>
                <c:ptCount val="1"/>
                <c:pt idx="0">
                  <c:v>PAGOS ACUMU.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OBLI'!$E$10</c:f>
              <c:numCache>
                <c:formatCode>#,##0.00,,</c:formatCode>
                <c:ptCount val="1"/>
                <c:pt idx="0">
                  <c:v>380087080997.89001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08724766336593"/>
          <c:y val="0.8883871427538711"/>
          <c:w val="0.70239110886319789"/>
          <c:h val="8.985596514974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Octubre_2022.xlsx]Participación por Concepto RES!TablaDinámica4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Octubre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 RES'!$C$9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F-4BCA-A578-1D99CD5C5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AF-4BCA-A578-1D99CD5C56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 RES'!$B$10:$B$12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 RES'!$C$10:$C$12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52189.047171859995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D-430E-A10D-C86BE0619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RESERVA'!$E$13</c:f>
              <c:strCache>
                <c:ptCount val="1"/>
                <c:pt idx="0">
                  <c:v>80,47%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{C6A67548-5EB0-4D94-8D03-8FC29BCF777C}</c15:txfldGUID>
                  <c15:f>'EJECUCIÓN  RESERVA'!$E$13</c15:f>
                  <c15:dlblFieldTableCache>
                    <c:ptCount val="1"/>
                    <c:pt idx="0">
                      <c:v>80,47%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RESERVA'!$E$13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RESERVA'!$E$13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RESERVA'!$E$13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RESERVA'!$E$13</c:f>
                  <c:strCache>
                    <c:ptCount val="1"/>
                    <c:pt idx="0">
                      <c:v>80,47%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{A4E1E6C2-734F-4453-A929-6331BD515643}</c15:txfldGUID>
                      <c15:f>'EJECUCIÓN  RESERVA'!$E$13</c15:f>
                      <c15:dlblFieldTableCache>
                        <c:ptCount val="1"/>
                        <c:pt idx="0">
                          <c:v>80,47%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44617.735905050002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RESERVA'!$F$11</c:f>
              <c:strCache>
                <c:ptCount val="1"/>
                <c:pt idx="0">
                  <c:v>79,67%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{8D145C8C-1254-4108-8A9C-FBCFEF68B9C3}</c15:txfldGUID>
                  <c15:f>'EJECUCIÓN  RESERVA'!$F$11</c15:f>
                  <c15:dlblFieldTableCache>
                    <c:ptCount val="1"/>
                    <c:pt idx="0">
                      <c:v>79,67%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RESERVA'!$F$10</c:f>
              <c:strCache>
                <c:ptCount val="1"/>
                <c:pt idx="0">
                  <c:v>99,26%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{DD5D1171-DB69-4C77-BCA7-2B1E6D1974DA}</c15:txfldGUID>
                  <c15:f>'EJECUCIÓN  RESERVA'!$F$10</c15:f>
                  <c15:dlblFieldTableCache>
                    <c:ptCount val="1"/>
                    <c:pt idx="0">
                      <c:v>99,26%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RESERVA'!$F$11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RESERVA'!$F$11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RESERVA'!$F$11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RESERVA'!$F$10</c:f>
                  <c:strCache>
                    <c:ptCount val="1"/>
                    <c:pt idx="0">
                      <c:v>99,26%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{D6C0712E-462A-4C18-807F-2AD488162A5C}</c15:txfldGUID>
                      <c15:f>'EJECUCIÓN  RESERVA'!$F$10</c15:f>
                      <c15:dlblFieldTableCache>
                        <c:ptCount val="1"/>
                        <c:pt idx="0">
                          <c:v>99,26%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RESERVA'!$F$11</c:f>
                  <c:strCache>
                    <c:ptCount val="1"/>
                    <c:pt idx="0">
                      <c:v>79,67%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{9DBE4640-F6F2-422A-BF7D-A3157C2B5F54}</c15:txfldGUID>
                      <c15:f>'EJECUCIÓN  RESERVA'!$F$11</c15:f>
                      <c15:dlblFieldTableCache>
                        <c:ptCount val="1"/>
                        <c:pt idx="0">
                          <c:v>79,67%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42384.726818390001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Octubre_2022.xlsx]PART.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octubre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2679757011505638"/>
          <c:y val="8.7797442664837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26C6-4FB1-9CC8-9AA4959F24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26C6-4FB1-9CC8-9AA4959F2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'!$B$10:$B$12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'PART. CUENTA X PAGAR CONCEPTO '!$C$10:$C$12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D-4743-9A84-AD84A0F630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9.xm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ART. CUENTA X PAGAR CONCEPTO '!A1"/><Relationship Id="rId3" Type="http://schemas.openxmlformats.org/officeDocument/2006/relationships/hyperlink" Target="#'APR VS RP  Y OBLIGACI&#211;N Y PAGO'!A1"/><Relationship Id="rId7" Type="http://schemas.openxmlformats.org/officeDocument/2006/relationships/hyperlink" Target="#'EJECUCI&#211;N  RESERVA'!A1"/><Relationship Id="rId2" Type="http://schemas.openxmlformats.org/officeDocument/2006/relationships/image" Target="../media/image1.png"/><Relationship Id="rId1" Type="http://schemas.openxmlformats.org/officeDocument/2006/relationships/hyperlink" Target="#'Participaci&#243;n Apropiaci&#243;n '!A1"/><Relationship Id="rId6" Type="http://schemas.openxmlformats.org/officeDocument/2006/relationships/hyperlink" Target="#'Participaci&#243;n por Concepto RES'!A1"/><Relationship Id="rId11" Type="http://schemas.openxmlformats.org/officeDocument/2006/relationships/image" Target="../media/image3.jpeg"/><Relationship Id="rId5" Type="http://schemas.openxmlformats.org/officeDocument/2006/relationships/hyperlink" Target="#'INVERSI&#211;N APR VS RP Y OBLI'!A1"/><Relationship Id="rId10" Type="http://schemas.openxmlformats.org/officeDocument/2006/relationships/image" Target="../media/image2.png"/><Relationship Id="rId4" Type="http://schemas.openxmlformats.org/officeDocument/2006/relationships/hyperlink" Target="#'APR,RP&#180;S,OBL Y PAGO FUNCIONAMIE'!A1"/><Relationship Id="rId9" Type="http://schemas.openxmlformats.org/officeDocument/2006/relationships/hyperlink" Target="#'EJECUCI&#211;N CUENTA POR PAGAR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6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0.65497</cdr:x>
      <cdr:y>0.80337</cdr:y>
    </cdr:from>
    <cdr:to>
      <cdr:x>1</cdr:x>
      <cdr:y>0.93324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752058" y="3572175"/>
          <a:ext cx="1976538" cy="57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 de 2022</a:t>
          </a:r>
        </a:p>
      </xdr:txBody>
    </xdr:sp>
    <xdr:clientData/>
  </xdr:oneCellAnchor>
  <xdr:twoCellAnchor>
    <xdr:from>
      <xdr:col>1</xdr:col>
      <xdr:colOff>9525</xdr:colOff>
      <xdr:row>13</xdr:row>
      <xdr:rowOff>90487</xdr:rowOff>
    </xdr:from>
    <xdr:to>
      <xdr:col>6</xdr:col>
      <xdr:colOff>742950</xdr:colOff>
      <xdr:row>33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2</xdr:row>
      <xdr:rowOff>28574</xdr:rowOff>
    </xdr:from>
    <xdr:to>
      <xdr:col>2</xdr:col>
      <xdr:colOff>1094329</xdr:colOff>
      <xdr:row>6</xdr:row>
      <xdr:rowOff>58574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04AA85-0AE1-4C2B-BDAA-8E61F8FD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19074"/>
          <a:ext cx="2351629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1</xdr:row>
      <xdr:rowOff>47625</xdr:rowOff>
    </xdr:from>
    <xdr:to>
      <xdr:col>10</xdr:col>
      <xdr:colOff>711256</xdr:colOff>
      <xdr:row>6</xdr:row>
      <xdr:rowOff>17983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CF6A9-C6F8-4D8F-91B3-DEF621AA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octubre</a:t>
          </a:r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740833</xdr:colOff>
      <xdr:row>15</xdr:row>
      <xdr:rowOff>162983</xdr:rowOff>
    </xdr:from>
    <xdr:to>
      <xdr:col>7</xdr:col>
      <xdr:colOff>355986</xdr:colOff>
      <xdr:row>30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638176</xdr:colOff>
      <xdr:row>37</xdr:row>
      <xdr:rowOff>0</xdr:rowOff>
    </xdr:from>
    <xdr:to>
      <xdr:col>5</xdr:col>
      <xdr:colOff>755363</xdr:colOff>
      <xdr:row>54</xdr:row>
      <xdr:rowOff>133349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2</xdr:col>
      <xdr:colOff>1008289</xdr:colOff>
      <xdr:row>5</xdr:row>
      <xdr:rowOff>17062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F3D070-177A-49C4-9F0A-5C82EC3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2313214" cy="779062"/>
        </a:xfrm>
        <a:prstGeom prst="rect">
          <a:avLst/>
        </a:prstGeom>
      </xdr:spPr>
    </xdr:pic>
    <xdr:clientData/>
  </xdr:twoCellAnchor>
  <xdr:twoCellAnchor editAs="oneCell">
    <xdr:from>
      <xdr:col>8</xdr:col>
      <xdr:colOff>650819</xdr:colOff>
      <xdr:row>0</xdr:row>
      <xdr:rowOff>182043</xdr:rowOff>
    </xdr:from>
    <xdr:to>
      <xdr:col>9</xdr:col>
      <xdr:colOff>752475</xdr:colOff>
      <xdr:row>5</xdr:row>
      <xdr:rowOff>152401</xdr:rowOff>
    </xdr:to>
    <xdr:pic>
      <xdr:nvPicPr>
        <xdr:cNvPr id="10" name="Imagen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DDA17-A680-77B3-E796-E86C88DD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919" y="182043"/>
          <a:ext cx="863656" cy="92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1628774</xdr:colOff>
      <xdr:row>1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4560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1</xdr:col>
      <xdr:colOff>10146847</xdr:colOff>
      <xdr:row>8</xdr:row>
      <xdr:rowOff>412296</xdr:rowOff>
    </xdr:from>
    <xdr:to>
      <xdr:col>1</xdr:col>
      <xdr:colOff>10642147</xdr:colOff>
      <xdr:row>10</xdr:row>
      <xdr:rowOff>155121</xdr:rowOff>
    </xdr:to>
    <xdr:pic>
      <xdr:nvPicPr>
        <xdr:cNvPr id="9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633" y="2017939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7890782</xdr:colOff>
      <xdr:row>9</xdr:row>
      <xdr:rowOff>405493</xdr:rowOff>
    </xdr:from>
    <xdr:to>
      <xdr:col>1</xdr:col>
      <xdr:colOff>8386082</xdr:colOff>
      <xdr:row>11</xdr:row>
      <xdr:rowOff>148318</xdr:rowOff>
    </xdr:to>
    <xdr:pic>
      <xdr:nvPicPr>
        <xdr:cNvPr id="10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568" y="2473779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11219089</xdr:colOff>
      <xdr:row>10</xdr:row>
      <xdr:rowOff>405493</xdr:rowOff>
    </xdr:from>
    <xdr:to>
      <xdr:col>1</xdr:col>
      <xdr:colOff>11714389</xdr:colOff>
      <xdr:row>12</xdr:row>
      <xdr:rowOff>148318</xdr:rowOff>
    </xdr:to>
    <xdr:pic>
      <xdr:nvPicPr>
        <xdr:cNvPr id="11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2936422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8875939</xdr:colOff>
      <xdr:row>11</xdr:row>
      <xdr:rowOff>400050</xdr:rowOff>
    </xdr:from>
    <xdr:to>
      <xdr:col>1</xdr:col>
      <xdr:colOff>9371239</xdr:colOff>
      <xdr:row>13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3393621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9995866</xdr:colOff>
      <xdr:row>14</xdr:row>
      <xdr:rowOff>402890</xdr:rowOff>
    </xdr:from>
    <xdr:to>
      <xdr:col>1</xdr:col>
      <xdr:colOff>10491166</xdr:colOff>
      <xdr:row>16</xdr:row>
      <xdr:rowOff>145715</xdr:rowOff>
    </xdr:to>
    <xdr:pic>
      <xdr:nvPicPr>
        <xdr:cNvPr id="13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2518" y="4925194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7438019</xdr:colOff>
      <xdr:row>15</xdr:row>
      <xdr:rowOff>411172</xdr:rowOff>
    </xdr:from>
    <xdr:to>
      <xdr:col>1</xdr:col>
      <xdr:colOff>7933319</xdr:colOff>
      <xdr:row>17</xdr:row>
      <xdr:rowOff>153997</xdr:rowOff>
    </xdr:to>
    <xdr:pic>
      <xdr:nvPicPr>
        <xdr:cNvPr id="14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4671" y="5389020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11230566</xdr:colOff>
      <xdr:row>19</xdr:row>
      <xdr:rowOff>353548</xdr:rowOff>
    </xdr:from>
    <xdr:to>
      <xdr:col>1</xdr:col>
      <xdr:colOff>11725866</xdr:colOff>
      <xdr:row>21</xdr:row>
      <xdr:rowOff>96373</xdr:rowOff>
    </xdr:to>
    <xdr:pic>
      <xdr:nvPicPr>
        <xdr:cNvPr id="16" name="Imagen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7218" y="6888526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7580066</xdr:colOff>
      <xdr:row>20</xdr:row>
      <xdr:rowOff>394133</xdr:rowOff>
    </xdr:from>
    <xdr:to>
      <xdr:col>1</xdr:col>
      <xdr:colOff>8075366</xdr:colOff>
      <xdr:row>22</xdr:row>
      <xdr:rowOff>136958</xdr:rowOff>
    </xdr:to>
    <xdr:pic>
      <xdr:nvPicPr>
        <xdr:cNvPr id="17" name="Imagen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6718" y="7384655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21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13606</xdr:colOff>
      <xdr:row>1</xdr:row>
      <xdr:rowOff>285750</xdr:rowOff>
    </xdr:from>
    <xdr:to>
      <xdr:col>1</xdr:col>
      <xdr:colOff>2365237</xdr:colOff>
      <xdr:row>5</xdr:row>
      <xdr:rowOff>43607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D1CDCCD-0DED-DD82-8EF4-F1C22122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" y="476250"/>
          <a:ext cx="2351631" cy="792000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25</xdr:row>
      <xdr:rowOff>95250</xdr:rowOff>
    </xdr:from>
    <xdr:to>
      <xdr:col>1</xdr:col>
      <xdr:colOff>7688036</xdr:colOff>
      <xdr:row>29</xdr:row>
      <xdr:rowOff>141106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3D46C78-70B5-7F42-E6DE-9AE8104663AF}"/>
            </a:ext>
          </a:extLst>
        </xdr:cNvPr>
        <xdr:cNvGrpSpPr/>
      </xdr:nvGrpSpPr>
      <xdr:grpSpPr>
        <a:xfrm>
          <a:off x="625928" y="8939893"/>
          <a:ext cx="7606394" cy="807856"/>
          <a:chOff x="789214" y="8490858"/>
          <a:chExt cx="10296092" cy="109360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6A87A12-C3F7-5B98-C007-14B8A7EF24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B6B42AC3-54C4-4350-6068-BB1C3A360E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19050</xdr:rowOff>
    </xdr:from>
    <xdr:to>
      <xdr:col>7</xdr:col>
      <xdr:colOff>361950</xdr:colOff>
      <xdr:row>38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981075</xdr:colOff>
      <xdr:row>1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 de 2022</a:t>
          </a:r>
        </a:p>
      </xdr:txBody>
    </xdr:sp>
    <xdr:clientData/>
  </xdr:oneCellAnchor>
  <xdr:twoCellAnchor editAs="oneCell">
    <xdr:from>
      <xdr:col>1</xdr:col>
      <xdr:colOff>0</xdr:colOff>
      <xdr:row>87</xdr:row>
      <xdr:rowOff>0</xdr:rowOff>
    </xdr:from>
    <xdr:to>
      <xdr:col>5</xdr:col>
      <xdr:colOff>440055</xdr:colOff>
      <xdr:row>108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85725</xdr:rowOff>
    </xdr:from>
    <xdr:to>
      <xdr:col>2</xdr:col>
      <xdr:colOff>770481</xdr:colOff>
      <xdr:row>5</xdr:row>
      <xdr:rowOff>115725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D41B18-6C4F-4FD7-B2F4-1E52BC0E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76225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19050</xdr:rowOff>
    </xdr:from>
    <xdr:to>
      <xdr:col>9</xdr:col>
      <xdr:colOff>730306</xdr:colOff>
      <xdr:row>5</xdr:row>
      <xdr:rowOff>179908</xdr:rowOff>
    </xdr:to>
    <xdr:pic>
      <xdr:nvPicPr>
        <xdr:cNvPr id="3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4761DA-B471-4AA2-9FD3-D27D447F1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1905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504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219071</xdr:colOff>
      <xdr:row>14</xdr:row>
      <xdr:rowOff>104775</xdr:rowOff>
    </xdr:from>
    <xdr:to>
      <xdr:col>11</xdr:col>
      <xdr:colOff>428625</xdr:colOff>
      <xdr:row>39</xdr:row>
      <xdr:rowOff>123824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19071" y="2771775"/>
          <a:ext cx="10620379" cy="4781549"/>
          <a:chOff x="495003" y="2343149"/>
          <a:chExt cx="10982328" cy="495300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95003" y="23622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485775</xdr:colOff>
      <xdr:row>2</xdr:row>
      <xdr:rowOff>0</xdr:rowOff>
    </xdr:from>
    <xdr:to>
      <xdr:col>1</xdr:col>
      <xdr:colOff>2038350</xdr:colOff>
      <xdr:row>6</xdr:row>
      <xdr:rowOff>17520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8B60D3-1C39-4D9D-B7A8-85E9C0F5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2314575" cy="7795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114300</xdr:rowOff>
    </xdr:from>
    <xdr:to>
      <xdr:col>10</xdr:col>
      <xdr:colOff>101656</xdr:colOff>
      <xdr:row>6</xdr:row>
      <xdr:rowOff>84658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5221D2-A975-42C9-80DE-19132AF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04800"/>
          <a:ext cx="863656" cy="9228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2747529</xdr:colOff>
      <xdr:row>2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 de 2022</a:t>
          </a:r>
        </a:p>
      </xdr:txBody>
    </xdr:sp>
    <xdr:clientData/>
  </xdr:oneCellAnchor>
  <xdr:twoCellAnchor>
    <xdr:from>
      <xdr:col>1</xdr:col>
      <xdr:colOff>271318</xdr:colOff>
      <xdr:row>14</xdr:row>
      <xdr:rowOff>865</xdr:rowOff>
    </xdr:from>
    <xdr:to>
      <xdr:col>8</xdr:col>
      <xdr:colOff>467591</xdr:colOff>
      <xdr:row>39</xdr:row>
      <xdr:rowOff>147205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235323</xdr:colOff>
      <xdr:row>2</xdr:row>
      <xdr:rowOff>44824</xdr:rowOff>
    </xdr:from>
    <xdr:to>
      <xdr:col>2</xdr:col>
      <xdr:colOff>2093894</xdr:colOff>
      <xdr:row>6</xdr:row>
      <xdr:rowOff>74824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13299-F887-4C4E-992B-C7BE1707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425824"/>
          <a:ext cx="2351630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180975</xdr:rowOff>
    </xdr:from>
    <xdr:to>
      <xdr:col>9</xdr:col>
      <xdr:colOff>130231</xdr:colOff>
      <xdr:row>6</xdr:row>
      <xdr:rowOff>151333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76E25C-52E0-45EC-9CA6-ECFCD17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371475"/>
          <a:ext cx="863656" cy="92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15</xdr:row>
      <xdr:rowOff>19053</xdr:rowOff>
    </xdr:from>
    <xdr:to>
      <xdr:col>6</xdr:col>
      <xdr:colOff>590549</xdr:colOff>
      <xdr:row>38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1314450</xdr:colOff>
      <xdr:row>1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octubre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</xdr:colOff>
      <xdr:row>12</xdr:row>
      <xdr:rowOff>0</xdr:rowOff>
    </xdr:from>
    <xdr:to>
      <xdr:col>2</xdr:col>
      <xdr:colOff>381000</xdr:colOff>
      <xdr:row>14</xdr:row>
      <xdr:rowOff>25079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2072" y="2428875"/>
          <a:ext cx="1580553" cy="453704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 rtlCol="0" anchor="ctr">
          <a:noAutofit/>
        </a:bodyPr>
        <a:lstStyle/>
        <a:p>
          <a:pPr algn="ctr"/>
          <a:r>
            <a:rPr lang="es-CO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838200</xdr:colOff>
      <xdr:row>1</xdr:row>
      <xdr:rowOff>0</xdr:rowOff>
    </xdr:from>
    <xdr:to>
      <xdr:col>2</xdr:col>
      <xdr:colOff>1104900</xdr:colOff>
      <xdr:row>5</xdr:row>
      <xdr:rowOff>14312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6F6453-6051-4EDB-B40C-0A25FB61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305050" cy="7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</xdr:row>
      <xdr:rowOff>47625</xdr:rowOff>
    </xdr:from>
    <xdr:to>
      <xdr:col>8</xdr:col>
      <xdr:colOff>415981</xdr:colOff>
      <xdr:row>6</xdr:row>
      <xdr:rowOff>17983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B229B-30DD-4874-AC5F-F28FB502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octubre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828674</xdr:colOff>
      <xdr:row>12</xdr:row>
      <xdr:rowOff>171449</xdr:rowOff>
    </xdr:from>
    <xdr:to>
      <xdr:col>9</xdr:col>
      <xdr:colOff>342900</xdr:colOff>
      <xdr:row>35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1141956</xdr:colOff>
      <xdr:row>5</xdr:row>
      <xdr:rowOff>144300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DEFB0-00D1-4D55-A2AF-FD74BF0E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30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1</xdr:row>
      <xdr:rowOff>47625</xdr:rowOff>
    </xdr:from>
    <xdr:to>
      <xdr:col>11</xdr:col>
      <xdr:colOff>44506</xdr:colOff>
      <xdr:row>6</xdr:row>
      <xdr:rowOff>17983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14384-B713-4022-90B5-0E72B9BB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448300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895600" y="123826"/>
          <a:ext cx="54483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octubre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749085</xdr:colOff>
      <xdr:row>39</xdr:row>
      <xdr:rowOff>170377</xdr:rowOff>
    </xdr:from>
    <xdr:to>
      <xdr:col>5</xdr:col>
      <xdr:colOff>753156</xdr:colOff>
      <xdr:row>59</xdr:row>
      <xdr:rowOff>33619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47143</xdr:colOff>
      <xdr:row>14</xdr:row>
      <xdr:rowOff>134118</xdr:rowOff>
    </xdr:from>
    <xdr:to>
      <xdr:col>7</xdr:col>
      <xdr:colOff>48106</xdr:colOff>
      <xdr:row>29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676275</xdr:colOff>
      <xdr:row>1</xdr:row>
      <xdr:rowOff>133351</xdr:rowOff>
    </xdr:from>
    <xdr:to>
      <xdr:col>3</xdr:col>
      <xdr:colOff>238125</xdr:colOff>
      <xdr:row>5</xdr:row>
      <xdr:rowOff>86713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B95627-07A7-4875-B69A-294A534D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2124075" cy="715362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0</xdr:row>
      <xdr:rowOff>85725</xdr:rowOff>
    </xdr:from>
    <xdr:to>
      <xdr:col>11</xdr:col>
      <xdr:colOff>739831</xdr:colOff>
      <xdr:row>5</xdr:row>
      <xdr:rowOff>56083</xdr:rowOff>
    </xdr:to>
    <xdr:pic>
      <xdr:nvPicPr>
        <xdr:cNvPr id="2" name="Imagen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EBFF6-0824-4279-B836-CFE81598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85725"/>
          <a:ext cx="863656" cy="9228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3217596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3680558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3">
        <s v="A-FUNCIONAMIENTO"/>
        <s v="C-INVERSIÓN"/>
        <s v="B-INVERSIÓN" u="1"/>
      </sharedItems>
    </cacheField>
    <cacheField name="CXP VIGENTES_x000a_" numFmtId="164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3796297" createdVersion="8" refreshedVersion="8" minRefreshableVersion="3" recordCount="2" xr:uid="{0F170109-CAE8-4B8F-9CC6-F7219DA4E11A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49.6486331999999" maxValue="52189.04717185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4027781" createdVersion="8" refreshedVersion="8" minRefreshableVersion="3" recordCount="2" xr:uid="{8BD12082-4F75-4F13-AE0B-8E362F040216}">
  <cacheSource type="worksheet">
    <worksheetSource ref="B2:E4" sheet="Reservas Presupuestales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0" maxValue="1008.21884273"/>
    </cacheField>
    <cacheField name="TOTAL PAGOS_x000a_ACUMULADOS_x000a_(5)" numFmtId="4">
      <sharedItems containsSemiMixedTypes="0" containsString="0" containsNumber="1" minValue="2233.0090866599999" maxValue="42384.72681839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4490743" createdVersion="8" refreshedVersion="8" minRefreshableVersion="3" recordCount="7" xr:uid="{2B7CC98C-48B3-4898-BA95-2E0A53BBE56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7">
      <sharedItems containsSemiMixedTypes="0" containsString="0" containsNumber="1" minValue="10006.772290000001" maxValue="4505182.0250120005"/>
    </cacheField>
    <cacheField name="CERTIFICADOS_x000a_ ACUMULADOS" numFmtId="167">
      <sharedItems containsSemiMixedTypes="0" containsString="0" containsNumber="1" minValue="2856.5249476400004" maxValue="4356702.8396793893"/>
    </cacheField>
    <cacheField name="COMPROMISOS_x000a_ ACUMULADOS" numFmtId="167">
      <sharedItems containsSemiMixedTypes="0" containsString="0" containsNumber="1" minValue="2799.67483864" maxValue="4351551.928545"/>
    </cacheField>
    <cacheField name="OBLIGACIONES_x000a_ ACUMULADAS" numFmtId="167">
      <sharedItems containsSemiMixedTypes="0" containsString="0" containsNumber="1" minValue="2799.67483864" maxValue="932302.88402700005"/>
    </cacheField>
    <cacheField name="PAGOS_x000a_A CUMULADOS" numFmtId="167">
      <sharedItems containsSemiMixedTypes="0" containsString="0" containsNumber="1" minValue="2799.67483864" maxValue="932302.884027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0.485735069444" createdVersion="8" refreshedVersion="8" minRefreshableVersion="3" recordCount="35" xr:uid="{FF60E632-5704-4ADA-B579-87A105235995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55653740" maxValue="326484319237"/>
    </cacheField>
    <cacheField name="COMPROMISOS_x000a_ ACUMULADOS" numFmtId="4">
      <sharedItems containsSemiMixedTypes="0" containsString="0" containsNumber="1" minValue="119838891.1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2189.0471718599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33.0090866599999"/>
  </r>
  <r>
    <x v="1"/>
    <n v="53197.266014589994"/>
    <n v="1008.21884273"/>
    <n v="42384.72681839000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89937.490324490005"/>
    <n v="71364.141822850012"/>
    <n v="69141.968314359998"/>
    <n v="67642.043213359997"/>
  </r>
  <r>
    <s v="A-01"/>
    <x v="1"/>
    <n v="56308.670080000004"/>
    <n v="56308.670080000004"/>
    <n v="39864.821969270008"/>
    <n v="39864.821969270008"/>
    <n v="38839.374167269998"/>
  </r>
  <r>
    <s v="A-02"/>
    <x v="2"/>
    <n v="19419.071"/>
    <n v="18620.864028850003"/>
    <n v="16548.21374694"/>
    <n v="14326.040238449998"/>
    <n v="13851.562939449997"/>
  </r>
  <r>
    <s v="A-03"/>
    <x v="3"/>
    <n v="10006.772290000001"/>
    <n v="2856.5249476400004"/>
    <n v="2799.67483864"/>
    <n v="2799.67483864"/>
    <n v="2799.67483864"/>
  </r>
  <r>
    <s v="A-08"/>
    <x v="4"/>
    <n v="14051.472"/>
    <n v="12151.431268"/>
    <n v="12151.431268"/>
    <n v="12151.431268"/>
    <n v="12151.431268"/>
  </r>
  <r>
    <s v="B"/>
    <x v="5"/>
    <n v="1167604.3350470001"/>
    <n v="932302.88402700005"/>
    <n v="932302.88402700005"/>
    <n v="932302.88402700005"/>
    <n v="932302.88402700005"/>
  </r>
  <r>
    <s v="C"/>
    <x v="6"/>
    <n v="4505182.0250120005"/>
    <n v="4356702.8396793893"/>
    <n v="4351551.928545"/>
    <n v="380406.50059789"/>
    <n v="380087.0809978900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2040669169.59"/>
    <n v="11612787087.58"/>
    <n v="8851458261.7399998"/>
    <n v="8697548258.7399998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91290743.8699999"/>
    <n v="2304567030.96"/>
    <n v="1810023433.46"/>
    <n v="1810023433.46"/>
  </r>
  <r>
    <s v="C-2403-0600-4"/>
    <x v="24"/>
    <n v="2257022926"/>
    <n v="2084037783.5"/>
    <n v="2065756125.7"/>
    <n v="1548606375.7"/>
    <n v="1527667478.7"/>
  </r>
  <r>
    <s v="C-2403-0600-5"/>
    <x v="25"/>
    <n v="3785000000"/>
    <n v="3231244898"/>
    <n v="3231214802.5599999"/>
    <n v="798976024.91999996"/>
    <n v="798976024.91999996"/>
  </r>
  <r>
    <s v="C-2404-0600-2"/>
    <x v="26"/>
    <n v="76235881312"/>
    <n v="74412328936.619995"/>
    <n v="73030928176.169998"/>
    <n v="31668883436.200001"/>
    <n v="31668883436.200001"/>
  </r>
  <r>
    <s v="C-2404-0600-4"/>
    <x v="27"/>
    <n v="1124097372"/>
    <n v="930742676.25999999"/>
    <n v="898425237.04999995"/>
    <n v="687769115.04999995"/>
    <n v="678600217.04999995"/>
  </r>
  <r>
    <s v="C-2405-0600-2"/>
    <x v="28"/>
    <n v="1000000000"/>
    <n v="474772932"/>
    <n v="418755807.54000002"/>
    <n v="51476006.200000003"/>
    <n v="51476006.200000003"/>
  </r>
  <r>
    <s v="C-2405-0600-4"/>
    <x v="29"/>
    <n v="3056837754"/>
    <n v="2876780068.6500001"/>
    <n v="2818008130.0700002"/>
    <n v="2086360904.27"/>
    <n v="2063085927.27"/>
  </r>
  <r>
    <s v="C-2406-0600-1"/>
    <x v="30"/>
    <n v="907945356"/>
    <n v="155653740"/>
    <n v="150309905.47999999"/>
    <n v="105946016.48"/>
    <n v="105946016.48"/>
  </r>
  <r>
    <s v="C-2499-0600-7"/>
    <x v="31"/>
    <n v="200000000"/>
    <n v="177108632"/>
    <n v="119838891.16"/>
    <n v="59343438.159999996"/>
    <n v="59343438.159999996"/>
  </r>
  <r>
    <s v="C-2499-0600-8"/>
    <x v="32"/>
    <n v="58800000000"/>
    <n v="16947657206.110001"/>
    <n v="15950257901.390001"/>
    <n v="11513025647.370001"/>
    <n v="11460138181.370001"/>
  </r>
  <r>
    <s v="C-2499-0600-9"/>
    <x v="33"/>
    <n v="5000000000"/>
    <n v="3862008307.79"/>
    <n v="3859824390.2600002"/>
    <n v="3236425202.2600002"/>
    <n v="3186429628.2600002"/>
  </r>
  <r>
    <s v="C-2499-0600-10"/>
    <x v="34"/>
    <n v="1000000000"/>
    <n v="957400885"/>
    <n v="930111359.08000004"/>
    <n v="723103527.08000004"/>
    <n v="713859742.08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20169-9DC7-4B8C-BE1F-F5C2EE1088F5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8:C12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7"/>
  </dataFields>
  <formats count="1">
    <format dxfId="75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 numFmtId="4"/>
    <dataField name="CANCELACION CXP" fld="2" baseField="0" baseItem="1"/>
    <dataField name="TOTAL PAGOS" fld="3" baseField="0" baseItem="1" numFmtId="43"/>
  </dataFields>
  <formats count="2"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FACF45-01EF-4A7B-9556-0216516B697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8:F12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74">
      <pivotArea outline="0" fieldPosition="0">
        <references count="1">
          <reference field="4294967294" count="1">
            <x v="0"/>
          </reference>
        </references>
      </pivotArea>
    </format>
    <format dxfId="73">
      <pivotArea outline="0" fieldPosition="0">
        <references count="1">
          <reference field="4294967294" count="1">
            <x v="2"/>
          </reference>
        </references>
      </pivotArea>
    </format>
    <format dxfId="72">
      <pivotArea outline="0" fieldPosition="0">
        <references count="1">
          <reference field="4294967294" count="1">
            <x v="3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fieldPosition="0">
        <references count="1">
          <reference field="4294967294" count="1">
            <x v="0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4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63">
      <pivotArea outline="0" fieldPosition="0">
        <references count="1">
          <reference field="4294967294" count="1">
            <x v="1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1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D6BF6E-1F84-4C6B-9092-E0E67D63A5F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C8:G13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60">
      <pivotArea dataOnly="0" labelOnly="1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724DA-BEE0-49BD-A824-A505A20D60E6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9:E10" firstHeaderRow="0" firstDataRow="1" firstDataCol="0" rowPageCount="1" colPageCount="1"/>
  <pivotFields count="7">
    <pivotField showAll="0"/>
    <pivotField axis="axisPage" subtotalTop="0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APROPIACION VIG." fld="2" baseField="0" baseItem="1" numFmtId="168"/>
    <dataField name="COMPRO. ACUMU." fld="4" baseField="0" baseItem="1" numFmtId="168"/>
    <dataField name="OBLIGACION. ACUMU." fld="5" baseField="0" baseItem="2" numFmtId="168"/>
    <dataField name="PAGOS ACUMU." fld="6" baseField="0" baseItem="3" numFmtId="168"/>
  </dataFields>
  <formats count="12">
    <format dxfId="52">
      <pivotArea collapsedLevelsAreSubtotals="1" fieldPosition="0">
        <references count="1">
          <reference field="1" count="0"/>
        </references>
      </pivotArea>
    </format>
    <format dxfId="51">
      <pivotArea grandRow="1" outline="0" collapsedLevelsAreSubtotals="1" fieldPosition="0"/>
    </format>
    <format dxfId="50">
      <pivotArea collapsedLevelsAreSubtotals="1" fieldPosition="0">
        <references count="1">
          <reference field="1" count="0"/>
        </references>
      </pivotArea>
    </format>
    <format dxfId="4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7">
      <pivotArea dataOnly="0" outline="0" fieldPosition="0">
        <references count="1">
          <reference field="1" count="0"/>
        </references>
      </pivotArea>
    </format>
    <format dxfId="46">
      <pivotArea field="1" type="button" dataOnly="0" labelOnly="1" outline="0" axis="axisPage" fieldPosition="0"/>
    </format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1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013B3-C16A-4B26-8981-677D0E618EA7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 rowHeaderCaption="CONCEPTO">
  <location ref="B9:C12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/>
  </dataFields>
  <formats count="8">
    <format dxfId="40">
      <pivotArea collapsedLevelsAreSubtotals="1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24AD65-6D9E-4085-91E4-A4628223E580}" name="TablaDinámica5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7:D38" firstHeaderRow="0" firstDataRow="1" firstDataCol="0"/>
  <pivotFields count="4">
    <pivotField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field="0" type="button" dataOnly="0" labelOnly="1" outline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0" type="button" dataOnly="0" labelOnly="1" outline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field="0" type="button" dataOnly="0" labelOnly="1" outline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0D685-9FCE-4A4D-A2CC-6A88A4D35249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CONCEPTO">
  <location ref="B9:C12" firstHeaderRow="1" firstDataRow="1" firstDataCol="1"/>
  <pivotFields count="2">
    <pivotField axis="axisRow" showAll="0">
      <items count="4">
        <item x="0"/>
        <item m="1" x="2"/>
        <item x="1"/>
        <item t="default"/>
      </items>
    </pivotField>
    <pivotField dataField="1" numFmtId="164" showAll="0"/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Suma de CXP VIGENTES" fld="1" baseField="0" baseItem="2" numFmtId="4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B35:D36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/>
    <dataField name="CANCELACION CXP" fld="2" baseField="0" baseItem="0"/>
    <dataField name="TOTAL PAGOS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2:B23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8.140625" customWidth="1"/>
    <col min="2" max="2" width="177.5703125" customWidth="1"/>
  </cols>
  <sheetData>
    <row r="2" spans="1:2" ht="36" x14ac:dyDescent="0.55000000000000004">
      <c r="A2" s="67" t="s">
        <v>133</v>
      </c>
    </row>
    <row r="9" spans="1:2" ht="36" x14ac:dyDescent="0.55000000000000004">
      <c r="B9" s="44" t="s">
        <v>147</v>
      </c>
    </row>
    <row r="10" spans="1:2" ht="36" x14ac:dyDescent="0.55000000000000004">
      <c r="B10" s="104" t="s">
        <v>148</v>
      </c>
    </row>
    <row r="11" spans="1:2" ht="36" x14ac:dyDescent="0.55000000000000004">
      <c r="B11" s="104" t="s">
        <v>157</v>
      </c>
    </row>
    <row r="12" spans="1:2" ht="36" x14ac:dyDescent="0.55000000000000004">
      <c r="B12" s="104" t="s">
        <v>149</v>
      </c>
    </row>
    <row r="13" spans="1:2" ht="36" x14ac:dyDescent="0.55000000000000004">
      <c r="B13" s="104" t="s">
        <v>150</v>
      </c>
    </row>
    <row r="14" spans="1:2" ht="36" x14ac:dyDescent="0.55000000000000004">
      <c r="B14" s="43"/>
    </row>
    <row r="15" spans="1:2" ht="36" x14ac:dyDescent="0.55000000000000004">
      <c r="B15" s="44" t="s">
        <v>151</v>
      </c>
    </row>
    <row r="16" spans="1:2" ht="36" x14ac:dyDescent="0.55000000000000004">
      <c r="B16" s="104" t="s">
        <v>152</v>
      </c>
    </row>
    <row r="17" spans="2:2" ht="36" x14ac:dyDescent="0.55000000000000004">
      <c r="B17" s="104" t="s">
        <v>153</v>
      </c>
    </row>
    <row r="18" spans="2:2" ht="36" x14ac:dyDescent="0.55000000000000004">
      <c r="B18" s="12"/>
    </row>
    <row r="20" spans="2:2" ht="36" x14ac:dyDescent="0.55000000000000004">
      <c r="B20" s="44" t="s">
        <v>154</v>
      </c>
    </row>
    <row r="21" spans="2:2" ht="36" x14ac:dyDescent="0.55000000000000004">
      <c r="B21" s="104" t="s">
        <v>155</v>
      </c>
    </row>
    <row r="22" spans="2:2" ht="36" x14ac:dyDescent="0.55000000000000004">
      <c r="B22" s="104" t="s">
        <v>156</v>
      </c>
    </row>
    <row r="23" spans="2:2" ht="36" x14ac:dyDescent="0.55000000000000004">
      <c r="B23" s="66"/>
    </row>
  </sheetData>
  <hyperlinks>
    <hyperlink ref="B10" location="'Participación Apropiación '!A1" display="1.1 Porcentaje Participación de la Apropiación  por Concepto de Gasto" xr:uid="{90671573-293B-4C2E-9727-B2E2C79011AE}"/>
    <hyperlink ref="B11" location="'APR VS RP  Y OBLIGACIÓN Y PAGO'!A1" display="1.2 Ejecución  Presupuestal Acumulada al  31/10/2022" xr:uid="{792E56B1-2AA7-433B-8F20-44485E202391}"/>
    <hyperlink ref="B12" location="'APR,RP´S,OBL Y PAGO FUNCIONAMIE'!A1" display="1.3 Comparativo Ejecución  Presupuestal del  Presupuesto de Funcionamiento " xr:uid="{0DAF3131-976A-45AE-A2CE-9AE5A295CD7C}"/>
    <hyperlink ref="B13" location="'INVERSIÓN APR VS RP Y OBLI'!A1" display="1.4 Detalle Ejecución Presupuestal por Proyecto de Inversión " xr:uid="{B3F2924F-A499-4476-B127-B48D053A30CE}"/>
    <hyperlink ref="B16" location="'Participación por Concepto RES'!A1" display="2.1 Porcentaje Participación de la Reserva por Concepto de Gasto" xr:uid="{872381CA-8BBF-4440-A77B-AC8C84DF181E}"/>
    <hyperlink ref="B17" location="'EJECUCIÓN  RESERVA'!A1" display="2.2 Ejecución Reserva Presupuestal Constituida" xr:uid="{A159319A-320F-4E96-9307-6ECCB3E02732}"/>
    <hyperlink ref="B21" location="'PART. CUENTA X PAGAR CONCEPTO '!A1" display="3.1 Porcentaje Participación de la Cuenta por Pagar por Concepto de Gasto" xr:uid="{705886AC-8479-4617-BCCB-CF095BDD8D6D}"/>
    <hyperlink ref="B22" location="'EJECUCIÓN CUENTA POR PAGAR '!A1" display="3.2 Ejecución de la Cuenta por Pagar Constituida" xr:uid="{E2EA80AA-38C7-4505-AB5D-5D8C769C9C8F}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9:N66"/>
  <sheetViews>
    <sheetView showGridLines="0" showRowColHeaders="0" zoomScaleNormal="100" workbookViewId="0"/>
  </sheetViews>
  <sheetFormatPr baseColWidth="10" defaultRowHeight="15" x14ac:dyDescent="0.25"/>
  <cols>
    <col min="1" max="1" width="5" customWidth="1"/>
    <col min="2" max="2" width="17.85546875" bestFit="1" customWidth="1"/>
    <col min="3" max="3" width="10.42578125" bestFit="1" customWidth="1"/>
    <col min="4" max="4" width="10.5703125" bestFit="1" customWidth="1"/>
    <col min="5" max="5" width="10.7109375" bestFit="1" customWidth="1"/>
    <col min="6" max="6" width="11.5703125" bestFit="1" customWidth="1"/>
  </cols>
  <sheetData>
    <row r="9" spans="2:10" ht="67.5" x14ac:dyDescent="0.25">
      <c r="B9" s="99" t="s">
        <v>88</v>
      </c>
      <c r="C9" s="103" t="s">
        <v>87</v>
      </c>
      <c r="D9" s="103" t="s">
        <v>89</v>
      </c>
      <c r="E9" s="103" t="s">
        <v>90</v>
      </c>
      <c r="F9" s="19"/>
    </row>
    <row r="10" spans="2:10" x14ac:dyDescent="0.25">
      <c r="B10" s="41" t="s">
        <v>24</v>
      </c>
      <c r="C10" s="40">
        <v>2249.6486331999999</v>
      </c>
      <c r="D10" s="40">
        <v>0</v>
      </c>
      <c r="E10" s="40">
        <v>2233.0090866599999</v>
      </c>
      <c r="F10" s="92">
        <f>GETPIVOTDATA("PAGOS
ACUMULADOS
",$B$9,"DENOMINACIÓN DEL CÓDIGO PRESUPUESTAL
","A-FUNCIONAMIENTO")/GETPIVOTDATA("RESERVAS CONSTITUIDAS
",$B$9,"DENOMINACIÓN DEL CÓDIGO PRESUPUESTAL
","A-FUNCIONAMIENTO")</f>
        <v>0.99260349092101052</v>
      </c>
    </row>
    <row r="11" spans="2:10" x14ac:dyDescent="0.25">
      <c r="B11" s="41" t="s">
        <v>119</v>
      </c>
      <c r="C11" s="40">
        <v>53197.266014589994</v>
      </c>
      <c r="D11" s="40">
        <v>1008.21884273</v>
      </c>
      <c r="E11" s="40">
        <v>42384.726818390001</v>
      </c>
      <c r="F11" s="92">
        <f>GETPIVOTDATA("PAGOS
ACUMULADOS
",$B$9,"DENOMINACIÓN DEL CÓDIGO PRESUPUESTAL
","C-INVERSIÓN")/GETPIVOTDATA("RESERVAS CONSTITUIDAS
",$B$9,"DENOMINACIÓN DEL CÓDIGO PRESUPUESTAL
","C-INVERSIÓN")</f>
        <v>0.79674633667763073</v>
      </c>
    </row>
    <row r="12" spans="2:10" x14ac:dyDescent="0.25">
      <c r="B12" s="41" t="s">
        <v>6</v>
      </c>
      <c r="C12" s="40">
        <v>55446.914647789992</v>
      </c>
      <c r="D12" s="40">
        <v>1008.21884273</v>
      </c>
      <c r="E12" s="40">
        <v>44617.735905050002</v>
      </c>
      <c r="F12" s="102" t="s">
        <v>94</v>
      </c>
    </row>
    <row r="13" spans="2:10" x14ac:dyDescent="0.25">
      <c r="B13" s="41"/>
      <c r="C13" s="40"/>
      <c r="D13" s="40"/>
      <c r="E13" s="92">
        <f>GETPIVOTDATA("PAGOS
ACUMULADOS
",$B$9)/GETPIVOTDATA("RESERVAS CONSTITUIDAS
",$B$9)</f>
        <v>0.80469285240614163</v>
      </c>
    </row>
    <row r="14" spans="2:10" ht="18.75" x14ac:dyDescent="0.3">
      <c r="B14" s="107" t="s">
        <v>93</v>
      </c>
      <c r="C14" s="107"/>
      <c r="D14" s="107"/>
      <c r="E14" s="107"/>
      <c r="F14" s="107"/>
      <c r="G14" s="107"/>
    </row>
    <row r="15" spans="2:10" x14ac:dyDescent="0.25">
      <c r="H15" s="5"/>
      <c r="J15" s="5"/>
    </row>
    <row r="17" spans="1:14" x14ac:dyDescent="0.25">
      <c r="E17" s="16"/>
      <c r="F17" s="16"/>
    </row>
    <row r="18" spans="1:14" x14ac:dyDescent="0.25">
      <c r="E18" s="16"/>
      <c r="F18" s="16"/>
    </row>
    <row r="19" spans="1:14" x14ac:dyDescent="0.25">
      <c r="B19" s="47"/>
      <c r="C19" s="47"/>
      <c r="D19" s="47"/>
      <c r="E19" s="47"/>
      <c r="F19" s="47"/>
    </row>
    <row r="20" spans="1:14" x14ac:dyDescent="0.25">
      <c r="B20" s="47"/>
      <c r="C20" s="47"/>
      <c r="D20" s="47"/>
      <c r="E20" s="47"/>
      <c r="F20" s="47"/>
    </row>
    <row r="21" spans="1:14" x14ac:dyDescent="0.25">
      <c r="A21" s="16"/>
      <c r="B21" s="47"/>
      <c r="C21" s="47"/>
      <c r="D21" s="47"/>
      <c r="E21" s="47"/>
      <c r="F21" s="47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75"/>
      <c r="J22" s="16"/>
      <c r="K22" s="16"/>
      <c r="L22" s="16"/>
      <c r="M22" s="16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9"/>
      <c r="J23" s="16"/>
      <c r="K23" s="16"/>
      <c r="L23" s="16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75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I25" s="16"/>
      <c r="J25" s="70"/>
      <c r="K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75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75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75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75"/>
      <c r="K33" s="16"/>
      <c r="L33" s="16"/>
      <c r="M33" s="16"/>
      <c r="N33" s="16"/>
    </row>
    <row r="34" spans="1:14" ht="18.75" x14ac:dyDescent="0.3">
      <c r="A34" s="16"/>
      <c r="B34" s="106" t="s">
        <v>92</v>
      </c>
      <c r="C34" s="106"/>
      <c r="D34" s="106"/>
      <c r="E34" s="106"/>
      <c r="F34" s="10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68.25" x14ac:dyDescent="0.25">
      <c r="A37" s="16"/>
      <c r="B37" s="100" t="s">
        <v>87</v>
      </c>
      <c r="C37" s="100" t="s">
        <v>89</v>
      </c>
      <c r="D37" s="100" t="s">
        <v>90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40">
        <v>55446.914647789992</v>
      </c>
      <c r="C38" s="40">
        <v>1008.21884273</v>
      </c>
      <c r="D38" s="40">
        <v>44617.735905050002</v>
      </c>
      <c r="E38" s="45" t="s">
        <v>94</v>
      </c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75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75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10"/>
      <c r="K48" s="10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0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</row>
    <row r="63" spans="1:11" x14ac:dyDescent="0.25">
      <c r="A63" s="26"/>
      <c r="G63" s="26"/>
      <c r="H63" s="26"/>
      <c r="I63" s="26"/>
    </row>
    <row r="64" spans="1:11" x14ac:dyDescent="0.25">
      <c r="A64" s="26"/>
      <c r="G64" s="26"/>
      <c r="H64" s="26"/>
      <c r="I64" s="26"/>
    </row>
    <row r="65" spans="1:9" x14ac:dyDescent="0.25">
      <c r="A65" s="26"/>
      <c r="G65" s="26"/>
      <c r="H65" s="26"/>
      <c r="I65" s="26"/>
    </row>
    <row r="66" spans="1:9" x14ac:dyDescent="0.25">
      <c r="A66" s="26"/>
      <c r="G66" s="26"/>
      <c r="H66" s="26"/>
      <c r="I66" s="26"/>
    </row>
  </sheetData>
  <mergeCells count="2">
    <mergeCell ref="B34:F34"/>
    <mergeCell ref="B14:G14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2:G15"/>
  <sheetViews>
    <sheetView workbookViewId="0">
      <selection activeCell="G24" sqref="G24"/>
    </sheetView>
  </sheetViews>
  <sheetFormatPr baseColWidth="10" defaultRowHeight="15" x14ac:dyDescent="0.25"/>
  <cols>
    <col min="2" max="2" width="24.140625" bestFit="1" customWidth="1"/>
    <col min="3" max="3" width="20" bestFit="1" customWidth="1"/>
    <col min="4" max="4" width="21.42578125" bestFit="1" customWidth="1"/>
    <col min="5" max="5" width="15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2" spans="2:7" ht="38.25" x14ac:dyDescent="0.25">
      <c r="B2" s="93" t="s">
        <v>82</v>
      </c>
      <c r="C2" s="94" t="s">
        <v>131</v>
      </c>
      <c r="D2" s="95" t="s">
        <v>132</v>
      </c>
      <c r="E2" s="94" t="s">
        <v>85</v>
      </c>
    </row>
    <row r="3" spans="2:7" x14ac:dyDescent="0.25">
      <c r="B3" s="96" t="s">
        <v>24</v>
      </c>
      <c r="C3" s="97">
        <f>7893784910.4/1000000</f>
        <v>7893.7849103999997</v>
      </c>
      <c r="D3" s="98">
        <v>0</v>
      </c>
      <c r="E3" s="98">
        <f>6858440499.4/1000000</f>
        <v>6858.4404993999997</v>
      </c>
      <c r="F3" s="49"/>
      <c r="G3" s="40"/>
    </row>
    <row r="4" spans="2:7" x14ac:dyDescent="0.25">
      <c r="B4" s="96" t="s">
        <v>119</v>
      </c>
      <c r="C4" s="97">
        <f>182428674/1000000</f>
        <v>182.428674</v>
      </c>
      <c r="D4" s="98">
        <v>0</v>
      </c>
      <c r="E4" s="98">
        <f>182428674/1000000</f>
        <v>182.428674</v>
      </c>
      <c r="F4" s="48"/>
      <c r="G4" s="49"/>
    </row>
    <row r="6" spans="2:7" x14ac:dyDescent="0.25">
      <c r="C6" s="39"/>
      <c r="D6" s="39"/>
      <c r="E6" s="39"/>
    </row>
    <row r="7" spans="2:7" x14ac:dyDescent="0.25">
      <c r="E7" s="27"/>
    </row>
    <row r="8" spans="2:7" ht="38.25" x14ac:dyDescent="0.25">
      <c r="B8" s="93" t="s">
        <v>82</v>
      </c>
      <c r="C8" s="94" t="s">
        <v>138</v>
      </c>
    </row>
    <row r="9" spans="2:7" x14ac:dyDescent="0.25">
      <c r="B9" s="96" t="s">
        <v>24</v>
      </c>
      <c r="C9" s="97">
        <f>C3-D3</f>
        <v>7893.7849103999997</v>
      </c>
    </row>
    <row r="10" spans="2:7" x14ac:dyDescent="0.25">
      <c r="B10" s="96" t="s">
        <v>119</v>
      </c>
      <c r="C10" s="97">
        <f>C4-D4</f>
        <v>182.428674</v>
      </c>
    </row>
    <row r="11" spans="2:7" x14ac:dyDescent="0.25">
      <c r="C11" s="27"/>
    </row>
    <row r="15" spans="2:7" x14ac:dyDescent="0.25">
      <c r="C15">
        <v>182428674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8:F13"/>
  <sheetViews>
    <sheetView showGridLines="0" zoomScaleNormal="100" workbookViewId="0"/>
  </sheetViews>
  <sheetFormatPr baseColWidth="10" defaultRowHeight="15" x14ac:dyDescent="0.25"/>
  <cols>
    <col min="1" max="1" width="4.7109375" customWidth="1"/>
    <col min="2" max="2" width="19.85546875" bestFit="1" customWidth="1"/>
    <col min="3" max="3" width="21.85546875" bestFit="1" customWidth="1"/>
    <col min="4" max="4" width="11" bestFit="1" customWidth="1"/>
    <col min="5" max="5" width="12.5703125" bestFit="1" customWidth="1"/>
  </cols>
  <sheetData>
    <row r="8" spans="2:6" x14ac:dyDescent="0.25">
      <c r="B8" s="2"/>
      <c r="C8" s="19"/>
    </row>
    <row r="9" spans="2:6" x14ac:dyDescent="0.25">
      <c r="B9" s="4" t="s">
        <v>88</v>
      </c>
      <c r="C9" t="s">
        <v>139</v>
      </c>
    </row>
    <row r="10" spans="2:6" x14ac:dyDescent="0.25">
      <c r="B10" s="2" t="s">
        <v>24</v>
      </c>
      <c r="C10" s="46">
        <v>7893.7849103999997</v>
      </c>
    </row>
    <row r="11" spans="2:6" x14ac:dyDescent="0.25">
      <c r="B11" s="2" t="s">
        <v>119</v>
      </c>
      <c r="C11" s="46">
        <v>182.428674</v>
      </c>
    </row>
    <row r="12" spans="2:6" x14ac:dyDescent="0.25">
      <c r="B12" s="2" t="s">
        <v>6</v>
      </c>
      <c r="C12" s="46">
        <v>8076.2135843999995</v>
      </c>
      <c r="D12" s="45" t="s">
        <v>94</v>
      </c>
    </row>
    <row r="13" spans="2:6" x14ac:dyDescent="0.25">
      <c r="C13" s="40"/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9:N75"/>
  <sheetViews>
    <sheetView showGridLines="0" showRowColHeaders="0" zoomScaleNormal="100" workbookViewId="0"/>
  </sheetViews>
  <sheetFormatPr baseColWidth="10" defaultRowHeight="15" x14ac:dyDescent="0.25"/>
  <cols>
    <col min="2" max="2" width="19.85546875" bestFit="1" customWidth="1"/>
    <col min="3" max="3" width="18.140625" bestFit="1" customWidth="1"/>
    <col min="4" max="4" width="17.7109375" bestFit="1" customWidth="1"/>
    <col min="5" max="5" width="13.28515625" bestFit="1" customWidth="1"/>
    <col min="6" max="6" width="11.5703125" bestFit="1" customWidth="1"/>
    <col min="10" max="10" width="18.140625" bestFit="1" customWidth="1"/>
    <col min="11" max="11" width="17.7109375" bestFit="1" customWidth="1"/>
    <col min="12" max="13" width="24.85546875" bestFit="1" customWidth="1"/>
  </cols>
  <sheetData>
    <row r="9" spans="2:8" x14ac:dyDescent="0.25">
      <c r="B9" s="4" t="s">
        <v>88</v>
      </c>
      <c r="C9" t="s">
        <v>134</v>
      </c>
      <c r="D9" t="s">
        <v>137</v>
      </c>
      <c r="E9" t="s">
        <v>135</v>
      </c>
    </row>
    <row r="10" spans="2:8" x14ac:dyDescent="0.25">
      <c r="B10" s="2" t="s">
        <v>24</v>
      </c>
      <c r="C10" s="46">
        <v>7893.7849103999997</v>
      </c>
      <c r="D10">
        <v>0</v>
      </c>
      <c r="E10" s="40">
        <v>6858.4404993999997</v>
      </c>
      <c r="F10" s="92">
        <f>GETPIVOTDATA("TOTAL PAGOS",$B$9,"DENOMINACIÓN DEL CÓDIGO PRESUPUESTAL
","A-FUNCIONAMIENTO")/GETPIVOTDATA("CXP CONSTITUIDAS",$B$9,"DENOMINACIÓN DEL CÓDIGO PRESUPUESTAL
","A-FUNCIONAMIENTO")</f>
        <v>0.86884055966157103</v>
      </c>
    </row>
    <row r="11" spans="2:8" x14ac:dyDescent="0.25">
      <c r="B11" s="2" t="s">
        <v>119</v>
      </c>
      <c r="C11" s="46">
        <v>182.428674</v>
      </c>
      <c r="D11">
        <v>0</v>
      </c>
      <c r="E11" s="40">
        <v>182.428674</v>
      </c>
      <c r="F11" s="92">
        <f>GETPIVOTDATA("TOTAL PAGOS",$B$9,"DENOMINACIÓN DEL CÓDIGO PRESUPUESTAL
","C-INVERSIÓN")/GETPIVOTDATA("CXP CONSTITUIDAS",$B$9,"DENOMINACIÓN DEL CÓDIGO PRESUPUESTAL
","C-INVERSIÓN")</f>
        <v>1</v>
      </c>
    </row>
    <row r="12" spans="2:8" x14ac:dyDescent="0.25">
      <c r="B12" s="2" t="s">
        <v>6</v>
      </c>
      <c r="C12" s="46">
        <v>8076.2135843999995</v>
      </c>
      <c r="D12">
        <v>0</v>
      </c>
      <c r="E12" s="40">
        <v>7040.8691733999995</v>
      </c>
      <c r="F12" s="102" t="s">
        <v>94</v>
      </c>
    </row>
    <row r="13" spans="2:8" x14ac:dyDescent="0.25">
      <c r="E13" s="92">
        <f>GETPIVOTDATA("TOTAL PAGOS",$B$9)/GETPIVOTDATA("CXP CONSTITUIDAS",$B$9)</f>
        <v>0.87180324044427582</v>
      </c>
    </row>
    <row r="14" spans="2:8" x14ac:dyDescent="0.25">
      <c r="B14" s="41"/>
      <c r="C14" s="40"/>
      <c r="D14" s="40"/>
      <c r="E14" s="40"/>
    </row>
    <row r="15" spans="2:8" ht="18.75" x14ac:dyDescent="0.3">
      <c r="B15" s="108" t="s">
        <v>146</v>
      </c>
      <c r="C15" s="108"/>
      <c r="D15" s="108"/>
      <c r="E15" s="108"/>
      <c r="F15" s="108"/>
      <c r="G15" s="108"/>
    </row>
    <row r="16" spans="2:8" x14ac:dyDescent="0.25">
      <c r="H16" s="5"/>
    </row>
    <row r="18" spans="1:14" x14ac:dyDescent="0.25">
      <c r="E18" s="16"/>
      <c r="F18" s="16"/>
    </row>
    <row r="19" spans="1:14" x14ac:dyDescent="0.25">
      <c r="E19" s="16"/>
      <c r="F19" s="16"/>
    </row>
    <row r="20" spans="1:14" x14ac:dyDescent="0.25">
      <c r="B20" s="47"/>
      <c r="C20" s="47"/>
      <c r="D20" s="47"/>
      <c r="E20" s="47"/>
      <c r="F20" s="47"/>
      <c r="N20" s="76"/>
    </row>
    <row r="21" spans="1:14" x14ac:dyDescent="0.25">
      <c r="B21" s="47"/>
      <c r="C21" s="47"/>
      <c r="D21" s="47"/>
      <c r="E21" s="47"/>
      <c r="F21" s="47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16"/>
      <c r="M22" s="75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8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16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47"/>
      <c r="C30" s="47"/>
      <c r="D30" s="47"/>
      <c r="E30" s="47"/>
      <c r="F30" s="47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.75" x14ac:dyDescent="0.3">
      <c r="A33" s="16"/>
      <c r="B33" s="108" t="s">
        <v>145</v>
      </c>
      <c r="C33" s="108"/>
      <c r="D33" s="108"/>
      <c r="E33" s="108"/>
      <c r="F33" s="108"/>
      <c r="G33" s="108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t="s">
        <v>134</v>
      </c>
      <c r="C35" t="s">
        <v>137</v>
      </c>
      <c r="D35" t="s">
        <v>135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8.75" x14ac:dyDescent="0.3">
      <c r="A36" s="16"/>
      <c r="B36" s="40">
        <v>8076.2135843999995</v>
      </c>
      <c r="C36" s="40">
        <v>0</v>
      </c>
      <c r="D36" s="40">
        <v>7040.8691733999995</v>
      </c>
      <c r="E36" s="102" t="s">
        <v>94</v>
      </c>
      <c r="F36" s="91"/>
      <c r="G36" s="16"/>
      <c r="H36" s="16"/>
      <c r="I36" s="16"/>
      <c r="J36" s="16"/>
      <c r="K36" s="16"/>
      <c r="L36" s="16"/>
      <c r="M36" s="16"/>
      <c r="N36" s="16"/>
    </row>
    <row r="37" spans="1:14" ht="18.75" x14ac:dyDescent="0.3">
      <c r="A37" s="16"/>
      <c r="B37" s="40"/>
      <c r="C37" s="40"/>
      <c r="D37" s="40"/>
      <c r="E37" s="91"/>
      <c r="F37" s="91"/>
      <c r="G37" s="16"/>
      <c r="H37" s="16"/>
      <c r="I37" s="16"/>
      <c r="J37" s="16"/>
      <c r="K37" s="16"/>
      <c r="L37" s="16"/>
      <c r="M37" s="16"/>
      <c r="N37" s="16"/>
    </row>
    <row r="38" spans="1:14" ht="18.75" x14ac:dyDescent="0.3">
      <c r="C38" s="91"/>
      <c r="D38" s="91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/>
      <c r="E50" s="26"/>
      <c r="F50" s="26"/>
      <c r="G50" s="16"/>
      <c r="H50" s="16"/>
      <c r="I50" s="16"/>
      <c r="J50" s="16"/>
      <c r="K50" s="16"/>
      <c r="L50" s="16"/>
      <c r="M50" s="16"/>
      <c r="N50" s="16"/>
    </row>
    <row r="51" spans="1:14" s="10" customFormat="1" x14ac:dyDescent="0.25">
      <c r="A51" s="26"/>
      <c r="B51" s="16"/>
      <c r="C51" s="16"/>
      <c r="D51" s="16"/>
      <c r="E51" s="26"/>
      <c r="F51" s="26"/>
      <c r="G51" s="26"/>
      <c r="H51" s="26"/>
      <c r="I51" s="16"/>
      <c r="J51" s="16"/>
      <c r="K51" s="16"/>
      <c r="L51"/>
      <c r="M51"/>
      <c r="N51"/>
    </row>
    <row r="52" spans="1:14" s="10" customFormat="1" x14ac:dyDescent="0.25">
      <c r="A52" s="26"/>
      <c r="B52" s="26"/>
      <c r="C52" s="26"/>
      <c r="D52" s="26"/>
      <c r="E52" s="26"/>
      <c r="F52" s="26"/>
      <c r="G52" s="26"/>
      <c r="H52" s="26"/>
      <c r="I52" s="16"/>
      <c r="J52" s="16"/>
      <c r="K52" s="16"/>
      <c r="L52" s="9"/>
      <c r="M52" s="9"/>
      <c r="N52" s="9"/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0"/>
      <c r="K59" s="10"/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  <c r="K60" s="10"/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10"/>
      <c r="K61" s="10"/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10"/>
      <c r="K62" s="10"/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  <c r="K63" s="10"/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10"/>
      <c r="K64" s="1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0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10"/>
    </row>
    <row r="70" spans="1:10" x14ac:dyDescent="0.25">
      <c r="A70" s="26"/>
      <c r="B70" s="26"/>
      <c r="C70" s="26"/>
      <c r="D70" s="26"/>
      <c r="G70" s="26"/>
      <c r="H70" s="26"/>
      <c r="I70" s="26"/>
    </row>
    <row r="71" spans="1:10" x14ac:dyDescent="0.25">
      <c r="A71" s="26"/>
      <c r="B71" s="26"/>
      <c r="C71" s="26"/>
      <c r="D71" s="26"/>
      <c r="G71" s="26"/>
      <c r="H71" s="26"/>
      <c r="I71" s="26"/>
    </row>
    <row r="72" spans="1:10" x14ac:dyDescent="0.25">
      <c r="A72" s="26"/>
      <c r="G72" s="26"/>
      <c r="H72" s="26"/>
      <c r="I72" s="26"/>
    </row>
    <row r="73" spans="1:10" x14ac:dyDescent="0.25">
      <c r="A73" s="26"/>
      <c r="G73" s="26"/>
      <c r="H73" s="26"/>
      <c r="I73" s="26"/>
    </row>
    <row r="74" spans="1:10" x14ac:dyDescent="0.25">
      <c r="I74" s="26"/>
    </row>
    <row r="75" spans="1:10" x14ac:dyDescent="0.25">
      <c r="I75" s="26"/>
    </row>
  </sheetData>
  <mergeCells count="2">
    <mergeCell ref="B15:G15"/>
    <mergeCell ref="B33:G33"/>
  </mergeCells>
  <pageMargins left="0.7" right="0.7" top="0.75" bottom="0.75" header="0.3" footer="0.3"/>
  <pageSetup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8:D40"/>
  <sheetViews>
    <sheetView showGridLines="0" showRowColHeaders="0" zoomScaleNormal="100" workbookViewId="0"/>
  </sheetViews>
  <sheetFormatPr baseColWidth="10" defaultRowHeight="15" x14ac:dyDescent="0.25"/>
  <cols>
    <col min="1" max="1" width="6.85546875" customWidth="1"/>
    <col min="2" max="2" width="31.140625" bestFit="1" customWidth="1"/>
    <col min="3" max="3" width="23.5703125" customWidth="1"/>
  </cols>
  <sheetData>
    <row r="8" spans="2:4" x14ac:dyDescent="0.25">
      <c r="B8" s="4" t="s">
        <v>5</v>
      </c>
      <c r="C8" t="s">
        <v>19</v>
      </c>
    </row>
    <row r="9" spans="2:4" x14ac:dyDescent="0.25">
      <c r="B9" s="2" t="s">
        <v>24</v>
      </c>
      <c r="C9" s="19">
        <v>99785.985369999995</v>
      </c>
    </row>
    <row r="10" spans="2:4" x14ac:dyDescent="0.25">
      <c r="B10" s="2" t="s">
        <v>25</v>
      </c>
      <c r="C10" s="19">
        <v>1167604.3350470001</v>
      </c>
    </row>
    <row r="11" spans="2:4" x14ac:dyDescent="0.25">
      <c r="B11" s="2" t="s">
        <v>26</v>
      </c>
      <c r="C11" s="19">
        <v>4505182.0250120005</v>
      </c>
    </row>
    <row r="12" spans="2:4" x14ac:dyDescent="0.25">
      <c r="B12" s="2" t="s">
        <v>6</v>
      </c>
      <c r="C12" s="19">
        <v>5772572.3454290004</v>
      </c>
      <c r="D12" s="102" t="s">
        <v>94</v>
      </c>
    </row>
    <row r="13" spans="2:4" x14ac:dyDescent="0.25">
      <c r="B13" s="2"/>
      <c r="C13" s="19"/>
      <c r="D13" s="45"/>
    </row>
    <row r="39" ht="14.25" customHeight="1" x14ac:dyDescent="0.25"/>
    <row r="40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activeCell="C27" sqref="C27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21" t="s">
        <v>0</v>
      </c>
      <c r="B1" s="21" t="s">
        <v>1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</row>
    <row r="2" spans="1:7" x14ac:dyDescent="0.25">
      <c r="A2" s="23" t="s">
        <v>2</v>
      </c>
      <c r="B2" s="25" t="s">
        <v>24</v>
      </c>
      <c r="C2" s="24">
        <f t="shared" ref="C2:C7" si="0">+C12/1000000</f>
        <v>99785.985369999995</v>
      </c>
      <c r="D2" s="24">
        <f t="shared" ref="C2:G8" si="1">+D12/1000000</f>
        <v>89937.490324490005</v>
      </c>
      <c r="E2" s="24">
        <f t="shared" si="1"/>
        <v>71364.141822850012</v>
      </c>
      <c r="F2" s="24">
        <f t="shared" si="1"/>
        <v>69141.968314359998</v>
      </c>
      <c r="G2" s="24">
        <f t="shared" si="1"/>
        <v>67642.043213359997</v>
      </c>
    </row>
    <row r="3" spans="1:7" x14ac:dyDescent="0.25">
      <c r="A3" s="23" t="s">
        <v>20</v>
      </c>
      <c r="B3" s="25" t="s">
        <v>27</v>
      </c>
      <c r="C3" s="24">
        <f t="shared" si="0"/>
        <v>56308.670080000004</v>
      </c>
      <c r="D3" s="24">
        <f t="shared" si="1"/>
        <v>56308.670080000004</v>
      </c>
      <c r="E3" s="24">
        <f t="shared" si="1"/>
        <v>39864.821969270008</v>
      </c>
      <c r="F3" s="24">
        <f t="shared" si="1"/>
        <v>39864.821969270008</v>
      </c>
      <c r="G3" s="24">
        <f t="shared" si="1"/>
        <v>38839.374167269998</v>
      </c>
    </row>
    <row r="4" spans="1:7" x14ac:dyDescent="0.25">
      <c r="A4" s="23" t="s">
        <v>21</v>
      </c>
      <c r="B4" s="25" t="s">
        <v>28</v>
      </c>
      <c r="C4" s="24">
        <f t="shared" si="0"/>
        <v>19419.071</v>
      </c>
      <c r="D4" s="24">
        <f t="shared" si="1"/>
        <v>18620.864028850003</v>
      </c>
      <c r="E4" s="24">
        <f t="shared" si="1"/>
        <v>16548.21374694</v>
      </c>
      <c r="F4" s="24">
        <f t="shared" si="1"/>
        <v>14326.040238449998</v>
      </c>
      <c r="G4" s="24">
        <f t="shared" si="1"/>
        <v>13851.562939449997</v>
      </c>
    </row>
    <row r="5" spans="1:7" x14ac:dyDescent="0.25">
      <c r="A5" s="23" t="s">
        <v>22</v>
      </c>
      <c r="B5" s="25" t="s">
        <v>29</v>
      </c>
      <c r="C5" s="24">
        <f t="shared" si="0"/>
        <v>10006.772290000001</v>
      </c>
      <c r="D5" s="24">
        <f t="shared" si="1"/>
        <v>2856.5249476400004</v>
      </c>
      <c r="E5" s="24">
        <f t="shared" si="1"/>
        <v>2799.67483864</v>
      </c>
      <c r="F5" s="24">
        <f t="shared" si="1"/>
        <v>2799.67483864</v>
      </c>
      <c r="G5" s="24">
        <f t="shared" si="1"/>
        <v>2799.67483864</v>
      </c>
    </row>
    <row r="6" spans="1:7" ht="30" x14ac:dyDescent="0.25">
      <c r="A6" s="23" t="s">
        <v>23</v>
      </c>
      <c r="B6" s="25" t="s">
        <v>30</v>
      </c>
      <c r="C6" s="24">
        <f t="shared" si="0"/>
        <v>14051.472</v>
      </c>
      <c r="D6" s="24">
        <f t="shared" si="1"/>
        <v>12151.431268</v>
      </c>
      <c r="E6" s="24">
        <f t="shared" si="1"/>
        <v>12151.431268</v>
      </c>
      <c r="F6" s="24">
        <f t="shared" si="1"/>
        <v>12151.431268</v>
      </c>
      <c r="G6" s="24">
        <f t="shared" si="1"/>
        <v>12151.431268</v>
      </c>
    </row>
    <row r="7" spans="1:7" x14ac:dyDescent="0.25">
      <c r="A7" s="23" t="s">
        <v>3</v>
      </c>
      <c r="B7" s="25" t="s">
        <v>25</v>
      </c>
      <c r="C7" s="24">
        <f t="shared" si="0"/>
        <v>1167604.3350470001</v>
      </c>
      <c r="D7" s="24">
        <f t="shared" si="1"/>
        <v>932302.88402700005</v>
      </c>
      <c r="E7" s="24">
        <f t="shared" si="1"/>
        <v>932302.88402700005</v>
      </c>
      <c r="F7" s="24">
        <f t="shared" si="1"/>
        <v>932302.88402700005</v>
      </c>
      <c r="G7" s="24">
        <f t="shared" si="1"/>
        <v>932302.88402700005</v>
      </c>
    </row>
    <row r="8" spans="1:7" x14ac:dyDescent="0.25">
      <c r="A8" s="23" t="s">
        <v>4</v>
      </c>
      <c r="B8" s="25" t="s">
        <v>26</v>
      </c>
      <c r="C8" s="24">
        <f t="shared" si="1"/>
        <v>4505182.0250120005</v>
      </c>
      <c r="D8" s="24">
        <f t="shared" si="1"/>
        <v>4356702.8396793893</v>
      </c>
      <c r="E8" s="24">
        <f t="shared" si="1"/>
        <v>4351551.928545</v>
      </c>
      <c r="F8" s="24">
        <f t="shared" si="1"/>
        <v>380406.50059789</v>
      </c>
      <c r="G8" s="24">
        <f t="shared" si="1"/>
        <v>380087.08099789004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51" t="s">
        <v>106</v>
      </c>
      <c r="C11" s="54" t="s">
        <v>109</v>
      </c>
      <c r="D11" s="54" t="s">
        <v>110</v>
      </c>
      <c r="E11" s="54" t="s">
        <v>111</v>
      </c>
      <c r="F11" s="54" t="s">
        <v>112</v>
      </c>
      <c r="G11" s="55" t="s">
        <v>113</v>
      </c>
    </row>
    <row r="12" spans="1:7" ht="19.5" thickBot="1" x14ac:dyDescent="0.3">
      <c r="B12" s="52" t="s">
        <v>107</v>
      </c>
      <c r="C12" s="56">
        <f>SUM(C13:C16)</f>
        <v>99785985370</v>
      </c>
      <c r="D12" s="56">
        <f t="shared" ref="D12:G12" si="2">SUM(D13:D16)</f>
        <v>89937490324.490005</v>
      </c>
      <c r="E12" s="56">
        <f t="shared" si="2"/>
        <v>71364141822.850006</v>
      </c>
      <c r="F12" s="56">
        <f t="shared" si="2"/>
        <v>69141968314.360001</v>
      </c>
      <c r="G12" s="56">
        <f t="shared" si="2"/>
        <v>67642043213.359993</v>
      </c>
    </row>
    <row r="13" spans="1:7" ht="15.75" x14ac:dyDescent="0.25">
      <c r="B13" s="53" t="s">
        <v>108</v>
      </c>
      <c r="C13" s="59">
        <v>56308670080</v>
      </c>
      <c r="D13" s="59">
        <v>56308670080</v>
      </c>
      <c r="E13" s="59">
        <v>39864821969.270004</v>
      </c>
      <c r="F13" s="59">
        <v>39864821969.270004</v>
      </c>
      <c r="G13" s="60">
        <v>38839374167.269997</v>
      </c>
    </row>
    <row r="14" spans="1:7" ht="15.75" x14ac:dyDescent="0.25">
      <c r="B14" s="58" t="s">
        <v>114</v>
      </c>
      <c r="C14" s="61">
        <v>19419071000</v>
      </c>
      <c r="D14" s="61">
        <v>18620864028.850002</v>
      </c>
      <c r="E14" s="61">
        <v>16548213746.939999</v>
      </c>
      <c r="F14" s="61">
        <v>14326040238.449997</v>
      </c>
      <c r="G14" s="62">
        <v>13851562939.449997</v>
      </c>
    </row>
    <row r="15" spans="1:7" ht="15.75" x14ac:dyDescent="0.25">
      <c r="B15" s="58" t="s">
        <v>115</v>
      </c>
      <c r="C15" s="61">
        <v>10006772290</v>
      </c>
      <c r="D15" s="61">
        <v>2856524947.6400003</v>
      </c>
      <c r="E15" s="61">
        <v>2799674838.6399999</v>
      </c>
      <c r="F15" s="61">
        <v>2799674838.6399999</v>
      </c>
      <c r="G15" s="62">
        <v>2799674838.6399999</v>
      </c>
    </row>
    <row r="16" spans="1:7" ht="32.25" thickBot="1" x14ac:dyDescent="0.3">
      <c r="B16" s="58" t="s">
        <v>116</v>
      </c>
      <c r="C16" s="61">
        <v>14051472000</v>
      </c>
      <c r="D16" s="61">
        <v>12151431268</v>
      </c>
      <c r="E16" s="61">
        <v>12151431268</v>
      </c>
      <c r="F16" s="61">
        <v>12151431268</v>
      </c>
      <c r="G16" s="62">
        <v>12151431268</v>
      </c>
    </row>
    <row r="17" spans="2:7" ht="19.5" thickBot="1" x14ac:dyDescent="0.3">
      <c r="B17" s="52" t="s">
        <v>117</v>
      </c>
      <c r="C17" s="56">
        <v>1167604335047</v>
      </c>
      <c r="D17" s="56">
        <v>932302884027</v>
      </c>
      <c r="E17" s="56">
        <v>932302884027</v>
      </c>
      <c r="F17" s="56">
        <v>932302884027</v>
      </c>
      <c r="G17" s="57">
        <v>932302884027</v>
      </c>
    </row>
    <row r="18" spans="2:7" ht="19.5" thickBot="1" x14ac:dyDescent="0.3">
      <c r="B18" s="52" t="s">
        <v>118</v>
      </c>
      <c r="C18" s="56">
        <f>INVERSIÓN!D38</f>
        <v>4505182025012</v>
      </c>
      <c r="D18" s="56">
        <v>4356702839679.3896</v>
      </c>
      <c r="E18" s="56">
        <v>4351551928545</v>
      </c>
      <c r="F18" s="56">
        <v>380406500597.89001</v>
      </c>
      <c r="G18" s="56">
        <v>380087080997.89001</v>
      </c>
    </row>
    <row r="20" spans="2:7" x14ac:dyDescent="0.25">
      <c r="C20" s="63">
        <f>+SUM(C13:C18)</f>
        <v>5772572345429</v>
      </c>
      <c r="D20" s="63">
        <f>+SUM(D13:D18)</f>
        <v>5378943214030.8799</v>
      </c>
      <c r="E20" s="63">
        <f>+SUM(E13:E18)</f>
        <v>5355218954394.8496</v>
      </c>
      <c r="F20" s="63">
        <f t="shared" ref="F20:G20" si="3">+SUM(F13:F18)</f>
        <v>1381851352939.25</v>
      </c>
      <c r="G20" s="63">
        <f t="shared" si="3"/>
        <v>1380032008238.25</v>
      </c>
    </row>
    <row r="21" spans="2:7" x14ac:dyDescent="0.25">
      <c r="C21" s="63"/>
      <c r="D21" s="63"/>
      <c r="E21" s="63"/>
      <c r="F21" s="63"/>
      <c r="G21" s="63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38"/>
  <sheetViews>
    <sheetView workbookViewId="0">
      <pane xSplit="2" ySplit="1" topLeftCell="D18" activePane="bottomRight" state="frozen"/>
      <selection pane="topRight" activeCell="C1" sqref="C1"/>
      <selection pane="bottomLeft" activeCell="A2" sqref="A2"/>
      <selection pane="bottomRight" activeCell="D38" sqref="D38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27" customWidth="1"/>
    <col min="5" max="5" width="33.28515625" style="27" bestFit="1" customWidth="1"/>
    <col min="6" max="6" width="30.7109375" style="27" bestFit="1" customWidth="1"/>
    <col min="7" max="7" width="28.28515625" style="27" customWidth="1"/>
    <col min="8" max="8" width="23" style="27" bestFit="1" customWidth="1"/>
    <col min="9" max="9" width="37.7109375" style="27" bestFit="1" customWidth="1"/>
  </cols>
  <sheetData>
    <row r="1" spans="2:9" ht="15.75" thickBot="1" x14ac:dyDescent="0.3">
      <c r="B1" s="18" t="s">
        <v>31</v>
      </c>
      <c r="C1" s="18" t="s">
        <v>1</v>
      </c>
      <c r="D1" s="71" t="s">
        <v>7</v>
      </c>
      <c r="E1" s="71" t="s">
        <v>8</v>
      </c>
      <c r="F1" s="71" t="s">
        <v>9</v>
      </c>
      <c r="G1" s="71" t="s">
        <v>10</v>
      </c>
      <c r="H1" s="71" t="s">
        <v>14</v>
      </c>
      <c r="I1" s="72" t="s">
        <v>105</v>
      </c>
    </row>
    <row r="2" spans="2:9" ht="15.75" thickTop="1" x14ac:dyDescent="0.25">
      <c r="B2" s="17" t="s">
        <v>32</v>
      </c>
      <c r="C2" s="64" t="s">
        <v>96</v>
      </c>
      <c r="D2" s="65">
        <v>199229942693</v>
      </c>
      <c r="E2" s="65">
        <v>199229942693</v>
      </c>
      <c r="F2" s="65">
        <v>199229942693</v>
      </c>
      <c r="G2" s="65">
        <v>667460180</v>
      </c>
      <c r="H2" s="65">
        <v>667460180</v>
      </c>
      <c r="I2" s="90">
        <v>0</v>
      </c>
    </row>
    <row r="3" spans="2:9" x14ac:dyDescent="0.25">
      <c r="B3" s="17" t="s">
        <v>33</v>
      </c>
      <c r="C3" s="64" t="s">
        <v>34</v>
      </c>
      <c r="D3" s="65">
        <v>3111246158</v>
      </c>
      <c r="E3" s="65">
        <v>3111246158</v>
      </c>
      <c r="F3" s="65">
        <v>3111246158</v>
      </c>
      <c r="G3" s="65">
        <v>0</v>
      </c>
      <c r="H3" s="65">
        <v>0</v>
      </c>
      <c r="I3" s="73">
        <v>0</v>
      </c>
    </row>
    <row r="4" spans="2:9" x14ac:dyDescent="0.25">
      <c r="B4" s="17" t="s">
        <v>59</v>
      </c>
      <c r="C4" s="64" t="s">
        <v>43</v>
      </c>
      <c r="D4" s="65">
        <v>267568660974</v>
      </c>
      <c r="E4" s="65">
        <v>267568660974</v>
      </c>
      <c r="F4" s="65">
        <v>267568660974</v>
      </c>
      <c r="G4" s="65">
        <v>515340818</v>
      </c>
      <c r="H4" s="65">
        <v>515340818</v>
      </c>
      <c r="I4" s="73">
        <v>0</v>
      </c>
    </row>
    <row r="5" spans="2:9" x14ac:dyDescent="0.25">
      <c r="B5" s="17" t="s">
        <v>60</v>
      </c>
      <c r="C5" s="64" t="s">
        <v>44</v>
      </c>
      <c r="D5" s="65">
        <v>175859178607</v>
      </c>
      <c r="E5" s="65">
        <v>175859178607</v>
      </c>
      <c r="F5" s="65">
        <v>175859178607</v>
      </c>
      <c r="G5" s="65">
        <v>589163443</v>
      </c>
      <c r="H5" s="65">
        <v>589163443</v>
      </c>
      <c r="I5" s="73">
        <v>0</v>
      </c>
    </row>
    <row r="6" spans="2:9" x14ac:dyDescent="0.25">
      <c r="B6" s="17" t="s">
        <v>61</v>
      </c>
      <c r="C6" s="64" t="s">
        <v>45</v>
      </c>
      <c r="D6" s="65">
        <v>253083219752</v>
      </c>
      <c r="E6" s="65">
        <v>253083219752</v>
      </c>
      <c r="F6" s="65">
        <v>253083219752</v>
      </c>
      <c r="G6" s="65">
        <v>8076357952</v>
      </c>
      <c r="H6" s="65">
        <v>8076357952</v>
      </c>
      <c r="I6" s="73">
        <v>0</v>
      </c>
    </row>
    <row r="7" spans="2:9" x14ac:dyDescent="0.25">
      <c r="B7" s="17" t="s">
        <v>62</v>
      </c>
      <c r="C7" s="64" t="s">
        <v>97</v>
      </c>
      <c r="D7" s="65">
        <v>243923443489</v>
      </c>
      <c r="E7" s="65">
        <v>243923443489</v>
      </c>
      <c r="F7" s="65">
        <v>243923443489</v>
      </c>
      <c r="G7" s="65">
        <v>21653320129</v>
      </c>
      <c r="H7" s="65">
        <v>21653320129</v>
      </c>
      <c r="I7" s="73">
        <v>0</v>
      </c>
    </row>
    <row r="8" spans="2:9" x14ac:dyDescent="0.25">
      <c r="B8" s="17" t="s">
        <v>63</v>
      </c>
      <c r="C8" s="64" t="s">
        <v>46</v>
      </c>
      <c r="D8" s="65">
        <v>173754342655</v>
      </c>
      <c r="E8" s="65">
        <v>173754342655</v>
      </c>
      <c r="F8" s="65">
        <v>173754342655</v>
      </c>
      <c r="G8" s="65">
        <v>26218470693</v>
      </c>
      <c r="H8" s="65">
        <v>26218470693</v>
      </c>
      <c r="I8" s="73">
        <v>0</v>
      </c>
    </row>
    <row r="9" spans="2:9" x14ac:dyDescent="0.25">
      <c r="B9" s="17" t="s">
        <v>64</v>
      </c>
      <c r="C9" s="64" t="s">
        <v>47</v>
      </c>
      <c r="D9" s="65">
        <v>188036887431</v>
      </c>
      <c r="E9" s="65">
        <v>188036887431</v>
      </c>
      <c r="F9" s="65">
        <v>188036887431</v>
      </c>
      <c r="G9" s="65">
        <v>31914916292</v>
      </c>
      <c r="H9" s="65">
        <v>31914916292</v>
      </c>
      <c r="I9" s="73">
        <v>0</v>
      </c>
    </row>
    <row r="10" spans="2:9" x14ac:dyDescent="0.25">
      <c r="B10" s="17" t="s">
        <v>65</v>
      </c>
      <c r="C10" s="64" t="s">
        <v>48</v>
      </c>
      <c r="D10" s="65">
        <v>230526549416</v>
      </c>
      <c r="E10" s="65">
        <v>230526549416</v>
      </c>
      <c r="F10" s="65">
        <v>230526549416</v>
      </c>
      <c r="G10" s="65">
        <v>27184528940</v>
      </c>
      <c r="H10" s="65">
        <v>27184528940</v>
      </c>
      <c r="I10" s="73">
        <v>0</v>
      </c>
    </row>
    <row r="11" spans="2:9" x14ac:dyDescent="0.25">
      <c r="B11" s="17" t="s">
        <v>66</v>
      </c>
      <c r="C11" s="64" t="s">
        <v>124</v>
      </c>
      <c r="D11" s="65">
        <v>12654096592</v>
      </c>
      <c r="E11" s="65">
        <v>12040669169.59</v>
      </c>
      <c r="F11" s="65">
        <v>11612787087.58</v>
      </c>
      <c r="G11" s="65">
        <v>8851458261.7399998</v>
      </c>
      <c r="H11" s="65">
        <v>8697548258.7399998</v>
      </c>
      <c r="I11" s="73">
        <v>0</v>
      </c>
    </row>
    <row r="12" spans="2:9" x14ac:dyDescent="0.25">
      <c r="B12" s="17" t="s">
        <v>67</v>
      </c>
      <c r="C12" s="64" t="s">
        <v>49</v>
      </c>
      <c r="D12" s="65">
        <v>222571821813</v>
      </c>
      <c r="E12" s="65">
        <v>222571821813</v>
      </c>
      <c r="F12" s="65">
        <v>222571821813</v>
      </c>
      <c r="G12" s="65">
        <v>7839829655</v>
      </c>
      <c r="H12" s="65">
        <v>7839829655</v>
      </c>
      <c r="I12" s="73">
        <v>0</v>
      </c>
    </row>
    <row r="13" spans="2:9" x14ac:dyDescent="0.25">
      <c r="B13" s="17" t="s">
        <v>68</v>
      </c>
      <c r="C13" s="64" t="s">
        <v>98</v>
      </c>
      <c r="D13" s="65">
        <v>256174672458</v>
      </c>
      <c r="E13" s="65">
        <v>256174672458</v>
      </c>
      <c r="F13" s="65">
        <v>256174672458</v>
      </c>
      <c r="G13" s="65">
        <v>783848182</v>
      </c>
      <c r="H13" s="65">
        <v>783848182</v>
      </c>
      <c r="I13" s="73">
        <v>0</v>
      </c>
    </row>
    <row r="14" spans="2:9" x14ac:dyDescent="0.25">
      <c r="B14" s="17" t="s">
        <v>69</v>
      </c>
      <c r="C14" s="64" t="s">
        <v>99</v>
      </c>
      <c r="D14" s="65">
        <v>133566456234</v>
      </c>
      <c r="E14" s="65">
        <v>133566456234</v>
      </c>
      <c r="F14" s="65">
        <v>133566456234</v>
      </c>
      <c r="G14" s="65">
        <v>426302018</v>
      </c>
      <c r="H14" s="65">
        <v>426302018</v>
      </c>
      <c r="I14" s="73">
        <v>0</v>
      </c>
    </row>
    <row r="15" spans="2:9" x14ac:dyDescent="0.25">
      <c r="B15" s="17" t="s">
        <v>70</v>
      </c>
      <c r="C15" s="64" t="s">
        <v>100</v>
      </c>
      <c r="D15" s="65">
        <v>92126982346</v>
      </c>
      <c r="E15" s="65">
        <v>92126982346</v>
      </c>
      <c r="F15" s="65">
        <v>92126982346</v>
      </c>
      <c r="G15" s="65">
        <v>308643829</v>
      </c>
      <c r="H15" s="65">
        <v>308643829</v>
      </c>
      <c r="I15" s="73">
        <v>0</v>
      </c>
    </row>
    <row r="16" spans="2:9" x14ac:dyDescent="0.25">
      <c r="B16" s="17" t="s">
        <v>71</v>
      </c>
      <c r="C16" s="64" t="s">
        <v>50</v>
      </c>
      <c r="D16" s="65">
        <v>177242188803</v>
      </c>
      <c r="E16" s="65">
        <v>177242188803</v>
      </c>
      <c r="F16" s="65">
        <v>177242188803</v>
      </c>
      <c r="G16" s="65">
        <v>12868469971</v>
      </c>
      <c r="H16" s="65">
        <v>12868469971</v>
      </c>
      <c r="I16" s="73">
        <v>0</v>
      </c>
    </row>
    <row r="17" spans="2:9" x14ac:dyDescent="0.25">
      <c r="B17" s="17" t="s">
        <v>58</v>
      </c>
      <c r="C17" s="64" t="s">
        <v>101</v>
      </c>
      <c r="D17" s="65">
        <v>186661572672</v>
      </c>
      <c r="E17" s="65">
        <v>186661572672</v>
      </c>
      <c r="F17" s="65">
        <v>186661572672</v>
      </c>
      <c r="G17" s="65">
        <v>65829708441</v>
      </c>
      <c r="H17" s="65">
        <v>65829708441</v>
      </c>
      <c r="I17" s="73">
        <v>0</v>
      </c>
    </row>
    <row r="18" spans="2:9" x14ac:dyDescent="0.25">
      <c r="B18" s="17" t="s">
        <v>72</v>
      </c>
      <c r="C18" s="64" t="s">
        <v>51</v>
      </c>
      <c r="D18" s="65">
        <v>217966528302</v>
      </c>
      <c r="E18" s="65">
        <v>217966528302</v>
      </c>
      <c r="F18" s="65">
        <v>217966528302</v>
      </c>
      <c r="G18" s="65">
        <v>35582322411</v>
      </c>
      <c r="H18" s="65">
        <v>35582322411</v>
      </c>
      <c r="I18" s="73">
        <v>0</v>
      </c>
    </row>
    <row r="19" spans="2:9" x14ac:dyDescent="0.25">
      <c r="B19" s="17" t="s">
        <v>73</v>
      </c>
      <c r="C19" s="64" t="s">
        <v>52</v>
      </c>
      <c r="D19" s="65">
        <v>264689746048</v>
      </c>
      <c r="E19" s="65">
        <v>264689746048</v>
      </c>
      <c r="F19" s="65">
        <v>264689746048</v>
      </c>
      <c r="G19" s="65">
        <v>18890851579</v>
      </c>
      <c r="H19" s="65">
        <v>18890851579</v>
      </c>
      <c r="I19" s="73">
        <v>0</v>
      </c>
    </row>
    <row r="20" spans="2:9" x14ac:dyDescent="0.25">
      <c r="B20" s="17" t="s">
        <v>74</v>
      </c>
      <c r="C20" s="64" t="s">
        <v>53</v>
      </c>
      <c r="D20" s="65">
        <v>141607661383</v>
      </c>
      <c r="E20" s="65">
        <v>141607661383</v>
      </c>
      <c r="F20" s="65">
        <v>141607661383</v>
      </c>
      <c r="G20" s="65">
        <v>35860807678</v>
      </c>
      <c r="H20" s="65">
        <v>35860807678</v>
      </c>
      <c r="I20" s="73">
        <v>0</v>
      </c>
    </row>
    <row r="21" spans="2:9" x14ac:dyDescent="0.25">
      <c r="B21" s="17" t="s">
        <v>75</v>
      </c>
      <c r="C21" s="64" t="s">
        <v>54</v>
      </c>
      <c r="D21" s="65">
        <v>326484319237</v>
      </c>
      <c r="E21" s="65">
        <v>326484319237</v>
      </c>
      <c r="F21" s="65">
        <v>326484319237</v>
      </c>
      <c r="G21" s="65">
        <v>18896410145</v>
      </c>
      <c r="H21" s="65">
        <v>18896410145</v>
      </c>
      <c r="I21" s="73">
        <v>0</v>
      </c>
    </row>
    <row r="22" spans="2:9" x14ac:dyDescent="0.25">
      <c r="B22" s="17" t="s">
        <v>76</v>
      </c>
      <c r="C22" s="64" t="s">
        <v>55</v>
      </c>
      <c r="D22" s="65">
        <v>103270216578</v>
      </c>
      <c r="E22" s="65">
        <v>103270216578</v>
      </c>
      <c r="F22" s="65">
        <v>103270216578</v>
      </c>
      <c r="G22" s="65">
        <v>2037283578</v>
      </c>
      <c r="H22" s="65">
        <v>2037283578</v>
      </c>
      <c r="I22" s="73">
        <v>0</v>
      </c>
    </row>
    <row r="23" spans="2:9" x14ac:dyDescent="0.25">
      <c r="B23" s="17" t="s">
        <v>77</v>
      </c>
      <c r="C23" s="64" t="s">
        <v>102</v>
      </c>
      <c r="D23" s="65">
        <v>323578411182</v>
      </c>
      <c r="E23" s="65">
        <v>323578411182</v>
      </c>
      <c r="F23" s="65">
        <v>323578411182</v>
      </c>
      <c r="G23" s="65">
        <v>1121067275</v>
      </c>
      <c r="H23" s="65">
        <v>1121067275</v>
      </c>
      <c r="I23" s="73">
        <v>0</v>
      </c>
    </row>
    <row r="24" spans="2:9" x14ac:dyDescent="0.25">
      <c r="B24" s="17" t="s">
        <v>78</v>
      </c>
      <c r="C24" s="64" t="s">
        <v>56</v>
      </c>
      <c r="D24" s="65">
        <v>53127095469</v>
      </c>
      <c r="E24" s="65">
        <v>53127095469</v>
      </c>
      <c r="F24" s="65">
        <v>53127095469</v>
      </c>
      <c r="G24" s="65">
        <v>0</v>
      </c>
      <c r="H24" s="65">
        <v>0</v>
      </c>
      <c r="I24" s="73">
        <v>0</v>
      </c>
    </row>
    <row r="25" spans="2:9" x14ac:dyDescent="0.25">
      <c r="B25" s="17" t="s">
        <v>95</v>
      </c>
      <c r="C25" s="64" t="s">
        <v>125</v>
      </c>
      <c r="D25" s="65">
        <v>105000000000</v>
      </c>
      <c r="E25" s="65">
        <v>4391290743.8699999</v>
      </c>
      <c r="F25" s="65">
        <v>2304567030.96</v>
      </c>
      <c r="G25" s="65">
        <v>1810023433.46</v>
      </c>
      <c r="H25" s="65">
        <v>1810023433.46</v>
      </c>
      <c r="I25" s="73">
        <v>0</v>
      </c>
    </row>
    <row r="26" spans="2:9" x14ac:dyDescent="0.25">
      <c r="B26" s="17" t="s">
        <v>79</v>
      </c>
      <c r="C26" s="64" t="s">
        <v>103</v>
      </c>
      <c r="D26" s="65">
        <v>2257022926</v>
      </c>
      <c r="E26" s="65">
        <v>2084037783.5</v>
      </c>
      <c r="F26" s="65">
        <v>2065756125.7</v>
      </c>
      <c r="G26" s="65">
        <v>1548606375.7</v>
      </c>
      <c r="H26" s="65">
        <v>1527667478.7</v>
      </c>
      <c r="I26" s="73">
        <v>0</v>
      </c>
    </row>
    <row r="27" spans="2:9" x14ac:dyDescent="0.25">
      <c r="B27" s="17" t="s">
        <v>120</v>
      </c>
      <c r="C27" s="64" t="s">
        <v>121</v>
      </c>
      <c r="D27" s="65">
        <v>3785000000</v>
      </c>
      <c r="E27" s="65">
        <v>3231244898</v>
      </c>
      <c r="F27" s="65">
        <v>3231214802.5599999</v>
      </c>
      <c r="G27" s="65">
        <v>798976024.91999996</v>
      </c>
      <c r="H27" s="65">
        <v>798976024.91999996</v>
      </c>
      <c r="I27" s="73">
        <v>0</v>
      </c>
    </row>
    <row r="28" spans="2:9" s="9" customFormat="1" x14ac:dyDescent="0.25">
      <c r="B28" s="17" t="s">
        <v>35</v>
      </c>
      <c r="C28" s="64" t="s">
        <v>36</v>
      </c>
      <c r="D28" s="65">
        <v>76235881312</v>
      </c>
      <c r="E28" s="65">
        <v>74412328936.619995</v>
      </c>
      <c r="F28" s="65">
        <v>73030928176.169998</v>
      </c>
      <c r="G28" s="65">
        <v>31668883436.200001</v>
      </c>
      <c r="H28" s="65">
        <v>31668883436.200001</v>
      </c>
      <c r="I28" s="74">
        <v>0</v>
      </c>
    </row>
    <row r="29" spans="2:9" s="9" customFormat="1" x14ac:dyDescent="0.25">
      <c r="B29" s="17" t="s">
        <v>80</v>
      </c>
      <c r="C29" s="64" t="s">
        <v>104</v>
      </c>
      <c r="D29" s="65">
        <v>1124097372</v>
      </c>
      <c r="E29" s="65">
        <v>930742676.25999999</v>
      </c>
      <c r="F29" s="65">
        <v>898425237.04999995</v>
      </c>
      <c r="G29" s="65">
        <v>687769115.04999995</v>
      </c>
      <c r="H29" s="65">
        <v>678600217.04999995</v>
      </c>
      <c r="I29" s="74">
        <v>0</v>
      </c>
    </row>
    <row r="30" spans="2:9" x14ac:dyDescent="0.25">
      <c r="B30" s="17" t="s">
        <v>37</v>
      </c>
      <c r="C30" s="64" t="s">
        <v>126</v>
      </c>
      <c r="D30" s="65">
        <v>1000000000</v>
      </c>
      <c r="E30" s="65">
        <v>474772932</v>
      </c>
      <c r="F30" s="65">
        <v>418755807.54000002</v>
      </c>
      <c r="G30" s="65">
        <v>51476006.200000003</v>
      </c>
      <c r="H30" s="65">
        <v>51476006.200000003</v>
      </c>
      <c r="I30" s="73">
        <v>0</v>
      </c>
    </row>
    <row r="31" spans="2:9" x14ac:dyDescent="0.25">
      <c r="B31" s="17" t="s">
        <v>81</v>
      </c>
      <c r="C31" s="64" t="s">
        <v>57</v>
      </c>
      <c r="D31" s="65">
        <v>3056837754</v>
      </c>
      <c r="E31" s="65">
        <v>2876780068.6500001</v>
      </c>
      <c r="F31" s="65">
        <v>2818008130.0700002</v>
      </c>
      <c r="G31" s="65">
        <v>2086360904.27</v>
      </c>
      <c r="H31" s="65">
        <v>2063085927.27</v>
      </c>
      <c r="I31" s="73">
        <v>0</v>
      </c>
    </row>
    <row r="32" spans="2:9" x14ac:dyDescent="0.25">
      <c r="B32" s="17" t="s">
        <v>122</v>
      </c>
      <c r="C32" s="64" t="s">
        <v>123</v>
      </c>
      <c r="D32" s="65">
        <v>907945356</v>
      </c>
      <c r="E32" s="65">
        <v>155653740</v>
      </c>
      <c r="F32" s="65">
        <v>150309905.47999999</v>
      </c>
      <c r="G32" s="65">
        <v>105946016.48</v>
      </c>
      <c r="H32" s="65">
        <v>105946016.48</v>
      </c>
      <c r="I32" s="73"/>
    </row>
    <row r="33" spans="2:9" x14ac:dyDescent="0.25">
      <c r="B33" s="17" t="s">
        <v>38</v>
      </c>
      <c r="C33" s="64" t="s">
        <v>127</v>
      </c>
      <c r="D33" s="65">
        <v>200000000</v>
      </c>
      <c r="E33" s="65">
        <v>177108632</v>
      </c>
      <c r="F33" s="65">
        <v>119838891.16</v>
      </c>
      <c r="G33" s="65">
        <v>59343438.159999996</v>
      </c>
      <c r="H33" s="65">
        <v>59343438.159999996</v>
      </c>
      <c r="I33" s="73">
        <v>0</v>
      </c>
    </row>
    <row r="34" spans="2:9" x14ac:dyDescent="0.25">
      <c r="B34" s="17" t="s">
        <v>39</v>
      </c>
      <c r="C34" s="64" t="s">
        <v>128</v>
      </c>
      <c r="D34" s="65">
        <v>58800000000</v>
      </c>
      <c r="E34" s="65">
        <v>16947657206.110001</v>
      </c>
      <c r="F34" s="65">
        <v>15950257901.390001</v>
      </c>
      <c r="G34" s="65">
        <v>11513025647.370001</v>
      </c>
      <c r="H34" s="65">
        <v>11460138181.370001</v>
      </c>
      <c r="I34" s="73">
        <v>0</v>
      </c>
    </row>
    <row r="35" spans="2:9" x14ac:dyDescent="0.25">
      <c r="B35" s="17" t="s">
        <v>40</v>
      </c>
      <c r="C35" s="64" t="s">
        <v>129</v>
      </c>
      <c r="D35" s="65">
        <v>5000000000</v>
      </c>
      <c r="E35" s="65">
        <v>3862008307.79</v>
      </c>
      <c r="F35" s="65">
        <v>3859824390.2600002</v>
      </c>
      <c r="G35" s="65">
        <v>3236425202.2600002</v>
      </c>
      <c r="H35" s="65">
        <v>3186429628.2600002</v>
      </c>
      <c r="I35" s="73">
        <v>0</v>
      </c>
    </row>
    <row r="36" spans="2:9" x14ac:dyDescent="0.25">
      <c r="B36" s="17" t="s">
        <v>42</v>
      </c>
      <c r="C36" s="64" t="s">
        <v>130</v>
      </c>
      <c r="D36" s="65">
        <v>1000000000</v>
      </c>
      <c r="E36" s="65">
        <v>957400885</v>
      </c>
      <c r="F36" s="65">
        <v>930111359.08000004</v>
      </c>
      <c r="G36" s="65">
        <v>723103527.08000004</v>
      </c>
      <c r="H36" s="65">
        <v>713859742.08000004</v>
      </c>
      <c r="I36" s="73">
        <v>0</v>
      </c>
    </row>
    <row r="37" spans="2:9" x14ac:dyDescent="0.25">
      <c r="C37" s="1"/>
    </row>
    <row r="38" spans="2:9" x14ac:dyDescent="0.25">
      <c r="D38" s="27">
        <f>SUM(D2:D36)</f>
        <v>4505182025012</v>
      </c>
      <c r="E38" s="27">
        <f t="shared" ref="E38:H38" si="0">SUM(E2:E36)</f>
        <v>4356702839679.3896</v>
      </c>
      <c r="F38" s="27">
        <f t="shared" si="0"/>
        <v>4351551928545</v>
      </c>
      <c r="G38" s="27">
        <f t="shared" si="0"/>
        <v>380406500597.89001</v>
      </c>
      <c r="H38" s="27">
        <f t="shared" si="0"/>
        <v>380087080997.89001</v>
      </c>
      <c r="I38" s="27">
        <f>+SUM(I2:I36)</f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8:O69"/>
  <sheetViews>
    <sheetView showGridLines="0" showRowColHeaders="0" zoomScaleNormal="100" workbookViewId="0"/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8" spans="2:10" x14ac:dyDescent="0.25">
      <c r="B8" s="4" t="s">
        <v>5</v>
      </c>
      <c r="C8" t="s">
        <v>18</v>
      </c>
      <c r="D8" t="s">
        <v>41</v>
      </c>
      <c r="E8" t="s">
        <v>16</v>
      </c>
      <c r="F8" t="s">
        <v>17</v>
      </c>
    </row>
    <row r="9" spans="2:10" x14ac:dyDescent="0.25">
      <c r="B9" s="2" t="s">
        <v>24</v>
      </c>
      <c r="C9" s="19">
        <v>99785.985369999995</v>
      </c>
      <c r="D9" s="19">
        <v>71364.141822850012</v>
      </c>
      <c r="E9" s="19">
        <v>69141.968314359998</v>
      </c>
      <c r="F9" s="19">
        <v>67642.043213359997</v>
      </c>
    </row>
    <row r="10" spans="2:10" x14ac:dyDescent="0.25">
      <c r="B10" s="2" t="s">
        <v>25</v>
      </c>
      <c r="C10" s="19">
        <v>1167604.3350470001</v>
      </c>
      <c r="D10" s="19">
        <v>932302.88402700005</v>
      </c>
      <c r="E10" s="19">
        <v>932302.88402700005</v>
      </c>
      <c r="F10" s="19">
        <v>932302.88402700005</v>
      </c>
    </row>
    <row r="11" spans="2:10" x14ac:dyDescent="0.25">
      <c r="B11" s="2" t="s">
        <v>26</v>
      </c>
      <c r="C11" s="19">
        <v>4505182.0250120005</v>
      </c>
      <c r="D11" s="19">
        <v>4351551.928545</v>
      </c>
      <c r="E11" s="19">
        <v>380406.50059789</v>
      </c>
      <c r="F11" s="19">
        <v>380087.08099789004</v>
      </c>
    </row>
    <row r="12" spans="2:10" x14ac:dyDescent="0.25">
      <c r="B12" s="2" t="s">
        <v>6</v>
      </c>
      <c r="C12" s="19">
        <v>5772572.3454290004</v>
      </c>
      <c r="D12" s="19">
        <v>5355218.9543948499</v>
      </c>
      <c r="E12" s="19">
        <v>1381851.3529392499</v>
      </c>
      <c r="F12" s="19">
        <v>1380032.0082382502</v>
      </c>
      <c r="G12" s="102" t="s">
        <v>94</v>
      </c>
      <c r="H12" s="5"/>
      <c r="J12" s="5"/>
    </row>
    <row r="18" spans="1: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5"/>
      <c r="O23" s="7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5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16"/>
      <c r="K41" s="16"/>
      <c r="L41" s="16"/>
      <c r="M41" s="16"/>
      <c r="N41" s="16"/>
    </row>
    <row r="42" spans="1:14" hidden="1" outlineLevel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10"/>
      <c r="K42" s="10"/>
      <c r="L42" s="16"/>
      <c r="M42" s="16"/>
      <c r="N42" s="16"/>
    </row>
    <row r="43" spans="1:14" s="10" customFormat="1" hidden="1" outlineLevel="1" x14ac:dyDescent="0.25">
      <c r="A43" s="26"/>
      <c r="B43" s="77" t="s">
        <v>5</v>
      </c>
      <c r="C43" s="77" t="s">
        <v>18</v>
      </c>
      <c r="D43" s="77" t="s">
        <v>41</v>
      </c>
      <c r="E43" s="77" t="s">
        <v>16</v>
      </c>
      <c r="F43" s="77" t="s">
        <v>17</v>
      </c>
      <c r="G43" s="26"/>
      <c r="H43" s="26"/>
      <c r="I43" s="26"/>
      <c r="L43"/>
      <c r="M43"/>
      <c r="N43"/>
    </row>
    <row r="44" spans="1:14" s="10" customFormat="1" hidden="1" outlineLevel="1" x14ac:dyDescent="0.25">
      <c r="A44" s="26"/>
      <c r="B44" s="78" t="s">
        <v>24</v>
      </c>
      <c r="C44" s="79">
        <f>+GETPIVOTDATA("APROPIACION",$B$8,"DESCRIPCION","A-FUNCIONAMIENTO")</f>
        <v>99785.985369999995</v>
      </c>
      <c r="D44" s="80">
        <f>+GETPIVOTDATA("COMPROMISOS",$B$8,"DESCRIPCION","A-FUNCIONAMIENTO")/C44</f>
        <v>0.71517199091872852</v>
      </c>
      <c r="E44" s="80">
        <f>+GETPIVOTDATA(" OBLIGACIONES",$B$8,"DESCRIPCION","A-FUNCIONAMIENTO")/C44</f>
        <v>0.69290259607084137</v>
      </c>
      <c r="F44" s="80">
        <f>+GETPIVOTDATA(" PAGOS",$B$8,"DESCRIPCION","A-FUNCIONAMIENTO")/GETPIVOTDATA("APROPIACION",$B$8,"DESCRIPCION","A-FUNCIONAMIENTO")</f>
        <v>0.67787117562198407</v>
      </c>
      <c r="G44" s="26"/>
      <c r="H44" s="26"/>
      <c r="I44" s="26"/>
      <c r="L44"/>
      <c r="M44"/>
      <c r="N44"/>
    </row>
    <row r="45" spans="1:14" s="10" customFormat="1" hidden="1" outlineLevel="1" x14ac:dyDescent="0.25">
      <c r="A45" s="26"/>
      <c r="B45" s="78" t="s">
        <v>25</v>
      </c>
      <c r="C45" s="79">
        <f>+GETPIVOTDATA("APROPIACION",$B$8,"DESCRIPCION","B-SERVICIO DE LA DEUDA PÚBLICA")</f>
        <v>1167604.3350470001</v>
      </c>
      <c r="D45" s="80">
        <f>+GETPIVOTDATA("COMPROMISOS",$B$8,"DESCRIPCION","B-SERVICIO DE LA DEUDA PÚBLICA")/C45</f>
        <v>0.79847501079162375</v>
      </c>
      <c r="E45" s="80">
        <f>+GETPIVOTDATA(" OBLIGACIONES",$B$8,"DESCRIPCION","B-SERVICIO DE LA DEUDA PÚBLICA")/GETPIVOTDATA("APROPIACION",$B$8,"DESCRIPCION","B-SERVICIO DE LA DEUDA PÚBLICA")</f>
        <v>0.79847501079162375</v>
      </c>
      <c r="F45" s="80">
        <f>+GETPIVOTDATA(" PAGOS",$B$8,"DESCRIPCION","B-SERVICIO DE LA DEUDA PÚBLICA")/GETPIVOTDATA("APROPIACION",$B$8,"DESCRIPCION","B-SERVICIO DE LA DEUDA PÚBLICA")</f>
        <v>0.79847501079162375</v>
      </c>
      <c r="G45" s="26"/>
      <c r="H45" s="88"/>
      <c r="I45" s="26"/>
      <c r="L45" s="76"/>
      <c r="M45" s="76"/>
      <c r="N45" s="76"/>
    </row>
    <row r="46" spans="1:14" s="10" customFormat="1" hidden="1" outlineLevel="1" x14ac:dyDescent="0.25">
      <c r="A46" s="26"/>
      <c r="B46" s="78" t="s">
        <v>26</v>
      </c>
      <c r="C46" s="81">
        <f>+GETPIVOTDATA("APROPIACION",$B$8,"DESCRIPCION","C- INVERSION")</f>
        <v>4505182.0250120005</v>
      </c>
      <c r="D46" s="80">
        <f>+GETPIVOTDATA("COMPROMISOS",$B$8,"DESCRIPCION","C- INVERSION")/C46</f>
        <v>0.96589924766323043</v>
      </c>
      <c r="E46" s="80">
        <f>+GETPIVOTDATA(" OBLIGACIONES",$B$8,"DESCRIPCION","C- INVERSION")/GETPIVOTDATA("APROPIACION",$B$8,"DESCRIPCION","C- INVERSION")</f>
        <v>8.4437542919672981E-2</v>
      </c>
      <c r="F46" s="80">
        <f>+GETPIVOTDATA(" PAGOS",$B$8,"DESCRIPCION","C- INVERSION")/GETPIVOTDATA("APROPIACION",$B$8,"DESCRIPCION","C- INVERSION")</f>
        <v>8.436664243258353E-2</v>
      </c>
      <c r="G46" s="26"/>
      <c r="H46" s="26"/>
      <c r="I46" s="26"/>
      <c r="L46"/>
      <c r="M46"/>
      <c r="N46"/>
    </row>
    <row r="47" spans="1:14" s="10" customFormat="1" hidden="1" outlineLevel="1" x14ac:dyDescent="0.25">
      <c r="A47" s="26"/>
      <c r="B47" s="82" t="s">
        <v>6</v>
      </c>
      <c r="C47" s="83">
        <f>+GETPIVOTDATA("APROPIACION",$B$8)</f>
        <v>5772572.3454290004</v>
      </c>
      <c r="D47" s="89">
        <f>+GETPIVOTDATA("COMPROMISOS",$B$8)/GETPIVOTDATA("APROPIACION",$B$8)</f>
        <v>0.92770062182683066</v>
      </c>
      <c r="E47" s="89">
        <f>+GETPIVOTDATA(" OBLIGACIONES",$B$8)/GETPIVOTDATA("APROPIACION",$B$8)</f>
        <v>0.23938224941147185</v>
      </c>
      <c r="F47" s="89">
        <f>+GETPIVOTDATA(" PAGOS",$B$8)/GETPIVOTDATA("APROPIACION",$B$8)</f>
        <v>0.23906707887879927</v>
      </c>
      <c r="G47" s="26"/>
      <c r="H47" s="26"/>
      <c r="I47" s="26"/>
      <c r="L47"/>
      <c r="M47"/>
      <c r="N47"/>
    </row>
    <row r="48" spans="1:14" s="10" customFormat="1" hidden="1" outlineLevel="1" x14ac:dyDescent="0.25">
      <c r="A48" s="26"/>
      <c r="B48" s="26"/>
      <c r="C48" s="26"/>
      <c r="D48" s="26"/>
      <c r="E48" s="26"/>
      <c r="F48" s="26"/>
      <c r="G48" s="26"/>
      <c r="H48" s="26"/>
      <c r="I48" s="26"/>
      <c r="L48" s="9"/>
      <c r="M48" s="9"/>
      <c r="N48" s="9"/>
    </row>
    <row r="49" spans="1:11" hidden="1" outlineLevel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hidden="1" outlineLevel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hidden="1" outlineLevel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hidden="1" outlineLevel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hidden="1" outlineLevel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hidden="1" outlineLevel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hidden="1" outlineLevel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hidden="1" outlineLevel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1" hidden="1" outlineLevel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1" hidden="1" outlineLevel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1" collapsed="1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0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6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B8:L55"/>
  <sheetViews>
    <sheetView showGridLines="0" showRowColHeaders="0" zoomScaleNormal="100" workbookViewId="0"/>
  </sheetViews>
  <sheetFormatPr baseColWidth="10" defaultRowHeight="15" outlineLevelRow="1" x14ac:dyDescent="0.25"/>
  <cols>
    <col min="1" max="1" width="5.85546875" customWidth="1"/>
    <col min="2" max="2" width="7.42578125" customWidth="1"/>
    <col min="3" max="3" width="47.7109375" bestFit="1" customWidth="1"/>
    <col min="4" max="4" width="14" bestFit="1" customWidth="1"/>
    <col min="5" max="5" width="15.42578125" bestFit="1" customWidth="1"/>
    <col min="6" max="6" width="14.7109375" bestFit="1" customWidth="1"/>
    <col min="7" max="7" width="14.42578125" bestFit="1" customWidth="1"/>
  </cols>
  <sheetData>
    <row r="8" spans="3:8" ht="30" x14ac:dyDescent="0.25">
      <c r="C8" s="4" t="s">
        <v>5</v>
      </c>
      <c r="D8" s="14" t="s">
        <v>19</v>
      </c>
      <c r="E8" s="14" t="s">
        <v>12</v>
      </c>
      <c r="F8" s="14" t="s">
        <v>13</v>
      </c>
      <c r="G8" s="14" t="s">
        <v>15</v>
      </c>
    </row>
    <row r="9" spans="3:8" x14ac:dyDescent="0.25">
      <c r="C9" s="2" t="s">
        <v>27</v>
      </c>
      <c r="D9" s="19">
        <v>56308.670080000004</v>
      </c>
      <c r="E9" s="19">
        <v>39864.821969270008</v>
      </c>
      <c r="F9" s="19">
        <v>39864.821969270008</v>
      </c>
      <c r="G9" s="19">
        <v>38839.374167269998</v>
      </c>
    </row>
    <row r="10" spans="3:8" x14ac:dyDescent="0.25">
      <c r="C10" s="2" t="s">
        <v>28</v>
      </c>
      <c r="D10" s="19">
        <v>19419.071</v>
      </c>
      <c r="E10" s="19">
        <v>16548.21374694</v>
      </c>
      <c r="F10" s="19">
        <v>14326.040238449998</v>
      </c>
      <c r="G10" s="19">
        <v>13851.562939449997</v>
      </c>
    </row>
    <row r="11" spans="3:8" x14ac:dyDescent="0.25">
      <c r="C11" s="2" t="s">
        <v>29</v>
      </c>
      <c r="D11" s="19">
        <v>10006.772290000001</v>
      </c>
      <c r="E11" s="19">
        <v>2799.67483864</v>
      </c>
      <c r="F11" s="19">
        <v>2799.67483864</v>
      </c>
      <c r="G11" s="19">
        <v>2799.67483864</v>
      </c>
    </row>
    <row r="12" spans="3:8" ht="30" x14ac:dyDescent="0.25">
      <c r="C12" s="11" t="s">
        <v>30</v>
      </c>
      <c r="D12" s="19">
        <v>14051.472</v>
      </c>
      <c r="E12" s="19">
        <v>12151.431268</v>
      </c>
      <c r="F12" s="19">
        <v>12151.431268</v>
      </c>
      <c r="G12" s="19">
        <v>12151.431268</v>
      </c>
    </row>
    <row r="13" spans="3:8" x14ac:dyDescent="0.25">
      <c r="C13" s="2" t="s">
        <v>6</v>
      </c>
      <c r="D13" s="19">
        <v>99785.985369999995</v>
      </c>
      <c r="E13" s="19">
        <v>71364.141822850012</v>
      </c>
      <c r="F13" s="19">
        <v>69141.968314360012</v>
      </c>
      <c r="G13" s="19">
        <v>67642.043213359997</v>
      </c>
      <c r="H13" s="102" t="s">
        <v>94</v>
      </c>
    </row>
    <row r="18" spans="3:7" x14ac:dyDescent="0.25">
      <c r="C18" s="13"/>
      <c r="D18" s="13"/>
      <c r="E18" s="13"/>
      <c r="F18" s="13"/>
      <c r="G18" s="13"/>
    </row>
    <row r="19" spans="3:7" x14ac:dyDescent="0.25">
      <c r="C19" s="13"/>
      <c r="D19" s="13"/>
      <c r="E19" s="13"/>
      <c r="F19" s="13"/>
      <c r="G19" s="13"/>
    </row>
    <row r="20" spans="3:7" x14ac:dyDescent="0.25">
      <c r="C20" s="13"/>
      <c r="D20" s="13"/>
      <c r="E20" s="13"/>
      <c r="F20" s="13"/>
      <c r="G20" s="13"/>
    </row>
    <row r="21" spans="3:7" x14ac:dyDescent="0.25">
      <c r="C21" s="13"/>
      <c r="D21" s="13"/>
      <c r="E21" s="13"/>
      <c r="F21" s="13"/>
      <c r="G21" s="13"/>
    </row>
    <row r="22" spans="3:7" x14ac:dyDescent="0.25">
      <c r="C22" s="13"/>
      <c r="D22" s="13"/>
      <c r="E22" s="13"/>
      <c r="F22" s="13"/>
      <c r="G22" s="13"/>
    </row>
    <row r="23" spans="3:7" x14ac:dyDescent="0.25">
      <c r="C23" s="13"/>
      <c r="D23" s="13"/>
      <c r="E23" s="13"/>
      <c r="F23" s="13"/>
      <c r="G23" s="13"/>
    </row>
    <row r="24" spans="3:7" x14ac:dyDescent="0.25">
      <c r="C24" s="13"/>
      <c r="D24" s="13"/>
      <c r="E24" s="13"/>
      <c r="F24" s="13"/>
      <c r="G24" s="13"/>
    </row>
    <row r="25" spans="3:7" x14ac:dyDescent="0.25">
      <c r="C25" s="13"/>
      <c r="D25" s="13"/>
      <c r="E25" s="13"/>
      <c r="F25" s="13"/>
      <c r="G25" s="13"/>
    </row>
    <row r="26" spans="3:7" x14ac:dyDescent="0.25">
      <c r="C26" s="13"/>
      <c r="D26" s="13"/>
      <c r="E26" s="13"/>
      <c r="F26" s="13"/>
      <c r="G26" s="13"/>
    </row>
    <row r="27" spans="3:7" x14ac:dyDescent="0.25">
      <c r="C27" s="13"/>
      <c r="D27" s="13"/>
      <c r="E27" s="13"/>
      <c r="F27" s="13"/>
      <c r="G27" s="13"/>
    </row>
    <row r="28" spans="3:7" x14ac:dyDescent="0.25">
      <c r="C28" s="13"/>
      <c r="D28" s="13"/>
      <c r="E28" s="13"/>
      <c r="F28" s="13"/>
      <c r="G28" s="13"/>
    </row>
    <row r="29" spans="3:7" x14ac:dyDescent="0.25">
      <c r="C29" s="13"/>
      <c r="D29" s="13"/>
      <c r="E29" s="13"/>
      <c r="F29" s="13"/>
      <c r="G29" s="13"/>
    </row>
    <row r="30" spans="3:7" x14ac:dyDescent="0.25">
      <c r="C30" s="13"/>
      <c r="D30" s="13"/>
      <c r="E30" s="13"/>
      <c r="F30" s="13"/>
      <c r="G30" s="13"/>
    </row>
    <row r="31" spans="3:7" x14ac:dyDescent="0.25">
      <c r="C31" s="13"/>
      <c r="D31" s="13"/>
      <c r="E31" s="13"/>
      <c r="F31" s="13"/>
      <c r="G31" s="13"/>
    </row>
    <row r="32" spans="3:7" x14ac:dyDescent="0.25">
      <c r="C32" s="13"/>
      <c r="D32" s="13"/>
      <c r="E32" s="13"/>
      <c r="F32" s="13"/>
      <c r="G32" s="13"/>
    </row>
    <row r="33" spans="2:12" x14ac:dyDescent="0.25">
      <c r="C33" s="13"/>
      <c r="D33" s="13"/>
      <c r="E33" s="13"/>
      <c r="F33" s="13"/>
      <c r="G33" s="13"/>
    </row>
    <row r="34" spans="2:12" x14ac:dyDescent="0.25">
      <c r="C34" s="13"/>
      <c r="D34" s="13"/>
      <c r="E34" s="13"/>
      <c r="F34" s="13"/>
      <c r="G34" s="13"/>
    </row>
    <row r="35" spans="2:12" x14ac:dyDescent="0.25">
      <c r="C35" s="13"/>
      <c r="D35" s="13"/>
      <c r="E35" s="13"/>
      <c r="F35" s="13"/>
      <c r="G35" s="13"/>
    </row>
    <row r="36" spans="2:12" x14ac:dyDescent="0.25">
      <c r="C36" s="13"/>
      <c r="D36" s="13"/>
      <c r="E36" s="13"/>
      <c r="F36" s="13"/>
      <c r="G36" s="13"/>
    </row>
    <row r="37" spans="2:12" x14ac:dyDescent="0.25">
      <c r="C37" s="13"/>
      <c r="D37" s="13"/>
      <c r="E37" s="13"/>
      <c r="F37" s="13"/>
      <c r="G37" s="13"/>
    </row>
    <row r="38" spans="2:12" x14ac:dyDescent="0.25">
      <c r="C38" s="13"/>
      <c r="D38" s="13"/>
      <c r="E38" s="13"/>
      <c r="F38" s="13"/>
      <c r="G38" s="13"/>
    </row>
    <row r="39" spans="2:12" x14ac:dyDescent="0.25">
      <c r="C39" s="13"/>
      <c r="D39" s="13"/>
      <c r="E39" s="13"/>
      <c r="F39" s="13"/>
      <c r="G39" s="13"/>
    </row>
    <row r="40" spans="2:12" x14ac:dyDescent="0.25">
      <c r="C40" s="13"/>
      <c r="D40" s="13"/>
      <c r="E40" s="13"/>
      <c r="F40" s="13"/>
      <c r="G40" s="13"/>
    </row>
    <row r="41" spans="2:12" x14ac:dyDescent="0.25">
      <c r="C41" s="13"/>
      <c r="D41" s="13"/>
      <c r="E41" s="13"/>
      <c r="F41" s="13"/>
      <c r="G41" s="13"/>
    </row>
    <row r="42" spans="2:12" x14ac:dyDescent="0.25">
      <c r="C42" s="13"/>
      <c r="D42" s="13"/>
      <c r="E42" s="13"/>
      <c r="F42" s="13"/>
      <c r="G42" s="13"/>
    </row>
    <row r="43" spans="2:12" x14ac:dyDescent="0.25">
      <c r="C43" s="13"/>
      <c r="D43" s="13"/>
      <c r="E43" s="13"/>
      <c r="F43" s="13"/>
      <c r="G43" s="13"/>
    </row>
    <row r="44" spans="2:12" x14ac:dyDescent="0.25">
      <c r="C44" s="10"/>
      <c r="D44" s="10"/>
      <c r="E44" s="10"/>
      <c r="F44" s="10"/>
      <c r="G44" s="9"/>
      <c r="H44" s="9"/>
      <c r="I44" s="9"/>
    </row>
    <row r="45" spans="2:12" x14ac:dyDescent="0.25">
      <c r="C45" s="10" t="s">
        <v>5</v>
      </c>
      <c r="D45" s="10" t="s">
        <v>19</v>
      </c>
      <c r="E45" s="10" t="s">
        <v>12</v>
      </c>
      <c r="F45" s="10" t="s">
        <v>13</v>
      </c>
      <c r="G45" s="10" t="s">
        <v>15</v>
      </c>
      <c r="H45" s="10"/>
      <c r="I45" s="9"/>
    </row>
    <row r="46" spans="2:12" hidden="1" outlineLevel="1" x14ac:dyDescent="0.25">
      <c r="B46" s="26"/>
      <c r="C46" s="84" t="s">
        <v>27</v>
      </c>
      <c r="D46" s="84">
        <f>+GETPIVOTDATA(" APROPIACION
 VIGENTE",$C$8,"DESCRIPCION","A-01 -GASTOS DE PERSONAL")</f>
        <v>56308.670080000004</v>
      </c>
      <c r="E46" s="85">
        <f>+GETPIVOTDATA(" COMPROMISOS
 ACUMULADOS",$C$8,"DESCRIPCION","A-01 -GASTOS DE PERSONAL")/GETPIVOTDATA(" APROPIACION
 VIGENTE",$C$8,"DESCRIPCION","A-01 -GASTOS DE PERSONAL")</f>
        <v>0.70796951717439682</v>
      </c>
      <c r="F46" s="85">
        <f>+GETPIVOTDATA(" OBLIGACIONES
 ACUMULADAS",$C$8,"DESCRIPCION","A-01 -GASTOS DE PERSONAL")/GETPIVOTDATA(" APROPIACION
 VIGENTE",$C$8,"DESCRIPCION","A-01 -GASTOS DE PERSONAL")</f>
        <v>0.70796951717439682</v>
      </c>
      <c r="G46" s="85">
        <f>+GETPIVOTDATA(" PAGOS
 ACUMULADOS",$C$8,"DESCRIPCION","A-01 -GASTOS DE PERSONAL")/GETPIVOTDATA(" APROPIACION
 VIGENTE",$C$8,"DESCRIPCION","A-01 -GASTOS DE PERSONAL")</f>
        <v>0.68975832872787313</v>
      </c>
      <c r="H46" s="13"/>
      <c r="I46" s="13"/>
      <c r="J46" s="13"/>
      <c r="K46" s="13"/>
      <c r="L46" s="13"/>
    </row>
    <row r="47" spans="2:12" hidden="1" outlineLevel="1" x14ac:dyDescent="0.25">
      <c r="B47" s="26"/>
      <c r="C47" s="84" t="s">
        <v>28</v>
      </c>
      <c r="D47" s="84">
        <f>+GETPIVOTDATA(" APROPIACION
 VIGENTE",$C$8,"DESCRIPCION","A-02 -ADQUISICIÓN DE BIENES  Y SERVICIOS")</f>
        <v>19419.071</v>
      </c>
      <c r="E47" s="85">
        <f>+GETPIVOTDATA(" COMPROMISOS
 ACUMULADOS",$C$8,"DESCRIPCION","A-02 -ADQUISICIÓN DE BIENES  Y SERVICIOS")/GETPIVOTDATA(" APROPIACION
 VIGENTE",$C$8,"DESCRIPCION","A-02 -ADQUISICIÓN DE BIENES  Y SERVICIOS")</f>
        <v>0.85216299723812738</v>
      </c>
      <c r="F47" s="85">
        <f>+GETPIVOTDATA(" OBLIGACIONES
 ACUMULADAS",$C$8,"DESCRIPCION","A-02 -ADQUISICIÓN DE BIENES  Y SERVICIOS")/GETPIVOTDATA(" APROPIACION
 VIGENTE",$C$8,"DESCRIPCION","A-02 -ADQUISICIÓN DE BIENES  Y SERVICIOS")</f>
        <v>0.73773046292739741</v>
      </c>
      <c r="G47" s="85">
        <f>+GETPIVOTDATA(" PAGOS
 ACUMULADOS",$C$8,"DESCRIPCION","A-02 -ADQUISICIÓN DE BIENES  Y SERVICIOS")/GETPIVOTDATA(" APROPIACION
 VIGENTE",$C$8,"DESCRIPCION","A-02 -ADQUISICIÓN DE BIENES  Y SERVICIOS")</f>
        <v>0.7132968894057804</v>
      </c>
      <c r="H47" s="13"/>
      <c r="I47" s="13"/>
      <c r="J47" s="13"/>
      <c r="K47" s="13"/>
      <c r="L47" s="13"/>
    </row>
    <row r="48" spans="2:12" hidden="1" outlineLevel="1" x14ac:dyDescent="0.25">
      <c r="B48" s="26"/>
      <c r="C48" s="84" t="s">
        <v>29</v>
      </c>
      <c r="D48" s="84">
        <f>+GETPIVOTDATA(" APROPIACION
 VIGENTE",$C$8,"DESCRIPCION","A-03-TRANSFERENCIAS CORRIENTES")</f>
        <v>10006.772290000001</v>
      </c>
      <c r="E48" s="85">
        <f>+GETPIVOTDATA(" COMPROMISOS
 ACUMULADOS",$C$8,"DESCRIPCION","A-03-TRANSFERENCIAS CORRIENTES")/GETPIVOTDATA(" APROPIACION
 VIGENTE",$C$8,"DESCRIPCION","A-03-TRANSFERENCIAS CORRIENTES")</f>
        <v>0.27977801008201014</v>
      </c>
      <c r="F48" s="85">
        <f>+GETPIVOTDATA(" OBLIGACIONES
 ACUMULADAS",$C$8,"DESCRIPCION","A-03-TRANSFERENCIAS CORRIENTES")/GETPIVOTDATA(" APROPIACION
 VIGENTE",$C$8,"DESCRIPCION","A-03-TRANSFERENCIAS CORRIENTES")</f>
        <v>0.27977801008201014</v>
      </c>
      <c r="G48" s="85">
        <f>+GETPIVOTDATA(" PAGOS
 ACUMULADOS",$C$8,"DESCRIPCION","A-03-TRANSFERENCIAS CORRIENTES")/GETPIVOTDATA(" APROPIACION
 VIGENTE",$C$8,"DESCRIPCION","A-03-TRANSFERENCIAS CORRIENTES")</f>
        <v>0.27977801008201014</v>
      </c>
      <c r="H48" s="13"/>
      <c r="I48" s="13"/>
      <c r="J48" s="13"/>
      <c r="K48" s="13"/>
      <c r="L48" s="13"/>
    </row>
    <row r="49" spans="2:12" hidden="1" outlineLevel="1" x14ac:dyDescent="0.25">
      <c r="B49" s="26"/>
      <c r="C49" s="84" t="s">
        <v>30</v>
      </c>
      <c r="D49" s="84">
        <f>+GETPIVOTDATA(" APROPIACION
 VIGENTE",$C$8,"DESCRIPCION","A-08-GASTOS POR TRIBUTOS, MULTAS, SANCIONES E INTERESES DE MORA")</f>
        <v>14051.472</v>
      </c>
      <c r="E49" s="85">
        <f>+GETPIVOTDATA(" COMPROMISOS
 ACUMULADOS",$C$8,"DESCRIPCION","A-08-GASTOS POR TRIBUTOS, MULTAS, SANCIONES E INTERESES DE MORA")/GETPIVOTDATA(" APROPIACION
 VIGENTE",$C$8,"DESCRIPCION","A-08-GASTOS POR TRIBUTOS, MULTAS, SANCIONES E INTERESES DE MORA")</f>
        <v>0.86477995102577154</v>
      </c>
      <c r="F49" s="85">
        <f>+GETPIVOTDATA(" OBLIGACIONES
 ACUMULADAS",$C$8,"DESCRIPCION","A-08-GASTOS POR TRIBUTOS, MULTAS, SANCIONES E INTERESES DE MORA")/GETPIVOTDATA(" APROPIACION
 VIGENTE",$C$8,"DESCRIPCION","A-08-GASTOS POR TRIBUTOS, MULTAS, SANCIONES E INTERESES DE MORA")</f>
        <v>0.86477995102577154</v>
      </c>
      <c r="G49" s="85">
        <f>+GETPIVOTDATA(" PAGOS
 ACUMULADOS",$C$8,"DESCRIPCION","A-08-GASTOS POR TRIBUTOS, MULTAS, SANCIONES E INTERESES DE MORA")/GETPIVOTDATA(" APROPIACION
 VIGENTE",$C$8,"DESCRIPCION","A-08-GASTOS POR TRIBUTOS, MULTAS, SANCIONES E INTERESES DE MORA")</f>
        <v>0.86477995102577154</v>
      </c>
      <c r="H49" s="13"/>
      <c r="I49" s="13"/>
      <c r="J49" s="13"/>
      <c r="K49" s="13"/>
      <c r="L49" s="13"/>
    </row>
    <row r="50" spans="2:12" hidden="1" outlineLevel="1" x14ac:dyDescent="0.25">
      <c r="B50" s="26"/>
      <c r="C50" s="77" t="s">
        <v>6</v>
      </c>
      <c r="D50" s="77">
        <f>+GETPIVOTDATA(" APROPIACION
 VIGENTE",$C$8)</f>
        <v>99785.985369999995</v>
      </c>
      <c r="E50" s="87">
        <f>+GETPIVOTDATA(" COMPROMISOS
 ACUMULADOS",$C$8)/GETPIVOTDATA(" APROPIACION
 VIGENTE",$C$8)</f>
        <v>0.71517199091872852</v>
      </c>
      <c r="F50" s="87">
        <f>+GETPIVOTDATA(" OBLIGACIONES
 ACUMULADAS",$C$8)/GETPIVOTDATA(" APROPIACION
 VIGENTE",$C$8)</f>
        <v>0.69290259607084159</v>
      </c>
      <c r="G50" s="87">
        <f>+GETPIVOTDATA(" PAGOS
 ACUMULADOS",$C$8)/GETPIVOTDATA(" APROPIACION
 VIGENTE",$C$8)</f>
        <v>0.67787117562198407</v>
      </c>
      <c r="H50" s="86"/>
      <c r="I50" s="13"/>
      <c r="J50" s="13"/>
      <c r="K50" s="13"/>
      <c r="L50" s="13"/>
    </row>
    <row r="51" spans="2:12" collapsed="1" x14ac:dyDescent="0.25">
      <c r="B51" s="26"/>
      <c r="C51" s="26"/>
      <c r="D51" s="26"/>
      <c r="E51" s="26"/>
      <c r="F51" s="26"/>
    </row>
    <row r="52" spans="2:12" x14ac:dyDescent="0.25">
      <c r="B52" s="26"/>
      <c r="C52" s="26"/>
      <c r="D52" s="26"/>
      <c r="E52" s="26"/>
      <c r="F52" s="26"/>
    </row>
    <row r="55" spans="2:12" x14ac:dyDescent="0.25">
      <c r="B55" s="9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7:F42"/>
  <sheetViews>
    <sheetView showGridLines="0" showRowColHeaders="0" workbookViewId="0"/>
  </sheetViews>
  <sheetFormatPr baseColWidth="10" defaultRowHeight="15" x14ac:dyDescent="0.25"/>
  <cols>
    <col min="1" max="1" width="5.5703125" customWidth="1"/>
    <col min="2" max="3" width="18" bestFit="1" customWidth="1"/>
    <col min="4" max="4" width="21.28515625" bestFit="1" customWidth="1"/>
    <col min="5" max="5" width="15.42578125" bestFit="1" customWidth="1"/>
    <col min="6" max="6" width="22.5703125" bestFit="1" customWidth="1"/>
  </cols>
  <sheetData>
    <row r="7" spans="2:6" x14ac:dyDescent="0.25">
      <c r="B7" s="8" t="s">
        <v>1</v>
      </c>
      <c r="C7" s="7" t="s">
        <v>136</v>
      </c>
    </row>
    <row r="9" spans="2:6" x14ac:dyDescent="0.25">
      <c r="B9" t="s">
        <v>141</v>
      </c>
      <c r="C9" t="s">
        <v>142</v>
      </c>
      <c r="D9" t="s">
        <v>143</v>
      </c>
      <c r="E9" t="s">
        <v>144</v>
      </c>
    </row>
    <row r="10" spans="2:6" x14ac:dyDescent="0.25">
      <c r="B10" s="101">
        <v>4505182025012</v>
      </c>
      <c r="C10" s="101">
        <v>4351551928545</v>
      </c>
      <c r="D10" s="101">
        <v>380406500597.89001</v>
      </c>
      <c r="E10" s="101">
        <v>380087080997.89001</v>
      </c>
      <c r="F10" s="102" t="s">
        <v>94</v>
      </c>
    </row>
    <row r="12" spans="2:6" x14ac:dyDescent="0.25">
      <c r="B12" s="15"/>
      <c r="F12" s="1"/>
    </row>
    <row r="15" spans="2:6" x14ac:dyDescent="0.25">
      <c r="E15" s="5"/>
    </row>
    <row r="39" spans="2:6" ht="52.5" customHeight="1" x14ac:dyDescent="0.25"/>
    <row r="40" spans="2:6" x14ac:dyDescent="0.25">
      <c r="D40" s="6"/>
    </row>
    <row r="41" spans="2:6" ht="15" customHeight="1" x14ac:dyDescent="0.25">
      <c r="B41" s="105" t="str">
        <f>+CONCATENATE("PROYECTO","  ",C7)</f>
        <v>PROYECTO  (Todas)</v>
      </c>
      <c r="C41" s="105"/>
      <c r="D41" s="105"/>
      <c r="E41" s="105"/>
      <c r="F41" s="105"/>
    </row>
    <row r="42" spans="2:6" x14ac:dyDescent="0.25">
      <c r="B42" s="105"/>
      <c r="C42" s="105"/>
      <c r="D42" s="105"/>
      <c r="E42" s="105"/>
      <c r="F42" s="105"/>
    </row>
  </sheetData>
  <sheetProtection autoFilter="0" pivotTables="0"/>
  <mergeCells count="1">
    <mergeCell ref="B41:F42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G3" sqref="G3:G11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9" width="17.85546875" bestFit="1" customWidth="1"/>
  </cols>
  <sheetData>
    <row r="1" spans="2:7" ht="15.75" thickBot="1" x14ac:dyDescent="0.3"/>
    <row r="2" spans="2:7" ht="63.75" thickBot="1" x14ac:dyDescent="0.3">
      <c r="B2" s="28" t="s">
        <v>82</v>
      </c>
      <c r="C2" s="29" t="s">
        <v>83</v>
      </c>
      <c r="D2" s="30" t="s">
        <v>84</v>
      </c>
      <c r="E2" s="31" t="s">
        <v>85</v>
      </c>
    </row>
    <row r="3" spans="2:7" ht="16.5" thickBot="1" x14ac:dyDescent="0.3">
      <c r="B3" s="35" t="s">
        <v>24</v>
      </c>
      <c r="C3" s="36">
        <f>2249648633.2/1000000</f>
        <v>2249.6486331999999</v>
      </c>
      <c r="D3" s="37">
        <v>0</v>
      </c>
      <c r="E3" s="38">
        <f>2233009086.66/1000000</f>
        <v>2233.0090866599999</v>
      </c>
      <c r="F3" s="49"/>
      <c r="G3" s="40"/>
    </row>
    <row r="4" spans="2:7" ht="19.5" thickBot="1" x14ac:dyDescent="0.3">
      <c r="B4" s="32" t="s">
        <v>119</v>
      </c>
      <c r="C4" s="33">
        <f>53197266014.59/1000000</f>
        <v>53197.266014589994</v>
      </c>
      <c r="D4" s="36">
        <f>1008218842.73/1000000</f>
        <v>1008.21884273</v>
      </c>
      <c r="E4" s="34">
        <f>42384726818.39/1000000</f>
        <v>42384.726818390001</v>
      </c>
      <c r="F4" s="48"/>
      <c r="G4" s="40"/>
    </row>
    <row r="5" spans="2:7" x14ac:dyDescent="0.25">
      <c r="G5" s="40"/>
    </row>
    <row r="6" spans="2:7" x14ac:dyDescent="0.25">
      <c r="C6" s="39"/>
      <c r="D6" s="39"/>
      <c r="E6" s="39"/>
    </row>
    <row r="7" spans="2:7" ht="15.75" thickBot="1" x14ac:dyDescent="0.3">
      <c r="E7" s="27"/>
    </row>
    <row r="8" spans="2:7" ht="63.75" thickBot="1" x14ac:dyDescent="0.3">
      <c r="B8" s="28" t="s">
        <v>82</v>
      </c>
      <c r="C8" s="38" t="s">
        <v>91</v>
      </c>
      <c r="E8" s="27"/>
    </row>
    <row r="9" spans="2:7" ht="19.5" thickBot="1" x14ac:dyDescent="0.3">
      <c r="B9" s="35" t="s">
        <v>24</v>
      </c>
      <c r="C9" s="34">
        <f>C3-D3</f>
        <v>2249.6486331999999</v>
      </c>
      <c r="E9" s="40"/>
      <c r="G9" s="40"/>
    </row>
    <row r="10" spans="2:7" ht="19.5" thickBot="1" x14ac:dyDescent="0.3">
      <c r="B10" s="32" t="s">
        <v>86</v>
      </c>
      <c r="C10" s="34">
        <f>C4-D4</f>
        <v>52189.047171859995</v>
      </c>
      <c r="D10" s="46"/>
      <c r="E10" s="40"/>
    </row>
    <row r="12" spans="2:7" x14ac:dyDescent="0.25">
      <c r="C12" s="46"/>
      <c r="D12" s="46"/>
      <c r="E12" s="46"/>
      <c r="F12" s="49"/>
      <c r="G12" s="50"/>
    </row>
    <row r="13" spans="2:7" x14ac:dyDescent="0.25">
      <c r="C13" s="27"/>
      <c r="D13" s="40"/>
    </row>
    <row r="14" spans="2:7" x14ac:dyDescent="0.25">
      <c r="C14" s="27"/>
      <c r="D14" s="40"/>
    </row>
    <row r="15" spans="2:7" x14ac:dyDescent="0.25">
      <c r="C15" s="40"/>
    </row>
    <row r="16" spans="2:7" x14ac:dyDescent="0.25">
      <c r="C16" s="27"/>
      <c r="D16" s="40"/>
    </row>
    <row r="17" spans="3:4" x14ac:dyDescent="0.25">
      <c r="C17" s="27"/>
      <c r="D17" s="40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8:F13"/>
  <sheetViews>
    <sheetView showGridLines="0" showRowColHeaders="0" zoomScaleNormal="100" workbookViewId="0"/>
  </sheetViews>
  <sheetFormatPr baseColWidth="10" defaultRowHeight="15" x14ac:dyDescent="0.25"/>
  <cols>
    <col min="1" max="1" width="4.85546875" customWidth="1"/>
    <col min="2" max="2" width="21.42578125" bestFit="1" customWidth="1"/>
    <col min="3" max="3" width="20.5703125" bestFit="1" customWidth="1"/>
  </cols>
  <sheetData>
    <row r="8" spans="2:6" x14ac:dyDescent="0.25">
      <c r="B8" s="2"/>
      <c r="C8" s="19"/>
    </row>
    <row r="9" spans="2:6" x14ac:dyDescent="0.25">
      <c r="B9" s="42" t="s">
        <v>88</v>
      </c>
      <c r="C9" s="40" t="s">
        <v>140</v>
      </c>
    </row>
    <row r="10" spans="2:6" x14ac:dyDescent="0.25">
      <c r="B10" s="41" t="s">
        <v>24</v>
      </c>
      <c r="C10" s="40">
        <v>2249.6486331999999</v>
      </c>
    </row>
    <row r="11" spans="2:6" x14ac:dyDescent="0.25">
      <c r="B11" s="41" t="s">
        <v>86</v>
      </c>
      <c r="C11" s="40">
        <v>52189.047171859995</v>
      </c>
    </row>
    <row r="12" spans="2:6" x14ac:dyDescent="0.25">
      <c r="B12" s="41" t="s">
        <v>6</v>
      </c>
      <c r="C12" s="40">
        <v>54438.695805059993</v>
      </c>
      <c r="D12" s="102" t="s">
        <v>94</v>
      </c>
    </row>
    <row r="13" spans="2:6" x14ac:dyDescent="0.25"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17227-539C-403B-99E6-0873850D6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  <ds:schemaRef ds:uri="a40b8588-6542-483a-a94b-1301c9cf23f4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 RES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Alvaro Ramon Antonio Mosquera Ramos</cp:lastModifiedBy>
  <cp:lastPrinted>2022-07-18T14:11:10Z</cp:lastPrinted>
  <dcterms:created xsi:type="dcterms:W3CDTF">2018-03-13T13:24:17Z</dcterms:created>
  <dcterms:modified xsi:type="dcterms:W3CDTF">2022-11-25T20:13:08Z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MediaServiceImageTags">
    <vt:lpwstr/>
  </property>
</Properties>
</file>