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anionline-my.sharepoint.com/personal/asorozco_ani_gov_co/Documents/PRESUPUESTO/EJECUCIONES PRESUPUESTO/ejecuciones excell2021 publicar/diciembre 2021/"/>
    </mc:Choice>
  </mc:AlternateContent>
  <xr:revisionPtr revIDLastSave="0" documentId="8_{DB251564-A316-42BE-8D61-C7DDBDFB6A4C}" xr6:coauthVersionLast="47" xr6:coauthVersionMax="47" xr10:uidLastSave="{00000000-0000-0000-0000-000000000000}"/>
  <bookViews>
    <workbookView xWindow="-120" yWindow="-120" windowWidth="20730" windowHeight="11160" tabRatio="90" xr2:uid="{00000000-000D-0000-FFFF-FFFF00000000}"/>
  </bookViews>
  <sheets>
    <sheet name="Menú" sheetId="8" r:id="rId1"/>
    <sheet name="Participación Apropiación " sheetId="2" r:id="rId2"/>
    <sheet name="Resumen Eje Egreso" sheetId="1" state="hidden" r:id="rId3"/>
    <sheet name="INVERSIÓN" sheetId="4" state="hidden" r:id="rId4"/>
    <sheet name="APR VS RP  Y OBLIGACIÓN Y PAGO" sheetId="3" r:id="rId5"/>
    <sheet name="APR,RP´S,OBL Y PAGO FUNCIONAMIE" sheetId="5" r:id="rId6"/>
    <sheet name="INVERSIÓN APR VS RP Y OBLI" sheetId="7" r:id="rId7"/>
    <sheet name="Reservas Presupuestales" sheetId="9" state="hidden" r:id="rId8"/>
    <sheet name="Participación por Concepto" sheetId="12" r:id="rId9"/>
    <sheet name="EJECUCIÓN  RESERVA" sheetId="10" r:id="rId10"/>
  </sheets>
  <calcPr calcId="191029"/>
  <pivotCaches>
    <pivotCache cacheId="18" r:id="rId11"/>
    <pivotCache cacheId="21" r:id="rId12"/>
    <pivotCache cacheId="27" r:id="rId13"/>
    <pivotCache cacheId="36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9" l="1"/>
  <c r="C9" i="9"/>
  <c r="E4" i="9"/>
  <c r="E3" i="9"/>
  <c r="D4" i="9"/>
  <c r="C4" i="9"/>
  <c r="C3" i="9"/>
  <c r="G36" i="4"/>
  <c r="G20" i="1"/>
  <c r="F20" i="1"/>
  <c r="E20" i="1"/>
  <c r="D20" i="1"/>
  <c r="C20" i="1"/>
  <c r="I36" i="4" l="1"/>
  <c r="G8" i="1" l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  <c r="G3" i="1"/>
  <c r="F3" i="1"/>
  <c r="E3" i="1"/>
  <c r="D3" i="1"/>
  <c r="G2" i="1"/>
  <c r="F2" i="1"/>
  <c r="E2" i="1"/>
  <c r="D2" i="1"/>
  <c r="C8" i="1"/>
  <c r="C7" i="1"/>
  <c r="C6" i="1"/>
  <c r="C5" i="1"/>
  <c r="C4" i="1"/>
  <c r="C3" i="1"/>
  <c r="C2" i="1"/>
  <c r="E45" i="10"/>
  <c r="E46" i="10"/>
  <c r="D46" i="10"/>
  <c r="C47" i="10" l="1"/>
  <c r="H36" i="4" l="1"/>
  <c r="F36" i="4"/>
  <c r="E36" i="4"/>
  <c r="D36" i="4"/>
  <c r="D45" i="10"/>
  <c r="D47" i="10"/>
  <c r="E47" i="10"/>
  <c r="B36" i="7" l="1"/>
  <c r="D45" i="5"/>
  <c r="F48" i="5"/>
  <c r="D46" i="5"/>
  <c r="C44" i="3"/>
  <c r="E45" i="3"/>
  <c r="C47" i="5"/>
  <c r="F45" i="5"/>
  <c r="D45" i="3"/>
  <c r="F44" i="3"/>
  <c r="F45" i="3"/>
  <c r="E47" i="5"/>
  <c r="C44" i="5"/>
  <c r="E43" i="3"/>
  <c r="F44" i="5"/>
  <c r="C43" i="3"/>
  <c r="D47" i="5"/>
  <c r="F43" i="3"/>
  <c r="E44" i="5"/>
  <c r="C45" i="3"/>
  <c r="E48" i="5"/>
  <c r="E44" i="3"/>
  <c r="F47" i="5"/>
  <c r="C45" i="5"/>
  <c r="D48" i="5"/>
  <c r="C42" i="3"/>
  <c r="F46" i="5"/>
  <c r="E46" i="5"/>
  <c r="C48" i="5"/>
  <c r="D44" i="5"/>
  <c r="C46" i="5"/>
  <c r="F42" i="3"/>
  <c r="E45" i="5"/>
  <c r="D44" i="3" l="1"/>
  <c r="D42" i="3"/>
  <c r="E42" i="3"/>
  <c r="D43" i="3"/>
</calcChain>
</file>

<file path=xl/sharedStrings.xml><?xml version="1.0" encoding="utf-8"?>
<sst xmlns="http://schemas.openxmlformats.org/spreadsheetml/2006/main" count="201" uniqueCount="139">
  <si>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</si>
  <si>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</si>
  <si>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</si>
  <si>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</si>
  <si>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</si>
  <si>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</si>
  <si>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</si>
  <si>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</si>
  <si>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</si>
  <si>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</si>
  <si>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</si>
  <si>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</si>
  <si>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 xml:space="preserve"> COMPROMISOS
 ACUMULADOS</t>
  </si>
  <si>
    <t xml:space="preserve"> OBLIGACIONES
 ACUMULADAS</t>
  </si>
  <si>
    <t>PAGOS
 ACUMULADOS</t>
  </si>
  <si>
    <t>2 COMPROMISOS
 ACUMULADOS</t>
  </si>
  <si>
    <t>1 APROPIACION
 VIGENTE</t>
  </si>
  <si>
    <t>3 OBLIGACIONES
 ACUMULADAS</t>
  </si>
  <si>
    <t xml:space="preserve"> PAGOS
 ACUMULADOS</t>
  </si>
  <si>
    <t xml:space="preserve"> OBLIGACIONES</t>
  </si>
  <si>
    <t xml:space="preserve"> PAGOS</t>
  </si>
  <si>
    <t>APROPIACION</t>
  </si>
  <si>
    <t xml:space="preserve"> APROPIACION
 VIGENTE</t>
  </si>
  <si>
    <t>A-01</t>
  </si>
  <si>
    <t>A-02</t>
  </si>
  <si>
    <t>A-03</t>
  </si>
  <si>
    <t>A-08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</si>
  <si>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</si>
  <si>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</si>
  <si>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</si>
  <si>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</si>
  <si>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</si>
  <si>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</si>
  <si>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</si>
  <si>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</si>
  <si>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C-2401-0600-38</t>
  </si>
  <si>
    <t>C-2401-0600-54</t>
  </si>
  <si>
    <t>MEJORAMIENTO DE LA CONCESIÓN ARMENIA PEREIRA MANIZALES  RISARALDA, CALDAS, QUINDIO, VALLE DEL CAUCA</t>
  </si>
  <si>
    <t>C-2404-0600-2</t>
  </si>
  <si>
    <t>REHABILITACIÓN CONSTRUCCIÓN Y MANTENIMIENTO DE LA RED FÉRREA A NIVEL NACIONAL  NACIONAL</t>
  </si>
  <si>
    <t>C-2405-0600-2</t>
  </si>
  <si>
    <t>C-2499-0600-7</t>
  </si>
  <si>
    <t>C-2499-0600-8</t>
  </si>
  <si>
    <t>C-2499-0600-9</t>
  </si>
  <si>
    <t>(Todas)</t>
  </si>
  <si>
    <t>COMPROMISOS</t>
  </si>
  <si>
    <t>C-2499-0600-10</t>
  </si>
  <si>
    <t>Porcentaje Participación de la Apropiación  por Concepto de Gasto</t>
  </si>
  <si>
    <t xml:space="preserve">Comparativo Ejecución  Presupuestal del  Presupuesto de Funcionamiento </t>
  </si>
  <si>
    <t xml:space="preserve">Detalle Ejecución Presupuestal por Proyecto de Inversión </t>
  </si>
  <si>
    <t>MEJORAMIENTO CONSTRUCCIÓN REHABILITACIÓN, MANTENIMIENTO Y OPERACIÓN, DEL CORREDOR VIAL PAMPLONA - CUCÚTA DEPARTAMENTO DE   NORTE DE SANTANDER</t>
  </si>
  <si>
    <t>MEJORAMIENTO , CONSTRUCCIÓN, REHABILITACIÓN, MANTENIMIENTO  Y OPERACIÓN DEL CORREDOR BUCARAMANGA, BARRANCABERMEJA, YONDÓ EN LOS DEPARTAMENTOS DE   ANTIOQUIA, SANTANDER</t>
  </si>
  <si>
    <t>CONSTRUCCIÓN OPERACIÓN Y MANTENIMIENTO DE LA CONCESIÓN AUTOPISTA CONEXIÓN PACIFICO 1 - AUTOPISTAS PARA LA PROSPERIDAD ANTIOQUIA</t>
  </si>
  <si>
    <t>MEJORAMIENTO REHABILITACIÓN, CONSTRUCCIÓN, MANTENIMIENTO Y OPERACIÓN DEL CORREDOR SANTANA - MOCOA - NEIVA, DEPARTAMENTOS DE  HUILA, PUTUMAYO, CAUCA</t>
  </si>
  <si>
    <t>MEJORAMIENTO REHABILITACIÓN, CONSTRUCCIÓN , MANTENIMIENTO  Y OPERACIÓN DEL CORREDOR POPAYAN - SANTANDER DE QUILICHAO EN EL DEPARTAMENTO DEL     CAUCA</t>
  </si>
  <si>
    <t>MEJORAMIENTO CONSTRUCCIÓN, MANTENIMIENTO Y OPERACIÓN DEL CORREDOR CONEXIÓN NORTE, AUTOPISTAS PARA LA PROSPERIDAD   ANTIOQUIA</t>
  </si>
  <si>
    <t>MEJORAMIENTO CONSTRUCCIÓN, REHABILITACIÓN Y MANTENIMIENTO DEL CORREDOR VILLAVICENCIO - YOPAL DEPARTAMENTOS DEL   META, CASANARE</t>
  </si>
  <si>
    <t>REHABILITACIÓN MEJORAMIENTO, CONSTRUCCIÓN, MANTENIMIENTO Y OPERACIÓN DEL CORREDOR CARTAGENA - BARRANQUILLA Y CIRCUNVALAR DE LA PROSPERIDAD, DEPARTAMENTOS DE   ATLÁNTICO, BOLÍVAR</t>
  </si>
  <si>
    <t>MEJORAMIENTO  CONSTRUCCIÓN, OPERACIÓN, Y MANTENIMIENTO DE LA AUTOPISTA CONEXIÓN PACIFICO 3  AUTOPISTAS PARA LA PROSPERIDAD   ANTIOQUIA</t>
  </si>
  <si>
    <t>MEJORAMIENTO REHABILITACIÓN, CONSTRUCCIÓN, MANTENIMIENTO, Y OPERACIÓN DEL CORREDOR RUMICHACA - PASTO EN EL DEPARTAMENTO DE    NARIÑO</t>
  </si>
  <si>
    <t>REHABILITACIÓN MEJORAMIENTO, OPERACIÓN Y MANTENIMIENTO DEL CORREDOR PERIMETRAL DE CUNDINAMARCA, CENTRO ORIENTE   CUNDINAMARCA</t>
  </si>
  <si>
    <t>MEJORAMIENTO CONSTRUCCIÓN, REHABILITACIÓN OPERACIÓN Y MANTENIMIENTO DE LA CONCESIÓN AUTOPISTA AL MAR 2   ANTIOQUIA</t>
  </si>
  <si>
    <t>MEJORAMIENTO REHABILITACIÓN Y MANTENIMIENTO DEL CORREDOR HONDA - PUERTO SALGAR - GIRARDOT, DEPARTAMENTOS DE    CUNDINAMARCA, CALDAS, TOLIMA</t>
  </si>
  <si>
    <t>MEJORAMIENTO DEL CORREDOR PUERTA DE HIERRO - PALMAR DE VARELA Y CARRETO - CRUZ DEL VISO EN LOS DEPARTAMENTOS DE    ATLÁNTICO, BOLÍVAR, SUCRE</t>
  </si>
  <si>
    <t>CONTROL Y SEGUIMIENTO A LA OPERACIÓN DE LOS PUERTOS CONCESIONADOS   NACIONAL</t>
  </si>
  <si>
    <t>C-2401-0600-72</t>
  </si>
  <si>
    <t>C-2401-0600-59</t>
  </si>
  <si>
    <t>C-2401-0600-60</t>
  </si>
  <si>
    <t>C-2401-0600-61</t>
  </si>
  <si>
    <t>C-2401-0600-62</t>
  </si>
  <si>
    <t>C-2401-0600-63</t>
  </si>
  <si>
    <t>C-2401-0600-64</t>
  </si>
  <si>
    <t>C-2401-0600-65</t>
  </si>
  <si>
    <t>C-2401-0600-66</t>
  </si>
  <si>
    <t>C-2401-0600-67</t>
  </si>
  <si>
    <t>C-2401-0600-68</t>
  </si>
  <si>
    <t>C-2401-0600-69</t>
  </si>
  <si>
    <t>C-2401-0600-70</t>
  </si>
  <si>
    <t>C-2401-0600-71</t>
  </si>
  <si>
    <t>C-2401-0600-73</t>
  </si>
  <si>
    <t>C-2401-0600-74</t>
  </si>
  <si>
    <t>C-2401-0600-75</t>
  </si>
  <si>
    <t>C-2401-0600-76</t>
  </si>
  <si>
    <t>C-2401-0600-77</t>
  </si>
  <si>
    <t>C-2401-0600-78</t>
  </si>
  <si>
    <t>C-2401-0600-79</t>
  </si>
  <si>
    <t>C-2403-0600-4</t>
  </si>
  <si>
    <t>C-2404-0600-4</t>
  </si>
  <si>
    <t>C-2405-0600-4</t>
  </si>
  <si>
    <t xml:space="preserve">DENOMINACIÓN DEL CÓDIGO PRESUPUESTAL
</t>
  </si>
  <si>
    <t>RESERVAS CONSTITUIDAS
(1)</t>
  </si>
  <si>
    <t>CANCELACIONES RESERVAS PRESUPUESTALES
 (2)</t>
  </si>
  <si>
    <t>TOTAL PAGOS
ACUMULADOS
(5)</t>
  </si>
  <si>
    <t>B-INVERSIÓN</t>
  </si>
  <si>
    <t xml:space="preserve">RESERVAS CONSTITUIDAS
</t>
  </si>
  <si>
    <t>CONCEPTO</t>
  </si>
  <si>
    <t xml:space="preserve">CANCELACIONES RESERVAS PRESUPUESTALES
 </t>
  </si>
  <si>
    <t xml:space="preserve">PAGOS
ACUMULADOS
</t>
  </si>
  <si>
    <t>Ejecución Presupuesto de Gastos</t>
  </si>
  <si>
    <t>Ejecución Reserva Presupuestal Constituida</t>
  </si>
  <si>
    <t>Porcentaje Participación de la Reserva por Concepto de Gasto</t>
  </si>
  <si>
    <t>Reservas Vigente</t>
  </si>
  <si>
    <t>Reservas Vigentes</t>
  </si>
  <si>
    <t>Ejecución Acumulada Reservas Constituidas</t>
  </si>
  <si>
    <t>Ejecución Reservas Presupuestales por Concepto</t>
  </si>
  <si>
    <t>Cifras en millones de Pesos</t>
  </si>
  <si>
    <t>C-2401-0600-80</t>
  </si>
  <si>
    <t xml:space="preserve">MEJORAMIENTO APOYO ESTATAL PROYECTO DE CONCESIÓN RUTA DEL SOL SECTOR III,   CESAR, BOLÍVAR, MAGDALENA </t>
  </si>
  <si>
    <t>REHABILITACIÓN CONSTRUCCIÓN, MEJORAMIENTO, OPERACIÓN Y MANTENIMIENTO DE LA CONCESIÓN AUTOPISTA AL RIO MAGDALENA 2, DEPARTAMENTOS DE ANTIOQUIA, SANTANDER</t>
  </si>
  <si>
    <t>CONTROL Y SEGUIMIENTO A LA OPERACIÓN DE LAS VÍAS PRIMARIAS CONCESIONADAS  NACIONAL-[PREVIO CONCEPTO DNP]</t>
  </si>
  <si>
    <t>CONSTRUCCIÓN OPERACIÓN Y MANTENIMIENTO DE LA VÍA MULALO - LOBOGUERRERO, DEPARTAMENTO DEL VALLE DEL CAUCA</t>
  </si>
  <si>
    <t>MEJORAMIENTO REHABILITACIÓN, CONSTRUCCIÓN, MANTENIMIENTO Y OPERACIÓN DEL CORREDOR BUCARAMANGA PAMPLONA NORTE DE SANTANDER</t>
  </si>
  <si>
    <t>MEJORAMIENTO REHABILITACIÓN, MANTENIMIENTO Y OPERACIÓN DEL CORREDOR TRANSVERSAL DEL SISGA, DEPARTAMENTOS DE BOYACÁ, CUNDINAMARCA, CASANARE</t>
  </si>
  <si>
    <t>MEJORAMIENTO CONSTRUCCIÓN, OPERACIÓN Y MANTENIMIENTO DE LA CONCESIÓN AUTOPISTA CONEXIÓN PACIFICO 2 ANTIOQUIA</t>
  </si>
  <si>
    <t>MEJORAMIENTO CONSTRUCCIÓN, REHABILITACIÓN, OPERACIÓN Y MANTENIMIENTO DE LA CONCESIÓN AUTOPISTA AL MAR 1, DEPARTAMENTO DE ANTIOQUIA</t>
  </si>
  <si>
    <t>DESARROLLO DE OBRAS COMPLEMENTARIAS, GESTIÓN SOCIAL, AMBIENTAL Y PREDIAL DE LOS CONTRATOS DE CONCESIÓN VIAL.   NACIONAL-[PREVIO CONCEPTO DNP]</t>
  </si>
  <si>
    <t>CONTROL Y SEGUIMIENTO A LA OPERACIÓN DE LOS AEROPUERTOS CONCESIONADOS  NACIONAL</t>
  </si>
  <si>
    <t>CONTROL Y SEGUIMIENTO A LA OPERACIÓN DE LAS VÍAS FÉRREAS  NACIONAL</t>
  </si>
  <si>
    <t>APOYO ESTATAL A LOS PUERTOS A NIVEL NACIONAL   NACIONAL-[PREVIO CONCEPTO DNP]</t>
  </si>
  <si>
    <t>IMPLEMENTACIÓN DEL SISTEMA INTEGRADO DE GESTIÓN Y CONTROL DE LA AGENCIA NACIONAL DE INFRAESTRUCTURA  NACIONAL-[PREVIO CONCEPTO DNP]</t>
  </si>
  <si>
    <t>APOYO PARA LA GESTIÓN DE LA AGENCIA NACIONAL DE INFRAESTRUCTURA A TRAVÉS DE ASESORÍAS Y CONSULTORÍAS  NACIONAL-[PREVIO CONCEPTO DNP]</t>
  </si>
  <si>
    <t>SISTEMATIZACIÓN PARA EL SERVICIO DE INFORMACIÓN DE LA GESTIÓN ADMINISTRATIVA.  NACIONAL-[PREVIO CONCEPTO DNP]</t>
  </si>
  <si>
    <t>IMPLEMENTACION DEL SISTEMA DE GESTION DOCUMENTAL DE LA AGENCIA NACIONAL DE INFRAESTRUCTURA NACIONAL-[PREVIO CONCEPTO DNP]</t>
  </si>
  <si>
    <t>Apropiación Condicionada o Bloqueada</t>
  </si>
  <si>
    <t>Denominación del Rubro</t>
  </si>
  <si>
    <t>FUNCIONAMIENTO</t>
  </si>
  <si>
    <t>GASTOS DE PERSONAL</t>
  </si>
  <si>
    <t>Apropiación Vigente
(1)</t>
  </si>
  <si>
    <t>Certificados Acumulados
(2)</t>
  </si>
  <si>
    <t>Compromisos
Acumulados
(3)</t>
  </si>
  <si>
    <t>Obligaciones
Acumuladas
(4)</t>
  </si>
  <si>
    <t>Pagos
Acumulados
(5)</t>
  </si>
  <si>
    <t>ADQUISICIÓN DE BIENES  Y SERVICIOS</t>
  </si>
  <si>
    <t>TRANSFERENCIAS CORRIENTES</t>
  </si>
  <si>
    <t>GASTOS POR TRIBUTOS, MULTAS, SANCIONES E INTERESES DE MORA</t>
  </si>
  <si>
    <t>SERVICIO DE LA DEUDA PÚBLICA</t>
  </si>
  <si>
    <t>INVERSION</t>
  </si>
  <si>
    <t>C-INVERSIÓN</t>
  </si>
  <si>
    <t>Ejecución  Presupuestal Acumulada al 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</si>
</sst>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\ ???/???"/>
    <numFmt numFmtId="166" formatCode="_-* #,##0.0_-;\-* #,##0.0_-;_-* &quot;-&quot;_-;_-@_-"/>
    <numFmt numFmtId="167" formatCode="0.0%"/>
    <numFmt numFmtId="168" formatCode="_-* #,##0.00_-;\-* #,##0.0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i/>
      <sz val="28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3"/>
      <name val="Calibri"/>
      <family val="2"/>
      <scheme val="minor"/>
    </font>
    <font>
      <i/>
      <sz val="14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2"/>
        </stop>
        <stop position="1">
          <color theme="4" tint="0.80001220740379042"/>
        </stop>
      </gradientFill>
    </fill>
    <fill>
      <gradientFill degree="90">
        <stop position="0">
          <color theme="2" tint="-0.49803155613879818"/>
        </stop>
        <stop position="1">
          <color theme="4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pivotButton="1" applyAlignment="1">
      <alignment horizontal="center"/>
    </xf>
    <xf numFmtId="0" fontId="0" fillId="2" borderId="0" xfId="0" applyFill="1"/>
    <xf numFmtId="0" fontId="6" fillId="2" borderId="0" xfId="0" applyFont="1" applyFill="1" applyBorder="1"/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Fill="1"/>
    <xf numFmtId="0" fontId="6" fillId="0" borderId="0" xfId="0" applyFont="1" applyFill="1"/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1" fillId="0" borderId="0" xfId="0" applyFont="1" applyFill="1"/>
    <xf numFmtId="0" fontId="0" fillId="2" borderId="0" xfId="0" applyFont="1" applyFill="1"/>
    <xf numFmtId="0" fontId="6" fillId="2" borderId="0" xfId="0" applyFont="1" applyFill="1"/>
    <xf numFmtId="0" fontId="14" fillId="0" borderId="3" xfId="0" applyFont="1" applyBorder="1" applyAlignment="1">
      <alignment horizontal="justify" wrapText="1"/>
    </xf>
    <xf numFmtId="0" fontId="14" fillId="3" borderId="3" xfId="0" applyFont="1" applyFill="1" applyBorder="1" applyAlignment="1">
      <alignment horizontal="justify" wrapText="1"/>
    </xf>
    <xf numFmtId="0" fontId="13" fillId="0" borderId="2" xfId="15" applyFont="1" applyAlignment="1">
      <alignment horizontal="justify" wrapText="1"/>
    </xf>
    <xf numFmtId="168" fontId="0" fillId="0" borderId="0" xfId="0" applyNumberFormat="1"/>
    <xf numFmtId="168" fontId="0" fillId="0" borderId="0" xfId="0" applyNumberFormat="1" applyAlignment="1">
      <alignment wrapText="1"/>
    </xf>
    <xf numFmtId="0" fontId="0" fillId="0" borderId="0" xfId="0" applyFont="1" applyFill="1"/>
    <xf numFmtId="0" fontId="16" fillId="2" borderId="0" xfId="0" applyFont="1" applyFill="1"/>
    <xf numFmtId="0" fontId="0" fillId="0" borderId="0" xfId="0" applyFont="1" applyFill="1" applyBorder="1"/>
    <xf numFmtId="0" fontId="0" fillId="2" borderId="0" xfId="0" applyFont="1" applyFill="1" applyBorder="1"/>
    <xf numFmtId="0" fontId="0" fillId="0" borderId="0" xfId="0" applyFont="1"/>
    <xf numFmtId="0" fontId="14" fillId="0" borderId="3" xfId="0" applyFont="1" applyFill="1" applyBorder="1" applyAlignment="1">
      <alignment horizontal="justify" wrapText="1"/>
    </xf>
    <xf numFmtId="0" fontId="17" fillId="5" borderId="1" xfId="0" applyFont="1" applyFill="1" applyBorder="1" applyAlignment="1">
      <alignment horizontal="center" vertical="center"/>
    </xf>
    <xf numFmtId="41" fontId="17" fillId="5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/>
    </xf>
    <xf numFmtId="168" fontId="0" fillId="4" borderId="1" xfId="1" applyNumberFormat="1" applyFont="1" applyFill="1" applyBorder="1"/>
    <xf numFmtId="0" fontId="0" fillId="4" borderId="1" xfId="0" applyFill="1" applyBorder="1" applyAlignment="1">
      <alignment wrapText="1"/>
    </xf>
    <xf numFmtId="43" fontId="13" fillId="0" borderId="2" xfId="16" applyNumberFormat="1" applyFont="1" applyBorder="1"/>
    <xf numFmtId="43" fontId="15" fillId="0" borderId="4" xfId="16" applyNumberFormat="1" applyFont="1" applyBorder="1"/>
    <xf numFmtId="43" fontId="0" fillId="0" borderId="0" xfId="16" applyNumberFormat="1" applyFont="1"/>
    <xf numFmtId="0" fontId="16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6" fillId="0" borderId="0" xfId="0" applyFont="1" applyFill="1" applyBorder="1" applyAlignment="1">
      <alignment horizontal="left"/>
    </xf>
    <xf numFmtId="41" fontId="16" fillId="0" borderId="0" xfId="0" applyNumberFormat="1" applyFont="1" applyFill="1" applyBorder="1"/>
    <xf numFmtId="9" fontId="16" fillId="0" borderId="0" xfId="13" applyFont="1" applyFill="1" applyBorder="1"/>
    <xf numFmtId="41" fontId="16" fillId="0" borderId="0" xfId="1" applyFont="1" applyFill="1" applyBorder="1"/>
    <xf numFmtId="10" fontId="16" fillId="0" borderId="0" xfId="13" applyNumberFormat="1" applyFont="1" applyFill="1" applyBorder="1"/>
    <xf numFmtId="0" fontId="18" fillId="0" borderId="0" xfId="0" applyFont="1" applyFill="1" applyBorder="1" applyAlignment="1">
      <alignment horizontal="left"/>
    </xf>
    <xf numFmtId="41" fontId="18" fillId="0" borderId="0" xfId="0" applyNumberFormat="1" applyFont="1" applyFill="1" applyBorder="1"/>
    <xf numFmtId="9" fontId="18" fillId="0" borderId="0" xfId="13" applyFont="1" applyFill="1" applyBorder="1"/>
    <xf numFmtId="167" fontId="18" fillId="0" borderId="0" xfId="13" applyNumberFormat="1" applyFont="1" applyFill="1" applyBorder="1"/>
    <xf numFmtId="9" fontId="16" fillId="0" borderId="0" xfId="13" applyFont="1" applyFill="1"/>
    <xf numFmtId="10" fontId="16" fillId="0" borderId="0" xfId="13" applyNumberFormat="1" applyFont="1" applyFill="1"/>
    <xf numFmtId="167" fontId="16" fillId="0" borderId="0" xfId="13" applyNumberFormat="1" applyFont="1" applyFill="1"/>
    <xf numFmtId="43" fontId="0" fillId="0" borderId="0" xfId="16" applyFont="1"/>
    <xf numFmtId="0" fontId="19" fillId="2" borderId="5" xfId="0" applyFont="1" applyFill="1" applyBorder="1" applyAlignment="1">
      <alignment horizontal="center" vertical="center" wrapText="1"/>
    </xf>
    <xf numFmtId="164" fontId="19" fillId="2" borderId="5" xfId="3" applyFont="1" applyFill="1" applyBorder="1" applyAlignment="1">
      <alignment horizontal="center" vertical="center" wrapText="1"/>
    </xf>
    <xf numFmtId="4" fontId="19" fillId="2" borderId="5" xfId="3" applyNumberFormat="1" applyFont="1" applyFill="1" applyBorder="1" applyAlignment="1">
      <alignment horizontal="center" vertical="center" wrapText="1"/>
    </xf>
    <xf numFmtId="164" fontId="19" fillId="2" borderId="6" xfId="3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164" fontId="20" fillId="2" borderId="5" xfId="3" applyFont="1" applyFill="1" applyBorder="1" applyAlignment="1">
      <alignment horizontal="right" vertical="center"/>
    </xf>
    <xf numFmtId="4" fontId="20" fillId="2" borderId="5" xfId="3" applyNumberFormat="1" applyFont="1" applyFill="1" applyBorder="1" applyAlignment="1">
      <alignment horizontal="right" vertical="center"/>
    </xf>
    <xf numFmtId="4" fontId="20" fillId="2" borderId="6" xfId="3" applyNumberFormat="1" applyFont="1" applyFill="1" applyBorder="1" applyAlignment="1">
      <alignment horizontal="right" vertical="center"/>
    </xf>
    <xf numFmtId="0" fontId="19" fillId="2" borderId="7" xfId="0" applyFont="1" applyFill="1" applyBorder="1" applyAlignment="1">
      <alignment vertical="center" wrapText="1"/>
    </xf>
    <xf numFmtId="164" fontId="19" fillId="2" borderId="7" xfId="3" applyFont="1" applyFill="1" applyBorder="1" applyAlignment="1">
      <alignment horizontal="right" vertical="center"/>
    </xf>
    <xf numFmtId="4" fontId="19" fillId="2" borderId="7" xfId="3" applyNumberFormat="1" applyFont="1" applyFill="1" applyBorder="1" applyAlignment="1">
      <alignment horizontal="right" vertical="center"/>
    </xf>
    <xf numFmtId="4" fontId="19" fillId="2" borderId="8" xfId="3" applyNumberFormat="1" applyFont="1" applyFill="1" applyBorder="1" applyAlignment="1">
      <alignment horizontal="right" vertical="center"/>
    </xf>
    <xf numFmtId="164" fontId="0" fillId="0" borderId="0" xfId="0" applyNumberFormat="1"/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0" xfId="0" pivotButton="1" applyNumberForma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0" fillId="0" borderId="0" xfId="0" pivotButton="1" applyNumberFormat="1"/>
    <xf numFmtId="0" fontId="9" fillId="6" borderId="0" xfId="14" applyFont="1" applyFill="1" applyBorder="1"/>
    <xf numFmtId="0" fontId="9" fillId="0" borderId="0" xfId="14" applyFont="1" applyFill="1" applyBorder="1"/>
    <xf numFmtId="0" fontId="8" fillId="7" borderId="0" xfId="0" applyFont="1" applyFill="1" applyAlignment="1">
      <alignment horizontal="center"/>
    </xf>
    <xf numFmtId="0" fontId="23" fillId="0" borderId="0" xfId="0" applyFont="1"/>
    <xf numFmtId="4" fontId="0" fillId="0" borderId="0" xfId="0" applyNumberFormat="1"/>
    <xf numFmtId="168" fontId="16" fillId="0" borderId="0" xfId="0" applyNumberFormat="1" applyFont="1" applyFill="1" applyBorder="1"/>
    <xf numFmtId="168" fontId="16" fillId="0" borderId="0" xfId="1" applyNumberFormat="1" applyFont="1" applyFill="1" applyBorder="1"/>
    <xf numFmtId="0" fontId="24" fillId="0" borderId="0" xfId="0" applyFont="1"/>
    <xf numFmtId="0" fontId="24" fillId="0" borderId="0" xfId="0" applyFont="1" applyFill="1"/>
    <xf numFmtId="9" fontId="0" fillId="0" borderId="0" xfId="13" applyFont="1"/>
    <xf numFmtId="167" fontId="0" fillId="0" borderId="0" xfId="13" applyNumberFormat="1" applyFont="1"/>
    <xf numFmtId="10" fontId="0" fillId="0" borderId="0" xfId="13" applyNumberFormat="1" applyFont="1"/>
    <xf numFmtId="9" fontId="0" fillId="0" borderId="0" xfId="13" applyNumberFormat="1" applyFont="1"/>
    <xf numFmtId="167" fontId="16" fillId="0" borderId="0" xfId="13" applyNumberFormat="1" applyFont="1" applyFill="1" applyBorder="1"/>
    <xf numFmtId="43" fontId="13" fillId="0" borderId="2" xfId="16" applyNumberFormat="1" applyFont="1" applyBorder="1" applyAlignment="1">
      <alignment horizontal="center"/>
    </xf>
    <xf numFmtId="0" fontId="25" fillId="8" borderId="9" xfId="4" applyFont="1" applyFill="1" applyBorder="1" applyAlignment="1">
      <alignment horizontal="center" vertical="center" wrapText="1"/>
    </xf>
    <xf numFmtId="0" fontId="20" fillId="9" borderId="5" xfId="17" applyFont="1" applyFill="1" applyBorder="1" applyAlignment="1">
      <alignment vertical="center" wrapText="1"/>
    </xf>
    <xf numFmtId="0" fontId="19" fillId="2" borderId="10" xfId="17" applyFont="1" applyFill="1" applyBorder="1" applyAlignment="1">
      <alignment vertical="center" wrapText="1"/>
    </xf>
    <xf numFmtId="164" fontId="25" fillId="8" borderId="9" xfId="5" applyFont="1" applyFill="1" applyBorder="1" applyAlignment="1">
      <alignment horizontal="center" vertical="center" wrapText="1"/>
    </xf>
    <xf numFmtId="164" fontId="25" fillId="8" borderId="11" xfId="5" applyFont="1" applyFill="1" applyBorder="1" applyAlignment="1">
      <alignment horizontal="center" vertical="center" wrapText="1"/>
    </xf>
    <xf numFmtId="39" fontId="20" fillId="9" borderId="5" xfId="18" applyNumberFormat="1" applyFont="1" applyFill="1" applyBorder="1" applyAlignment="1">
      <alignment horizontal="right" vertical="center"/>
    </xf>
    <xf numFmtId="39" fontId="20" fillId="9" borderId="6" xfId="18" applyNumberFormat="1" applyFont="1" applyFill="1" applyBorder="1" applyAlignment="1">
      <alignment horizontal="right" vertical="center"/>
    </xf>
    <xf numFmtId="4" fontId="19" fillId="2" borderId="10" xfId="17" applyNumberFormat="1" applyFont="1" applyFill="1" applyBorder="1" applyAlignment="1">
      <alignment vertical="center" wrapText="1"/>
    </xf>
    <xf numFmtId="4" fontId="19" fillId="2" borderId="12" xfId="17" applyNumberFormat="1" applyFont="1" applyFill="1" applyBorder="1" applyAlignment="1">
      <alignment vertical="center" wrapText="1"/>
    </xf>
    <xf numFmtId="0" fontId="19" fillId="2" borderId="1" xfId="17" applyFont="1" applyFill="1" applyBorder="1" applyAlignment="1">
      <alignment vertical="center" wrapText="1"/>
    </xf>
    <xf numFmtId="4" fontId="26" fillId="2" borderId="1" xfId="17" applyNumberFormat="1" applyFont="1" applyFill="1" applyBorder="1" applyAlignment="1">
      <alignment horizontal="right" vertical="center" wrapText="1" readingOrder="1"/>
    </xf>
    <xf numFmtId="4" fontId="26" fillId="2" borderId="13" xfId="17" applyNumberFormat="1" applyFont="1" applyFill="1" applyBorder="1" applyAlignment="1">
      <alignment horizontal="right" vertical="center" wrapText="1" readingOrder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43" fontId="21" fillId="0" borderId="0" xfId="0" applyNumberFormat="1" applyFont="1" applyAlignment="1">
      <alignment horizontal="center"/>
    </xf>
  </cellXfs>
  <cellStyles count="19">
    <cellStyle name="Hipervínculo" xfId="14" builtinId="8"/>
    <cellStyle name="Millares" xfId="16" builtinId="3"/>
    <cellStyle name="Millares [0]" xfId="1" builtinId="6"/>
    <cellStyle name="Millares 13" xfId="3" xr:uid="{00000000-0005-0000-0000-000003000000}"/>
    <cellStyle name="Millares 14" xfId="5" xr:uid="{00000000-0005-0000-0000-000004000000}"/>
    <cellStyle name="Millares 18" xfId="8" xr:uid="{00000000-0005-0000-0000-000005000000}"/>
    <cellStyle name="Millares 2" xfId="18" xr:uid="{7DE94401-080B-4C48-B3F5-F8DA1A1EBF28}"/>
    <cellStyle name="Normal" xfId="0" builtinId="0"/>
    <cellStyle name="Normal 13" xfId="2" xr:uid="{00000000-0005-0000-0000-000007000000}"/>
    <cellStyle name="Normal 14" xfId="4" xr:uid="{00000000-0005-0000-0000-000008000000}"/>
    <cellStyle name="Normal 14 5" xfId="6" xr:uid="{00000000-0005-0000-0000-000009000000}"/>
    <cellStyle name="Normal 14 6" xfId="9" xr:uid="{00000000-0005-0000-0000-00000A000000}"/>
    <cellStyle name="Normal 14 8" xfId="11" xr:uid="{00000000-0005-0000-0000-00000B000000}"/>
    <cellStyle name="Normal 18" xfId="7" xr:uid="{00000000-0005-0000-0000-00000C000000}"/>
    <cellStyle name="Normal 19" xfId="10" xr:uid="{00000000-0005-0000-0000-00000D000000}"/>
    <cellStyle name="Normal 2 2 2" xfId="17" xr:uid="{0F941B16-58A2-48EF-B8CF-03E560C8FE57}"/>
    <cellStyle name="Normal 21" xfId="12" xr:uid="{00000000-0005-0000-0000-00000E000000}"/>
    <cellStyle name="Porcentaje" xfId="13" builtinId="5"/>
    <cellStyle name="Título 2" xfId="15" builtinId="17"/>
  </cellStyles>
  <dxfs count="155"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6" formatCode="_-* #,##0.0_-;\-* #,##0.0_-;_-* &quot;-&quot;_-;_-@_-"/>
    </dxf>
    <dxf>
      <alignment wrapText="1"/>
    </dxf>
    <dxf>
      <alignment horizontal="center"/>
    </dxf>
    <dxf>
      <numFmt numFmtId="168" formatCode="_-* #,##0.00_-;\-* #,##0.00_-;_-* &quot;-&quot;_-;_-@_-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8" formatCode="_-* #,##0.00_-;\-* #,##0.00_-;_-* &quot;-&quot;_-;_-@_-"/>
    </dxf>
    <dxf>
      <alignment horizontal="center"/>
    </dxf>
    <dxf>
      <alignment wrapText="1"/>
    </dxf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8" formatCode="_-* #,##0.00_-;\-* #,##0.00_-;_-* &quot;-&quot;_-;_-@_-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8" formatCode="_-* #,##0.00_-;\-* #,##0.00_-;_-* &quot;-&quot;_-;_-@_-"/>
    </dxf>
    <dxf>
      <numFmt numFmtId="33" formatCode="_-* #,##0_-;\-* #,##0_-;_-* &quot;-&quot;_-;_-@_-"/>
    </dxf>
    <dxf>
      <numFmt numFmtId="0" formatCode="General"/>
    </dxf>
    <dxf>
      <numFmt numFmtId="13" formatCode="0%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68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Gastos Vigencia y Reserva Dic 2021.xlsx]Participación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'!$C$6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EE9A-4E3A-B9E5-B9C7CEB0B5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EE9A-4E3A-B9E5-B9C7CEB0B5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EE9A-4E3A-B9E5-B9C7CEB0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'!$C$7:$C$10</c:f>
              <c:numCache>
                <c:formatCode>_-* #,##0.00_-;\-* #,##0.00_-;_-* "-"_-;_-@_-</c:formatCode>
                <c:ptCount val="3"/>
                <c:pt idx="0">
                  <c:v>101565.565</c:v>
                </c:pt>
                <c:pt idx="1">
                  <c:v>969198.47086200002</c:v>
                </c:pt>
                <c:pt idx="2">
                  <c:v>4237527.2563049998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56611096929582"/>
          <c:y val="0.52356829040232611"/>
          <c:w val="0.23899804295036686"/>
          <c:h val="0.27931694958984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Gastos Vigencia y Reserva Dic 2021.xlsx]APR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2379291530903104E-2"/>
              <c:y val="-1.8018021669863417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89,80%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1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5848501337785492E-2"/>
              <c:y val="-2.0592024765558069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97,50%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1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2379291530903104E-2"/>
              <c:y val="-1.8018021669863417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5440871917138237E-2"/>
              <c:y val="-1.544401857416848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4284468648177328E-2"/>
              <c:y val="-1.544401857416848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96,30%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7753678455059803E-2"/>
              <c:y val="-7.7220092870844293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96,30%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8161307875707186E-2"/>
              <c:y val="-1.544401857416848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99,74%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01337785575E-2"/>
              <c:y val="-2.0592024765557975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2.544087191713815E-2"/>
              <c:y val="-1.2870015478473733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97,56%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</c:pivotFmts>
    <c:view3D>
      <c:rotX val="15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867149842911267"/>
          <c:y val="9.5356883502443979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PAGO'!$C$6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PAGO'!$C$7:$C$10</c:f>
              <c:numCache>
                <c:formatCode>_-* #,##0.00_-;\-* #,##0.00_-;_-* "-"_-;_-@_-</c:formatCode>
                <c:ptCount val="3"/>
                <c:pt idx="0">
                  <c:v>101565.565</c:v>
                </c:pt>
                <c:pt idx="1">
                  <c:v>969198.47086200002</c:v>
                </c:pt>
                <c:pt idx="2">
                  <c:v>4237527.2563049998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7D8-471D-A1AF-F4C8AE927CCE}"/>
            </c:ext>
          </c:extLst>
        </c:ser>
        <c:ser>
          <c:idx val="1"/>
          <c:order val="1"/>
          <c:tx>
            <c:strRef>
              <c:f>'APR VS RP  Y OBLIGACIÓN Y PAGO'!$D$6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AB4-44D9-83B1-862E0EB26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AB4-44D9-83B1-862E0EB26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AB4-44D9-83B1-862E0EB2615B}"/>
              </c:ext>
            </c:extLst>
          </c:dPt>
          <c:dLbls>
            <c:dLbl>
              <c:idx val="0"/>
              <c:layout>
                <c:manualLayout>
                  <c:x val="3.8161307875707186E-2"/>
                  <c:y val="-1.5444018574168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99,74%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AB4-44D9-83B1-862E0EB2615B}"/>
                </c:ext>
              </c:extLst>
            </c:dLbl>
            <c:dLbl>
              <c:idx val="1"/>
              <c:layout>
                <c:manualLayout>
                  <c:x val="3.5848501337785575E-2"/>
                  <c:y val="-2.05920247655579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AB4-44D9-83B1-862E0EB2615B}"/>
                </c:ext>
              </c:extLst>
            </c:dLbl>
            <c:dLbl>
              <c:idx val="2"/>
              <c:layout>
                <c:manualLayout>
                  <c:x val="2.544087191713815E-2"/>
                  <c:y val="-1.28700154784737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97,56%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PAGO'!$D$7:$D$10</c:f>
              <c:numCache>
                <c:formatCode>_-* #,##0.00_-;\-* #,##0.00_-;_-* "-"_-;_-@_-</c:formatCode>
                <c:ptCount val="3"/>
                <c:pt idx="0">
                  <c:v>101301.5805025</c:v>
                </c:pt>
                <c:pt idx="1">
                  <c:v>969198.47086200002</c:v>
                </c:pt>
                <c:pt idx="2">
                  <c:v>4134043.00673735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D8-471D-A1AF-F4C8AE927CCE}"/>
            </c:ext>
          </c:extLst>
        </c:ser>
        <c:ser>
          <c:idx val="2"/>
          <c:order val="2"/>
          <c:tx>
            <c:strRef>
              <c:f>'APR VS RP  Y OBLIGACIÓN Y PAGO'!$E$6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1AB4-44D9-83B1-862E0EB26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1AB4-44D9-83B1-862E0EB26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8-1AB4-44D9-83B1-862E0EB2615B}"/>
              </c:ext>
            </c:extLst>
          </c:dPt>
          <c:dLbls>
            <c:dLbl>
              <c:idx val="0"/>
              <c:layout>
                <c:manualLayout>
                  <c:x val="3.5848501337785492E-2"/>
                  <c:y val="-2.05920247655580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97,50%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AB4-44D9-83B1-862E0EB2615B}"/>
                </c:ext>
              </c:extLst>
            </c:dLbl>
            <c:dLbl>
              <c:idx val="1"/>
              <c:layout>
                <c:manualLayout>
                  <c:x val="3.2379291530903104E-2"/>
                  <c:y val="-1.80180216698634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AB4-44D9-83B1-862E0EB2615B}"/>
                </c:ext>
              </c:extLst>
            </c:dLbl>
            <c:dLbl>
              <c:idx val="2"/>
              <c:layout>
                <c:manualLayout>
                  <c:x val="2.4284468648177328E-2"/>
                  <c:y val="-1.5444018574168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96,30%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PAGO'!$E$7:$E$10</c:f>
              <c:numCache>
                <c:formatCode>_-* #,##0.00_-;\-* #,##0.00_-;_-* "-"_-;_-@_-</c:formatCode>
                <c:ptCount val="3"/>
                <c:pt idx="0">
                  <c:v>99051.93186930001</c:v>
                </c:pt>
                <c:pt idx="1">
                  <c:v>969198.47086200002</c:v>
                </c:pt>
                <c:pt idx="2">
                  <c:v>4080845.7407227601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7D8-471D-A1AF-F4C8AE927CCE}"/>
            </c:ext>
          </c:extLst>
        </c:ser>
        <c:ser>
          <c:idx val="3"/>
          <c:order val="3"/>
          <c:tx>
            <c:strRef>
              <c:f>'APR VS RP  Y OBLIGACIÓN Y PAGO'!$F$6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1AB4-44D9-83B1-862E0EB26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AB4-44D9-83B1-862E0EB26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1AB4-44D9-83B1-862E0EB2615B}"/>
              </c:ext>
            </c:extLst>
          </c:dPt>
          <c:dLbls>
            <c:dLbl>
              <c:idx val="0"/>
              <c:layout>
                <c:manualLayout>
                  <c:x val="3.2379291530903104E-2"/>
                  <c:y val="-1.8018021669863417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89,80%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AB4-44D9-83B1-862E0EB2615B}"/>
                </c:ext>
              </c:extLst>
            </c:dLbl>
            <c:dLbl>
              <c:idx val="1"/>
              <c:layout>
                <c:manualLayout>
                  <c:x val="2.5440871917138237E-2"/>
                  <c:y val="-1.5444018574168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AB4-44D9-83B1-862E0EB2615B}"/>
                </c:ext>
              </c:extLst>
            </c:dLbl>
            <c:dLbl>
              <c:idx val="2"/>
              <c:layout>
                <c:manualLayout>
                  <c:x val="2.7753678455059803E-2"/>
                  <c:y val="-7.72200928708442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96,30%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PAGO'!$F$7:$F$10</c:f>
              <c:numCache>
                <c:formatCode>_-* #,##0.00_-;\-* #,##0.00_-;_-* "-"_-;_-@_-</c:formatCode>
                <c:ptCount val="3"/>
                <c:pt idx="0">
                  <c:v>91158.14695889999</c:v>
                </c:pt>
                <c:pt idx="1">
                  <c:v>969198.47086200002</c:v>
                </c:pt>
                <c:pt idx="2">
                  <c:v>4080663.3120487598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D8-471D-A1AF-F4C8AE927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7664"/>
        <c:axId val="-1289799840"/>
        <c:axId val="0"/>
      </c:bar3DChart>
      <c:catAx>
        <c:axId val="-12897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840"/>
        <c:crosses val="autoZero"/>
        <c:auto val="1"/>
        <c:lblAlgn val="ctr"/>
        <c:lblOffset val="100"/>
        <c:noMultiLvlLbl val="0"/>
      </c:catAx>
      <c:valAx>
        <c:axId val="-128979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Gastos Vigencia y Reserva Dic 2021.xlsx]APR,RP´S,OBL Y PAGO FUNCIONAMIE!TablaDinámica1</c:name>
    <c:fmtId val="3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3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16200000" scaled="1"/>
                <a:tileRect/>
              </a:gradFill>
            </a:ln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114300">
                <a:prstClr val="black"/>
              </a:inn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6531510743454421E-2"/>
              <c:y val="0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98,6%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7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3743964176165087E-2"/>
              <c:y val="-2.6119880174080862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8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130208723267125E-2"/>
              <c:y val="-2.2371356771704004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99,2%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6684045881126174E-2"/>
              <c:y val="-8.9485427086816016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99,4%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0883836154637805E-2"/>
              <c:y val="-2.0134221094533604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1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3722088193653713E-2"/>
              <c:y val="-6.7114070315112007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3598423093985197E-2"/>
              <c:y val="-2.050684014396141E-17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2199555936472323E-2"/>
              <c:y val="-8.2027360575845639E-17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97,0%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502606882168926E-2"/>
              <c:y val="-1.1185678385852165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86,3%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5026068821689156E-2"/>
              <c:y val="-1.3422814063022401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39,8%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6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9484968997124768E-2"/>
              <c:y val="-2.0134221094533604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5190302564371785E-2"/>
              <c:y val="-2.0134221094533604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</c:pivotFmts>
    <c:view3D>
      <c:rotX val="15"/>
      <c:rotY val="7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4.9964579000555287E-2"/>
          <c:y val="9.5607892083772919E-2"/>
          <c:w val="0.83288813931110117"/>
          <c:h val="0.84353668832736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FUNCIONAMIE'!$C$6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EB-4428-B811-96DB1E4F8A07}"/>
              </c:ext>
            </c:extLst>
          </c:dPt>
          <c:dLbls>
            <c:spPr>
              <a:noFill/>
              <a:ln>
                <a:gradFill flip="none"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16200000" scaled="1"/>
                  <a:tileRect/>
                </a:gradFill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  <a:innerShdw blurRad="114300">
                  <a:prstClr val="black"/>
                </a:inn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FUNCIONAMIE'!$C$7:$C$11</c:f>
              <c:numCache>
                <c:formatCode>_-* #,##0.00_-;\-* #,##0.00_-;_-* "-"_-;_-@_-</c:formatCode>
                <c:ptCount val="4"/>
                <c:pt idx="0">
                  <c:v>49280.950576000003</c:v>
                </c:pt>
                <c:pt idx="1">
                  <c:v>19113.893348000001</c:v>
                </c:pt>
                <c:pt idx="2">
                  <c:v>16327.45217855</c:v>
                </c:pt>
                <c:pt idx="3">
                  <c:v>16843.268897450002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3EB-4428-B811-96DB1E4F8A07}"/>
            </c:ext>
          </c:extLst>
        </c:ser>
        <c:ser>
          <c:idx val="1"/>
          <c:order val="1"/>
          <c:tx>
            <c:strRef>
              <c:f>'APR,RP´S,OBL Y PAGO FUNCIONAMIE'!$D$6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F347-4728-8AEE-66B8A8E5BC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F347-4728-8AEE-66B8A8E5BC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A80-4D97-BBD6-398D7F862C5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B-14CD-4AC3-BA85-AC09D1D29DD3}"/>
              </c:ext>
            </c:extLst>
          </c:dPt>
          <c:dLbls>
            <c:dLbl>
              <c:idx val="0"/>
              <c:layout>
                <c:manualLayout>
                  <c:x val="1.3743964176165087E-2"/>
                  <c:y val="-2.6119880174080862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347-4728-8AEE-66B8A8E5BCB6}"/>
                </c:ext>
              </c:extLst>
            </c:dLbl>
            <c:dLbl>
              <c:idx val="1"/>
              <c:layout>
                <c:manualLayout>
                  <c:x val="2.2130208723267125E-2"/>
                  <c:y val="-2.2371356771704004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99,2%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347-4728-8AEE-66B8A8E5BCB6}"/>
                </c:ext>
              </c:extLst>
            </c:dLbl>
            <c:dLbl>
              <c:idx val="2"/>
              <c:layout>
                <c:manualLayout>
                  <c:x val="1.6684045881126174E-2"/>
                  <c:y val="-8.9485427086816016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99,4%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A80-4D97-BBD6-398D7F862C58}"/>
                </c:ext>
              </c:extLst>
            </c:dLbl>
            <c:dLbl>
              <c:idx val="3"/>
              <c:layout>
                <c:manualLayout>
                  <c:x val="2.0883836154637805E-2"/>
                  <c:y val="-2.013422109453360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4CD-4AC3-BA85-AC09D1D29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FUNCIONAMIE'!$D$7:$D$11</c:f>
              <c:numCache>
                <c:formatCode>_-* #,##0.00_-;\-* #,##0.00_-;_-* "-"_-;_-@_-</c:formatCode>
                <c:ptCount val="4"/>
                <c:pt idx="0">
                  <c:v>49280.866771729998</c:v>
                </c:pt>
                <c:pt idx="1">
                  <c:v>18954.646497439997</c:v>
                </c:pt>
                <c:pt idx="2">
                  <c:v>16222.798335880001</c:v>
                </c:pt>
                <c:pt idx="3">
                  <c:v>16843.268897450002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3EB-4428-B811-96DB1E4F8A07}"/>
            </c:ext>
          </c:extLst>
        </c:ser>
        <c:ser>
          <c:idx val="2"/>
          <c:order val="2"/>
          <c:tx>
            <c:strRef>
              <c:f>'APR,RP´S,OBL Y PAGO FUNCIONAMIE'!$E$6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B3EB-4428-B811-96DB1E4F8A0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B3EB-4428-B811-96DB1E4F8A0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B3EB-4428-B811-96DB1E4F8A07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C-14CD-4AC3-BA85-AC09D1D29DD3}"/>
              </c:ext>
            </c:extLst>
          </c:dPt>
          <c:dLbls>
            <c:dLbl>
              <c:idx val="0"/>
              <c:layout>
                <c:manualLayout>
                  <c:x val="2.3722088193653713E-2"/>
                  <c:y val="-6.71140703151120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3EB-4428-B811-96DB1E4F8A07}"/>
                </c:ext>
              </c:extLst>
            </c:dLbl>
            <c:dLbl>
              <c:idx val="1"/>
              <c:layout>
                <c:manualLayout>
                  <c:x val="2.653151074345442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3EB-4428-B811-96DB1E4F8A07}"/>
                </c:ext>
              </c:extLst>
            </c:dLbl>
            <c:dLbl>
              <c:idx val="2"/>
              <c:layout>
                <c:manualLayout>
                  <c:x val="2.502606882168926E-2"/>
                  <c:y val="-1.11856783858521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3EB-4428-B811-96DB1E4F8A07}"/>
                </c:ext>
              </c:extLst>
            </c:dLbl>
            <c:dLbl>
              <c:idx val="3"/>
              <c:layout>
                <c:manualLayout>
                  <c:x val="2.9484968997124768E-2"/>
                  <c:y val="-2.01342210945336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14CD-4AC3-BA85-AC09D1D29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FUNCIONAMIE'!$E$7:$E$11</c:f>
              <c:numCache>
                <c:formatCode>_-* #,##0.00_-;\-* #,##0.00_-;_-* "-"_-;_-@_-</c:formatCode>
                <c:ptCount val="4"/>
                <c:pt idx="0">
                  <c:v>49280.866771729998</c:v>
                </c:pt>
                <c:pt idx="1">
                  <c:v>18839.481505539999</c:v>
                </c:pt>
                <c:pt idx="2">
                  <c:v>14088.314694580002</c:v>
                </c:pt>
                <c:pt idx="3">
                  <c:v>16843.268897450002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B3EB-4428-B811-96DB1E4F8A07}"/>
            </c:ext>
          </c:extLst>
        </c:ser>
        <c:ser>
          <c:idx val="3"/>
          <c:order val="3"/>
          <c:tx>
            <c:strRef>
              <c:f>'APR,RP´S,OBL Y PAGO FUNCIONAMIE'!$F$6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1A80-4D97-BBD6-398D7F862C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F-1A80-4D97-BBD6-398D7F862C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1-1A80-4D97-BBD6-398D7F862C5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14CD-4AC3-BA85-AC09D1D29DD3}"/>
              </c:ext>
            </c:extLst>
          </c:dPt>
          <c:dLbls>
            <c:dLbl>
              <c:idx val="0"/>
              <c:layout>
                <c:manualLayout>
                  <c:x val="3.3598423093985197E-2"/>
                  <c:y val="-2.050684014396141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A80-4D97-BBD6-398D7F862C58}"/>
                </c:ext>
              </c:extLst>
            </c:dLbl>
            <c:dLbl>
              <c:idx val="1"/>
              <c:layout>
                <c:manualLayout>
                  <c:x val="4.2199555936472323E-2"/>
                  <c:y val="-8.2027360575845639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97,0%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1A80-4D97-BBD6-398D7F862C58}"/>
                </c:ext>
              </c:extLst>
            </c:dLbl>
            <c:dLbl>
              <c:idx val="2"/>
              <c:layout>
                <c:manualLayout>
                  <c:x val="2.5026068821689156E-2"/>
                  <c:y val="-1.34228140630224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1A80-4D97-BBD6-398D7F862C58}"/>
                </c:ext>
              </c:extLst>
            </c:dLbl>
            <c:dLbl>
              <c:idx val="3"/>
              <c:layout>
                <c:manualLayout>
                  <c:x val="3.5190302564371785E-2"/>
                  <c:y val="-2.01342210945336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4CD-4AC3-BA85-AC09D1D29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FUNCIONAMIE'!$F$7:$F$11</c:f>
              <c:numCache>
                <c:formatCode>_-* #,##0.00_-;\-* #,##0.00_-;_-* "-"_-;_-@_-</c:formatCode>
                <c:ptCount val="4"/>
                <c:pt idx="0">
                  <c:v>49280.866771729998</c:v>
                </c:pt>
                <c:pt idx="1">
                  <c:v>18540.442011769999</c:v>
                </c:pt>
                <c:pt idx="2">
                  <c:v>6493.5692779499996</c:v>
                </c:pt>
                <c:pt idx="3">
                  <c:v>16843.268897450002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E-0ABE-4720-BC32-77A53D180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88960"/>
        <c:axId val="-1289797120"/>
        <c:axId val="0"/>
      </c:bar3DChart>
      <c:catAx>
        <c:axId val="-12897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7120"/>
        <c:crosses val="autoZero"/>
        <c:auto val="1"/>
        <c:lblAlgn val="ctr"/>
        <c:lblOffset val="100"/>
        <c:noMultiLvlLbl val="0"/>
      </c:catAx>
      <c:valAx>
        <c:axId val="-128979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8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048308663004915"/>
          <c:y val="0.33746081929897681"/>
          <c:w val="0.11093573372126572"/>
          <c:h val="0.220426035186092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Gastos Vigencia y Reserva Dic 2021.xlsx]INVERSIÓN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0.12284798067950614"/>
              <c:y val="-2.417969062318555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1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16963085065E-2"/>
          <c:y val="0.1788783155498416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OBLI'!$B$8</c:f>
              <c:strCache>
                <c:ptCount val="1"/>
                <c:pt idx="0">
                  <c:v>1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dLbl>
              <c:idx val="0"/>
              <c:layout>
                <c:manualLayout>
                  <c:x val="2.61090112809414E-2"/>
                  <c:y val="-6.3085501409098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B-46AF-A114-3DA193FF4519}"/>
                </c:ext>
              </c:extLst>
            </c:dLbl>
            <c:numFmt formatCode="_(* #,##0_);_(* \(#,##0\);_(* &quot;-&quot;_);_(@_)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OBLI'!$B$9</c:f>
              <c:numCache>
                <c:formatCode>_-* #,##0.00_-;\-* #,##0.00_-;_-* "-"_-;_-@_-</c:formatCode>
                <c:ptCount val="1"/>
                <c:pt idx="0">
                  <c:v>4237527256305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OBLI'!$C$8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OBLI'!$C$9</c:f>
              <c:numCache>
                <c:formatCode>_-* #,##0.00_-;\-* #,##0.00_-;_-* "-"_-;_-@_-</c:formatCode>
                <c:ptCount val="1"/>
                <c:pt idx="0">
                  <c:v>4134043006737.3501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OBLI'!$D$8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OBLI'!$D$9</c:f>
              <c:numCache>
                <c:formatCode>_-* #,##0.00_-;\-* #,##0.00_-;_-* "-"_-;_-@_-</c:formatCode>
                <c:ptCount val="1"/>
                <c:pt idx="0">
                  <c:v>4080845740722.7598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OBLI'!$E$8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89E9-4F6A-85E3-8CAAE55440D0}"/>
              </c:ext>
            </c:extLst>
          </c:dPt>
          <c:dLbls>
            <c:dLbl>
              <c:idx val="0"/>
              <c:layout>
                <c:manualLayout>
                  <c:x val="0.12284798067950614"/>
                  <c:y val="-2.417969062318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E9-4F6A-85E3-8CAAE55440D0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OBLI'!$E$9</c:f>
              <c:numCache>
                <c:formatCode>_-* #,##0.00_-;\-* #,##0.00_-;_-* "-"_-;_-@_-</c:formatCode>
                <c:ptCount val="1"/>
                <c:pt idx="0">
                  <c:v>4080663312048.7598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0-42F5-8B34-352E305921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2224"/>
        <c:axId val="-1289799296"/>
        <c:axId val="0"/>
      </c:bar3DChart>
      <c:catAx>
        <c:axId val="-12897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296"/>
        <c:crosses val="autoZero"/>
        <c:auto val="1"/>
        <c:lblAlgn val="ctr"/>
        <c:lblOffset val="100"/>
        <c:noMultiLvlLbl val="0"/>
      </c:catAx>
      <c:valAx>
        <c:axId val="-12897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 prstMaterial="matte"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Gastos Vigencia y Reserva Dic 2021.xlsx]Participación por Concepto!TablaDinámica4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/>
                </a:solidFill>
              </a:rPr>
              <a:t>Reservas</a:t>
            </a:r>
            <a:r>
              <a:rPr lang="en-US" baseline="0">
                <a:solidFill>
                  <a:schemeClr val="accent1"/>
                </a:solidFill>
              </a:rPr>
              <a:t> Presupuestales Vigentes al Cierre de diciembre de 2021</a:t>
            </a:r>
            <a:endParaRPr lang="en-US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4480370873578988"/>
          <c:y val="0.30748130390451983"/>
          <c:w val="0.3812921082711147"/>
          <c:h val="0.61279082629202786"/>
        </c:manualLayout>
      </c:layout>
      <c:pieChart>
        <c:varyColors val="1"/>
        <c:ser>
          <c:idx val="0"/>
          <c:order val="0"/>
          <c:tx>
            <c:strRef>
              <c:f>'Participación por Concepto'!$C$8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BAE0-4DF7-A809-603F7EE01DF5}"/>
              </c:ext>
            </c:extLst>
          </c:dPt>
          <c:dPt>
            <c:idx val="1"/>
            <c:bubble3D val="0"/>
            <c:explosion val="6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2-BAE0-4DF7-A809-603F7EE01DF5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0-4DF7-A809-603F7EE01DF5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E0-4DF7-A809-603F7EE01D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por Concepto'!$B$9:$B$11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'Participación por Concepto'!$C$9:$C$11</c:f>
              <c:numCache>
                <c:formatCode>_(* #,##0.00_);_(* \(#,##0.00\);_(* "-"??_);_(@_)</c:formatCode>
                <c:ptCount val="2"/>
                <c:pt idx="0">
                  <c:v>35.431800000000003</c:v>
                </c:pt>
                <c:pt idx="1">
                  <c:v>12462.71845459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0-4DF7-A809-603F7EE01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Gastos Vigencia y Reserva Dic 2021.xlsx]EJECUCIÓN  RESERVA!TablaDinámica2</c:name>
    <c:fmtId val="1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 w="9525" cap="flat" cmpd="sng" algn="ctr">
            <a:solidFill>
              <a:schemeClr val="accent3"/>
            </a:solidFill>
            <a:miter lim="800000"/>
          </a:ln>
          <a:effectLst>
            <a:glow rad="63500">
              <a:schemeClr val="accent3">
                <a:satMod val="175000"/>
                <a:alpha val="25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97%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6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 w="9525" cap="flat" cmpd="sng" algn="ctr">
            <a:solidFill>
              <a:schemeClr val="accent2"/>
            </a:solidFill>
            <a:miter lim="800000"/>
          </a:ln>
          <a:effectLst>
            <a:glow rad="63500">
              <a:schemeClr val="accent2">
                <a:satMod val="175000"/>
                <a:alpha val="25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8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noFill/>
          <a:ln w="9525" cap="flat" cmpd="sng" algn="ctr">
            <a:solidFill>
              <a:schemeClr val="accent2"/>
            </a:solidFill>
            <a:miter lim="800000"/>
          </a:ln>
          <a:effectLst>
            <a:glow rad="63500">
              <a:schemeClr val="accent2">
                <a:satMod val="175000"/>
                <a:alpha val="25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11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noFill/>
          <a:ln w="9525" cap="flat" cmpd="sng" algn="ctr">
            <a:solidFill>
              <a:schemeClr val="accent3"/>
            </a:solidFill>
            <a:miter lim="800000"/>
          </a:ln>
          <a:effectLst>
            <a:glow rad="63500">
              <a:schemeClr val="accent3">
                <a:satMod val="175000"/>
                <a:alpha val="25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97%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13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noFill/>
          <a:ln w="9525" cap="flat" cmpd="sng" algn="ctr">
            <a:solidFill>
              <a:schemeClr val="accent2"/>
            </a:solidFill>
            <a:miter lim="800000"/>
          </a:ln>
          <a:effectLst>
            <a:glow rad="63500">
              <a:schemeClr val="accent2">
                <a:satMod val="175000"/>
                <a:alpha val="25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16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noFill/>
          <a:ln w="9525" cap="flat" cmpd="sng" algn="ctr">
            <a:solidFill>
              <a:schemeClr val="accent3"/>
            </a:solidFill>
            <a:miter lim="800000"/>
          </a:ln>
          <a:effectLst>
            <a:glow rad="63500">
              <a:schemeClr val="accent3">
                <a:satMod val="175000"/>
                <a:alpha val="25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97%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18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noFill/>
          <a:ln w="9525" cap="flat" cmpd="sng" algn="ctr">
            <a:solidFill>
              <a:schemeClr val="accent2"/>
            </a:solidFill>
            <a:miter lim="800000"/>
          </a:ln>
          <a:effectLst>
            <a:glow rad="63500">
              <a:schemeClr val="accent2">
                <a:satMod val="175000"/>
                <a:alpha val="25000"/>
              </a:schemeClr>
            </a:glow>
          </a:effectLst>
        </c:spPr>
        <c:dLbl>
          <c:idx val="0"/>
          <c:layout>
            <c:manualLayout>
              <c:x val="7.7074658641191974E-3"/>
              <c:y val="9.7456500444501395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0,0%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1"/>
        <c:spPr>
          <a:noFill/>
          <a:ln w="9525" cap="flat" cmpd="sng" algn="ctr">
            <a:solidFill>
              <a:srgbClr val="FF0000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noFill/>
          <a:ln w="9525" cap="flat" cmpd="sng" algn="ctr">
            <a:solidFill>
              <a:srgbClr val="FF0000"/>
            </a:solidFill>
            <a:miter lim="800000"/>
          </a:ln>
          <a:effectLst>
            <a:glow rad="63500">
              <a:schemeClr val="accent3">
                <a:satMod val="175000"/>
                <a:alpha val="25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3"/>
        <c:spPr>
          <a:noFill/>
          <a:ln w="9525" cap="flat" cmpd="sng" algn="ctr">
            <a:solidFill>
              <a:schemeClr val="accent2"/>
            </a:solidFill>
            <a:miter lim="800000"/>
          </a:ln>
          <a:effectLst>
            <a:glow rad="63500">
              <a:schemeClr val="accent2">
                <a:satMod val="175000"/>
                <a:alpha val="25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0.0%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4"/>
        <c:spPr>
          <a:noFill/>
          <a:ln w="9525" cap="flat" cmpd="sng" algn="ctr">
            <a:solidFill>
              <a:schemeClr val="accent2"/>
            </a:solidFill>
            <a:miter lim="800000"/>
          </a:ln>
          <a:effectLst>
            <a:glow rad="63500">
              <a:schemeClr val="accent2">
                <a:satMod val="175000"/>
                <a:alpha val="25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0,9%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140246957151619"/>
          <c:y val="7.7965200355601116E-2"/>
          <c:w val="0.63228393454601506"/>
          <c:h val="0.83335782535411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'EJECUCIÓN  RESERVA'!$C$6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RESERVA'!$B$7:$B$9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RESERVA'!$C$7:$C$9</c:f>
              <c:numCache>
                <c:formatCode>_(* #,##0.00_);_(* \(#,##0.00\);_(* "-"??_);_(@_)</c:formatCode>
                <c:ptCount val="2"/>
                <c:pt idx="0">
                  <c:v>35.431800000000003</c:v>
                </c:pt>
                <c:pt idx="1">
                  <c:v>12575.33097447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53-4B5B-9C51-CC15FF2F9757}"/>
            </c:ext>
          </c:extLst>
        </c:ser>
        <c:ser>
          <c:idx val="1"/>
          <c:order val="1"/>
          <c:tx>
            <c:strRef>
              <c:f>'EJECUCIÓN  RESERVA'!$D$6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Pt>
            <c:idx val="0"/>
            <c:invertIfNegative val="0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A07A-499A-9F83-DADEA84F28D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753-4B5B-9C51-CC15FF2F975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07A-499A-9F83-DADEA84F28D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753-4B5B-9C51-CC15FF2F97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RESERVA'!$B$7:$B$9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RESERVA'!$D$7:$D$9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112.61251987999999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53-4B5B-9C51-CC15FF2F9757}"/>
            </c:ext>
          </c:extLst>
        </c:ser>
        <c:ser>
          <c:idx val="2"/>
          <c:order val="2"/>
          <c:tx>
            <c:strRef>
              <c:f>'EJECUCIÓN  RESERVA'!$E$6</c:f>
              <c:strCache>
                <c:ptCount val="1"/>
                <c:pt idx="0">
                  <c:v>PAGOS
ACUMULADOS
</c:v>
                </c:pt>
              </c:strCache>
            </c:strRef>
          </c:tx>
          <c:spPr>
            <a:noFill/>
            <a:ln w="9525" cap="flat" cmpd="sng" algn="ctr">
              <a:solidFill>
                <a:srgbClr val="FF0000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dPt>
            <c:idx val="0"/>
            <c:invertIfNegative val="0"/>
            <c:bubble3D val="0"/>
            <c:spPr>
              <a:noFill/>
              <a:ln w="9525" cap="flat" cmpd="sng" algn="ctr">
                <a:solidFill>
                  <a:srgbClr val="FF0000"/>
                </a:solidFill>
                <a:miter lim="800000"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C-1753-4B5B-9C51-CC15FF2F975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1753-4B5B-9C51-CC15FF2F97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RESERVA'!$B$7:$B$9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RESERVA'!$E$7:$E$9</c:f>
              <c:numCache>
                <c:formatCode>_(* #,##0.00_);_(* \(#,##0.00\);_(* "-"??_);_(@_)</c:formatCode>
                <c:ptCount val="2"/>
                <c:pt idx="0">
                  <c:v>35.431800000000003</c:v>
                </c:pt>
                <c:pt idx="1">
                  <c:v>12318.71845459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753-4B5B-9C51-CC15FF2F9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-1289790592"/>
        <c:axId val="-1289796032"/>
      </c:barChart>
      <c:catAx>
        <c:axId val="-128979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6032"/>
        <c:crosses val="autoZero"/>
        <c:auto val="1"/>
        <c:lblAlgn val="ctr"/>
        <c:lblOffset val="100"/>
        <c:noMultiLvlLbl val="0"/>
      </c:catAx>
      <c:valAx>
        <c:axId val="-128979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137701446608707"/>
          <c:y val="0.24204204365514059"/>
          <c:w val="0.24862298553391282"/>
          <c:h val="0.56464377922495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Gastos Vigencia y Reserva Dic 2021.xlsx]EJECUCIÓN  RESERVA!TablaDinámica5</c:name>
    <c:fmtId val="6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noFill/>
          <a:ln w="9525" cap="flat" cmpd="sng" algn="ctr">
            <a:solidFill>
              <a:schemeClr val="accent2"/>
            </a:solidFill>
            <a:miter lim="800000"/>
          </a:ln>
          <a:effectLst>
            <a:glow rad="63500">
              <a:schemeClr val="accent2">
                <a:satMod val="175000"/>
                <a:alpha val="25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0,89%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7"/>
        <c:spPr>
          <a:noFill/>
          <a:ln w="9525" cap="flat" cmpd="sng" algn="ctr">
            <a:solidFill>
              <a:schemeClr val="accent3"/>
            </a:solidFill>
            <a:miter lim="800000"/>
          </a:ln>
          <a:effectLst>
            <a:glow rad="63500">
              <a:schemeClr val="accent3">
                <a:satMod val="175000"/>
                <a:alpha val="25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97,97%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2211068011397805"/>
          <c:y val="7.3561011021630748E-2"/>
          <c:w val="0.54532440098753576"/>
          <c:h val="0.86324423007771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'EJECUCIÓN  RESERVA'!$B$31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RESERVA'!$B$32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RESERVA'!$B$32</c:f>
              <c:numCache>
                <c:formatCode>_(* #,##0.00_);_(* \(#,##0.00\);_(* "-"??_);_(@_)</c:formatCode>
                <c:ptCount val="1"/>
                <c:pt idx="0">
                  <c:v>12610.76277447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2-45C2-8769-5820BFAD2514}"/>
            </c:ext>
          </c:extLst>
        </c:ser>
        <c:ser>
          <c:idx val="1"/>
          <c:order val="1"/>
          <c:tx>
            <c:strRef>
              <c:f>'EJECUCIÓN  RESERVA'!$C$31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Pt>
            <c:idx val="0"/>
            <c:invertIfNegative val="0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ECF2-45C2-8769-5820BFAD251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0,89%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CF2-45C2-8769-5820BFAD2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RESERVA'!$B$32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RESERVA'!$C$32</c:f>
              <c:numCache>
                <c:formatCode>_(* #,##0.00_);_(* \(#,##0.00\);_(* "-"??_);_(@_)</c:formatCode>
                <c:ptCount val="1"/>
                <c:pt idx="0">
                  <c:v>112.61251987999999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2-45C2-8769-5820BFAD2514}"/>
            </c:ext>
          </c:extLst>
        </c:ser>
        <c:ser>
          <c:idx val="2"/>
          <c:order val="2"/>
          <c:tx>
            <c:strRef>
              <c:f>'EJECUCIÓN  RESERVA'!$D$31</c:f>
              <c:strCache>
                <c:ptCount val="1"/>
                <c:pt idx="0">
                  <c:v>PAGOS
ACUMULADOS
</c:v>
                </c:pt>
              </c:strCache>
            </c:strRef>
          </c:tx>
          <c:spPr>
            <a:noFill/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dPt>
            <c:idx val="0"/>
            <c:invertIfNegative val="0"/>
            <c:bubble3D val="0"/>
            <c:spPr>
              <a:noFill/>
              <a:ln w="9525" cap="flat" cmpd="sng" algn="ctr">
                <a:solidFill>
                  <a:schemeClr val="accent3"/>
                </a:solidFill>
                <a:miter lim="800000"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4-ECF2-45C2-8769-5820BFAD251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97,97%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CF2-45C2-8769-5820BFAD2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RESERVA'!$B$32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RESERVA'!$D$32</c:f>
              <c:numCache>
                <c:formatCode>_(* #,##0.00_);_(* \(#,##0.00\);_(* "-"??_);_(@_)</c:formatCode>
                <c:ptCount val="1"/>
                <c:pt idx="0">
                  <c:v>12354.15025459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2-45C2-8769-5820BFAD2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-1289798752"/>
        <c:axId val="-1289796576"/>
      </c:barChart>
      <c:catAx>
        <c:axId val="-12897987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6576"/>
        <c:crosses val="autoZero"/>
        <c:auto val="1"/>
        <c:lblAlgn val="ctr"/>
        <c:lblOffset val="100"/>
        <c:noMultiLvlLbl val="0"/>
      </c:catAx>
      <c:valAx>
        <c:axId val="-12897965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8752"/>
        <c:crosses val="autoZero"/>
        <c:crossBetween val="between"/>
      </c:valAx>
      <c:spPr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legend>
      <c:legendPos val="r"/>
      <c:layout>
        <c:manualLayout>
          <c:xMode val="edge"/>
          <c:yMode val="edge"/>
          <c:x val="0.68799468594467761"/>
          <c:y val="0.36000466370185913"/>
          <c:w val="0.28331122281639659"/>
          <c:h val="0.39626009885324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#'Aforo Vs Recaudo Rec Propios'!A1"/><Relationship Id="rId4" Type="http://schemas.microsoft.com/office/2007/relationships/hdphoto" Target="../media/hdphoto1.wdp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7.png"/><Relationship Id="rId5" Type="http://schemas.openxmlformats.org/officeDocument/2006/relationships/image" Target="../media/image8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chart" Target="../charts/chart4.xml"/><Relationship Id="rId6" Type="http://schemas.microsoft.com/office/2007/relationships/hdphoto" Target="../media/hdphoto2.wdp"/><Relationship Id="rId5" Type="http://schemas.openxmlformats.org/officeDocument/2006/relationships/image" Target="../media/image9.png"/><Relationship Id="rId4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1529208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1628774</xdr:colOff>
      <xdr:row>0</xdr:row>
      <xdr:rowOff>123825</xdr:rowOff>
    </xdr:from>
    <xdr:ext cx="8201025" cy="96898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3199" y="123825"/>
          <a:ext cx="8201025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Admaministrativa y Financiera </a:t>
          </a:r>
        </a:p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</a:t>
          </a:r>
          <a:r>
            <a:rPr lang="es-ES" sz="28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diciembre de  2021</a:t>
          </a:r>
        </a:p>
      </xdr:txBody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1</xdr:col>
      <xdr:colOff>4610100</xdr:colOff>
      <xdr:row>22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48162</xdr:colOff>
      <xdr:row>8</xdr:row>
      <xdr:rowOff>400050</xdr:rowOff>
    </xdr:from>
    <xdr:to>
      <xdr:col>1</xdr:col>
      <xdr:colOff>171987</xdr:colOff>
      <xdr:row>10</xdr:row>
      <xdr:rowOff>323850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7" y="219075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48163</xdr:colOff>
      <xdr:row>14</xdr:row>
      <xdr:rowOff>9525</xdr:rowOff>
    </xdr:from>
    <xdr:ext cx="1238250" cy="838200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8" y="434340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9629775</xdr:colOff>
      <xdr:row>7</xdr:row>
      <xdr:rowOff>371475</xdr:rowOff>
    </xdr:from>
    <xdr:to>
      <xdr:col>1</xdr:col>
      <xdr:colOff>10125075</xdr:colOff>
      <xdr:row>9</xdr:row>
      <xdr:rowOff>114300</xdr:rowOff>
    </xdr:to>
    <xdr:pic>
      <xdr:nvPicPr>
        <xdr:cNvPr id="9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704975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7305675</xdr:colOff>
      <xdr:row>8</xdr:row>
      <xdr:rowOff>419100</xdr:rowOff>
    </xdr:from>
    <xdr:to>
      <xdr:col>1</xdr:col>
      <xdr:colOff>7800975</xdr:colOff>
      <xdr:row>10</xdr:row>
      <xdr:rowOff>161925</xdr:rowOff>
    </xdr:to>
    <xdr:pic>
      <xdr:nvPicPr>
        <xdr:cNvPr id="10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22098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10525125</xdr:colOff>
      <xdr:row>9</xdr:row>
      <xdr:rowOff>419100</xdr:rowOff>
    </xdr:from>
    <xdr:to>
      <xdr:col>1</xdr:col>
      <xdr:colOff>11020425</xdr:colOff>
      <xdr:row>11</xdr:row>
      <xdr:rowOff>161925</xdr:rowOff>
    </xdr:to>
    <xdr:pic>
      <xdr:nvPicPr>
        <xdr:cNvPr id="11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6670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8181975</xdr:colOff>
      <xdr:row>10</xdr:row>
      <xdr:rowOff>400050</xdr:rowOff>
    </xdr:from>
    <xdr:to>
      <xdr:col>1</xdr:col>
      <xdr:colOff>8677275</xdr:colOff>
      <xdr:row>12</xdr:row>
      <xdr:rowOff>142875</xdr:rowOff>
    </xdr:to>
    <xdr:pic>
      <xdr:nvPicPr>
        <xdr:cNvPr id="12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31051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8753475</xdr:colOff>
      <xdr:row>13</xdr:row>
      <xdr:rowOff>381000</xdr:rowOff>
    </xdr:from>
    <xdr:to>
      <xdr:col>1</xdr:col>
      <xdr:colOff>9248775</xdr:colOff>
      <xdr:row>15</xdr:row>
      <xdr:rowOff>123825</xdr:rowOff>
    </xdr:to>
    <xdr:pic>
      <xdr:nvPicPr>
        <xdr:cNvPr id="13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44577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6229350</xdr:colOff>
      <xdr:row>14</xdr:row>
      <xdr:rowOff>381000</xdr:rowOff>
    </xdr:from>
    <xdr:to>
      <xdr:col>1</xdr:col>
      <xdr:colOff>6724650</xdr:colOff>
      <xdr:row>16</xdr:row>
      <xdr:rowOff>123825</xdr:rowOff>
    </xdr:to>
    <xdr:pic>
      <xdr:nvPicPr>
        <xdr:cNvPr id="14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49149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85725</xdr:rowOff>
    </xdr:from>
    <xdr:to>
      <xdr:col>2</xdr:col>
      <xdr:colOff>1312923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123826</xdr:rowOff>
    </xdr:from>
    <xdr:ext cx="5205076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3444394" y="123826"/>
          <a:ext cx="5205076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 Ejecución Reservas a 31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diciembre de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2021</a:t>
          </a:r>
        </a:p>
      </xdr:txBody>
    </xdr:sp>
    <xdr:clientData/>
  </xdr:oneCellAnchor>
  <xdr:twoCellAnchor editAs="oneCell">
    <xdr:from>
      <xdr:col>7</xdr:col>
      <xdr:colOff>409575</xdr:colOff>
      <xdr:row>4</xdr:row>
      <xdr:rowOff>47625</xdr:rowOff>
    </xdr:from>
    <xdr:to>
      <xdr:col>9</xdr:col>
      <xdr:colOff>742949</xdr:colOff>
      <xdr:row>8</xdr:row>
      <xdr:rowOff>133831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8096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451714</xdr:colOff>
      <xdr:row>12</xdr:row>
      <xdr:rowOff>28671</xdr:rowOff>
    </xdr:from>
    <xdr:to>
      <xdr:col>7</xdr:col>
      <xdr:colOff>404090</xdr:colOff>
      <xdr:row>25</xdr:row>
      <xdr:rowOff>133447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172797</xdr:colOff>
      <xdr:row>29</xdr:row>
      <xdr:rowOff>57727</xdr:rowOff>
    </xdr:from>
    <xdr:to>
      <xdr:col>7</xdr:col>
      <xdr:colOff>336647</xdr:colOff>
      <xdr:row>54</xdr:row>
      <xdr:rowOff>115454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0.61968</cdr:x>
      <cdr:y>0.08129</cdr:y>
    </cdr:from>
    <cdr:to>
      <cdr:x>0.71544</cdr:x>
      <cdr:y>0.1542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750442" y="211860"/>
          <a:ext cx="579561" cy="190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97,96%</a:t>
          </a:r>
        </a:p>
      </cdr:txBody>
    </cdr:sp>
  </cdr:relSizeAnchor>
  <cdr:relSizeAnchor xmlns:cdr="http://schemas.openxmlformats.org/drawingml/2006/chartDrawing">
    <cdr:from>
      <cdr:x>0.64919</cdr:x>
      <cdr:y>0.89728</cdr:y>
    </cdr:from>
    <cdr:to>
      <cdr:x>0.86207</cdr:x>
      <cdr:y>1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3419477" y="2273395"/>
          <a:ext cx="1121322" cy="260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accent1"/>
              </a:solidFill>
            </a:rPr>
            <a:t>Cifras en millones</a:t>
          </a:r>
          <a:r>
            <a:rPr lang="en-US" sz="1100" baseline="0">
              <a:solidFill>
                <a:schemeClr val="accent1"/>
              </a:solidFill>
            </a:rPr>
            <a:t> de Pesos</a:t>
          </a:r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0.63353</cdr:x>
      <cdr:y>0.8355</cdr:y>
    </cdr:from>
    <cdr:to>
      <cdr:x>0.97856</cdr:x>
      <cdr:y>0.96537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0800000" flipH="1" flipV="1">
          <a:off x="3095625" y="1838325"/>
          <a:ext cx="16859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accent1"/>
              </a:solidFill>
            </a:rPr>
            <a:t>Cifras en millones</a:t>
          </a:r>
          <a:r>
            <a:rPr lang="en-US" sz="1100" baseline="0">
              <a:solidFill>
                <a:schemeClr val="accent1"/>
              </a:solidFill>
            </a:rPr>
            <a:t> de Pesos</a:t>
          </a:r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13</xdr:row>
      <xdr:rowOff>161925</xdr:rowOff>
    </xdr:from>
    <xdr:to>
      <xdr:col>7</xdr:col>
      <xdr:colOff>285750</xdr:colOff>
      <xdr:row>36</xdr:row>
      <xdr:rowOff>152401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981075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057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diciembre de  2021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5</xdr:col>
      <xdr:colOff>440055</xdr:colOff>
      <xdr:row>107</xdr:row>
      <xdr:rowOff>186055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CBCE56B-766B-4964-B21C-D8E296F49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82975"/>
          <a:ext cx="5612130" cy="4186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0.69385</cdr:x>
      <cdr:y>0.91503</cdr:y>
    </cdr:from>
    <cdr:to>
      <cdr:x>0.96257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1B3752C-34EE-4853-91C4-36B20CEEF4A5}"/>
            </a:ext>
          </a:extLst>
        </cdr:cNvPr>
        <cdr:cNvSpPr txBox="1"/>
      </cdr:nvSpPr>
      <cdr:spPr>
        <a:xfrm xmlns:a="http://schemas.openxmlformats.org/drawingml/2006/main">
          <a:off x="4943474" y="4000500"/>
          <a:ext cx="1914525" cy="371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9813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 31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diciembre de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2021</a:t>
          </a:r>
        </a:p>
      </xdr:txBody>
    </xdr:sp>
    <xdr:clientData/>
  </xdr:oneCellAnchor>
  <xdr:twoCellAnchor>
    <xdr:from>
      <xdr:col>0</xdr:col>
      <xdr:colOff>504821</xdr:colOff>
      <xdr:row>11</xdr:row>
      <xdr:rowOff>133350</xdr:rowOff>
    </xdr:from>
    <xdr:to>
      <xdr:col>12</xdr:col>
      <xdr:colOff>485774</xdr:colOff>
      <xdr:row>37</xdr:row>
      <xdr:rowOff>114299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504821" y="2228850"/>
          <a:ext cx="11153778" cy="4933949"/>
          <a:chOff x="476246" y="2324100"/>
          <a:chExt cx="10982328" cy="4933949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/>
        </xdr:nvGraphicFramePr>
        <xdr:xfrm>
          <a:off x="476246" y="2324100"/>
          <a:ext cx="10982328" cy="49339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64760" y="2343149"/>
            <a:ext cx="10614894" cy="3524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s-ES" sz="18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COMPARATIVO</a:t>
            </a:r>
            <a:r>
              <a:rPr lang="es-ES" sz="1800" b="1" cap="none" spc="0" baseline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 RP´S VS  OBLIGACIONES Y PAGOS DE  FUNCIONAMIENTO, SERVICIO A LA DEUDA E INVERSIÓN</a:t>
            </a:r>
            <a:endPara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12</xdr:col>
      <xdr:colOff>66675</xdr:colOff>
      <xdr:row>0</xdr:row>
      <xdr:rowOff>0</xdr:rowOff>
    </xdr:from>
    <xdr:to>
      <xdr:col>14</xdr:col>
      <xdr:colOff>400050</xdr:colOff>
      <xdr:row>9</xdr:row>
      <xdr:rowOff>85725</xdr:rowOff>
    </xdr:to>
    <xdr:pic>
      <xdr:nvPicPr>
        <xdr:cNvPr id="8" name="Imag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0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429155</xdr:colOff>
      <xdr:row>0</xdr:row>
      <xdr:rowOff>1</xdr:rowOff>
    </xdr:from>
    <xdr:to>
      <xdr:col>1</xdr:col>
      <xdr:colOff>1600200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55" y="1"/>
          <a:ext cx="166634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2747529</xdr:colOff>
      <xdr:row>0</xdr:row>
      <xdr:rowOff>134216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241097" y="134216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31 de diciembre de 2021</a:t>
          </a:r>
        </a:p>
      </xdr:txBody>
    </xdr:sp>
    <xdr:clientData/>
  </xdr:oneCellAnchor>
  <xdr:twoCellAnchor editAs="oneCell">
    <xdr:from>
      <xdr:col>6</xdr:col>
      <xdr:colOff>171450</xdr:colOff>
      <xdr:row>1</xdr:row>
      <xdr:rowOff>142875</xdr:rowOff>
    </xdr:from>
    <xdr:to>
      <xdr:col>8</xdr:col>
      <xdr:colOff>504825</xdr:colOff>
      <xdr:row>9</xdr:row>
      <xdr:rowOff>228600</xdr:rowOff>
    </xdr:to>
    <xdr:pic>
      <xdr:nvPicPr>
        <xdr:cNvPr id="8" name="Imagen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3333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466725</xdr:colOff>
      <xdr:row>11</xdr:row>
      <xdr:rowOff>152398</xdr:rowOff>
    </xdr:from>
    <xdr:to>
      <xdr:col>7</xdr:col>
      <xdr:colOff>419100</xdr:colOff>
      <xdr:row>41</xdr:row>
      <xdr:rowOff>114300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pSpPr/>
      </xdr:nvGrpSpPr>
      <xdr:grpSpPr>
        <a:xfrm>
          <a:off x="466725" y="2628898"/>
          <a:ext cx="8879898" cy="5676902"/>
          <a:chOff x="447675" y="2505073"/>
          <a:chExt cx="9134475" cy="5676902"/>
        </a:xfrm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GrpSpPr/>
        </xdr:nvGrpSpPr>
        <xdr:grpSpPr>
          <a:xfrm>
            <a:off x="447675" y="2505073"/>
            <a:ext cx="9134475" cy="5676902"/>
            <a:chOff x="628650" y="2562223"/>
            <a:chExt cx="9134475" cy="5676902"/>
          </a:xfrm>
        </xdr:grpSpPr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GraphicFramePr>
              <a:graphicFrameLocks/>
            </xdr:cNvGraphicFramePr>
          </xdr:nvGraphicFramePr>
          <xdr:xfrm>
            <a:off x="628650" y="2562223"/>
            <a:ext cx="9134475" cy="567690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647825" y="2724148"/>
              <a:ext cx="7419475" cy="225572"/>
            </a:xfrm>
            <a:prstGeom prst="rect">
              <a:avLst/>
            </a:prstGeom>
          </xdr:spPr>
        </xdr:pic>
      </xdr:grpSp>
      <xdr:sp macro="" textlink="">
        <xdr:nvSpPr>
          <xdr:cNvPr id="4097" name="Text Box 1">
            <a:extLst>
              <a:ext uri="{FF2B5EF4-FFF2-40B4-BE49-F238E27FC236}">
                <a16:creationId xmlns:a16="http://schemas.microsoft.com/office/drawing/2014/main" id="{00000000-0008-0000-0600-000001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39076" y="7905750"/>
            <a:ext cx="16573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s-CO" sz="1100" b="0" i="0" u="none" strike="noStrike" baseline="0">
                <a:solidFill>
                  <a:schemeClr val="accent1"/>
                </a:solidFill>
                <a:latin typeface="Calibri"/>
                <a:cs typeface="Calibri"/>
              </a:rPr>
              <a:t>Cifras en millones de pesos</a:t>
            </a:r>
          </a:p>
          <a:p>
            <a:pPr algn="l" rtl="0">
              <a:defRPr sz="1000"/>
            </a:pPr>
            <a:endParaRPr lang="es-CO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790576</xdr:colOff>
      <xdr:row>15</xdr:row>
      <xdr:rowOff>19052</xdr:rowOff>
    </xdr:from>
    <xdr:to>
      <xdr:col>6</xdr:col>
      <xdr:colOff>123825</xdr:colOff>
      <xdr:row>35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1443160</xdr:colOff>
      <xdr:row>15</xdr:row>
      <xdr:rowOff>0</xdr:rowOff>
    </xdr:from>
    <xdr:ext cx="4721421" cy="59323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319460" y="3000375"/>
          <a:ext cx="4721421" cy="5932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6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209550</xdr:colOff>
      <xdr:row>4</xdr:row>
      <xdr:rowOff>152400</xdr:rowOff>
    </xdr:from>
    <xdr:to>
      <xdr:col>7</xdr:col>
      <xdr:colOff>542925</xdr:colOff>
      <xdr:row>14</xdr:row>
      <xdr:rowOff>47625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52400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123825</xdr:rowOff>
    </xdr:from>
    <xdr:to>
      <xdr:col>2</xdr:col>
      <xdr:colOff>929133</xdr:colOff>
      <xdr:row>3</xdr:row>
      <xdr:rowOff>180975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238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1314450</xdr:colOff>
      <xdr:row>0</xdr:row>
      <xdr:rowOff>142875</xdr:rowOff>
    </xdr:from>
    <xdr:ext cx="4861209" cy="71853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3829050" y="1428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 31 de diciembre de 2021</a:t>
          </a:r>
        </a:p>
      </xdr:txBody>
    </xdr:sp>
    <xdr:clientData/>
  </xdr:oneCellAnchor>
  <xdr:twoCellAnchor editAs="oneCell">
    <xdr:from>
      <xdr:col>1</xdr:col>
      <xdr:colOff>640209</xdr:colOff>
      <xdr:row>16</xdr:row>
      <xdr:rowOff>133351</xdr:rowOff>
    </xdr:from>
    <xdr:to>
      <xdr:col>1</xdr:col>
      <xdr:colOff>1006824</xdr:colOff>
      <xdr:row>19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6998" b="96869" l="10000" r="90000">
                      <a14:foregroundMark x1="26579" y1="92449" x2="26579" y2="92449"/>
                      <a14:foregroundMark x1="26579" y1="97053" x2="26579" y2="97053"/>
                      <a14:foregroundMark x1="36579" y1="88214" x2="36579" y2="88214"/>
                      <a14:foregroundMark x1="89737" y1="56722" x2="89737" y2="56722"/>
                      <a14:foregroundMark x1="72895" y1="6998" x2="72895" y2="699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16509" y="3324226"/>
          <a:ext cx="366615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248247</xdr:colOff>
      <xdr:row>11</xdr:row>
      <xdr:rowOff>53649</xdr:rowOff>
    </xdr:from>
    <xdr:to>
      <xdr:col>2</xdr:col>
      <xdr:colOff>370886</xdr:colOff>
      <xdr:row>13</xdr:row>
      <xdr:rowOff>155902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24547" y="2292024"/>
          <a:ext cx="1760939" cy="483253"/>
        </a:xfrm>
        <a:prstGeom prst="wedgeRoundRectCallout">
          <a:avLst>
            <a:gd name="adj1" fmla="val -21915"/>
            <a:gd name="adj2" fmla="val 103891"/>
            <a:gd name="adj3" fmla="val 16667"/>
          </a:avLst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none" lIns="91440" tIns="45720" rIns="91440" bIns="45720" rtlCol="0" anchor="ctr">
          <a:spAutoFit/>
        </a:bodyPr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SELECCIONE</a:t>
          </a:r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EL PROYECTO </a:t>
          </a:r>
        </a:p>
        <a:p>
          <a:pPr algn="ctr"/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SU INTERES</a:t>
          </a:r>
          <a:endParaRPr lang="es-C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0.7624</cdr:x>
      <cdr:y>0.90754</cdr:y>
    </cdr:from>
    <cdr:to>
      <cdr:x>0.98501</cdr:x>
      <cdr:y>0.9781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705C195F-B02C-4D96-AEB9-DF120BD90A31}"/>
            </a:ext>
          </a:extLst>
        </cdr:cNvPr>
        <cdr:cNvSpPr txBox="1"/>
      </cdr:nvSpPr>
      <cdr:spPr>
        <a:xfrm xmlns:a="http://schemas.openxmlformats.org/drawingml/2006/main">
          <a:off x="6296024" y="3552823"/>
          <a:ext cx="18383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66675</xdr:rowOff>
    </xdr:from>
    <xdr:to>
      <xdr:col>2</xdr:col>
      <xdr:colOff>1043433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133350</xdr:colOff>
      <xdr:row>0</xdr:row>
      <xdr:rowOff>114300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3429000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diciembre de  2021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742949</xdr:colOff>
      <xdr:row>11</xdr:row>
      <xdr:rowOff>180974</xdr:rowOff>
    </xdr:from>
    <xdr:to>
      <xdr:col>7</xdr:col>
      <xdr:colOff>257175</xdr:colOff>
      <xdr:row>31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598.785525810184" createdVersion="6" refreshedVersion="7" minRefreshableVersion="3" recordCount="7" xr:uid="{00000000-000A-0000-FFFF-FFFF21000000}">
  <cacheSource type="worksheet">
    <worksheetSource ref="A1:G8" sheet="Resumen Eje Egreso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168">
      <sharedItems containsSemiMixedTypes="0" containsString="0" containsNumber="1" minValue="16327.45217855" maxValue="4237527.2563049998"/>
    </cacheField>
    <cacheField name="CERTIFICADOS_x000a_ ACUMULADOS" numFmtId="168">
      <sharedItems containsSemiMixedTypes="0" containsString="0" containsNumber="1" minValue="16222.798335880001" maxValue="4134043.00673735"/>
    </cacheField>
    <cacheField name="COMPROMISOS_x000a_ ACUMULADOS" numFmtId="168">
      <sharedItems containsSemiMixedTypes="0" containsString="0" containsNumber="1" minValue="16222.798335880001" maxValue="4134043.00673735"/>
    </cacheField>
    <cacheField name="OBLIGACIONES_x000a_ ACUMULADAS" numFmtId="168">
      <sharedItems containsSemiMixedTypes="0" containsString="0" containsNumber="1" minValue="14088.314694580002" maxValue="4080845.7407227601"/>
    </cacheField>
    <cacheField name="PAGOS_x000a_A CUMULADOS" numFmtId="168">
      <sharedItems containsSemiMixedTypes="0" containsString="0" containsNumber="1" minValue="6493.5692779499996" maxValue="4080663.31204875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598.801861458334" createdVersion="6" refreshedVersion="7" minRefreshableVersion="3" recordCount="33" xr:uid="{00000000-000A-0000-FFFF-FFFF1B000000}">
  <cacheSource type="worksheet">
    <worksheetSource ref="B1:H34" sheet="INVERSIÓN"/>
  </cacheSource>
  <cacheFields count="7">
    <cacheField name="Codigo " numFmtId="0">
      <sharedItems/>
    </cacheField>
    <cacheField name="DESCRIPCION" numFmtId="0">
      <sharedItems count="77">
        <s v="MEJORAMIENTO APOYO ESTATAL PROYECTO DE CONCESIÓN RUTA DEL SOL SECTOR III,   CESAR, BOLÍVAR, MAGDALENA "/>
        <s v="MEJORAMIENTO DE LA CONCESIÓN ARMENIA PEREIRA MANIZALES  RISARALDA, CALDAS, QUINDIO, VALLE DEL CAUCA"/>
        <s v="MEJORAMIENTO CONSTRUCCIÓN REHABILITACIÓN, MANTENIMIENTO Y OPERACIÓN, DEL CORREDOR VIAL PAMPLONA - CUCÚTA DEPARTAMENTO DE   NORTE DE SANTANDER"/>
        <s v="MEJORAMIENTO , CONSTRUCCIÓN, REHABILITACIÓN, MANTENIMIENTO  Y OPERACIÓN DEL CORREDOR BUCARAMANGA, BARRANCABERMEJA, YONDÓ EN LOS DEPARTAMENTOS DE   ANTIOQUIA, SANTANDER"/>
        <s v="CONSTRUCCIÓN OPERACIÓN Y MANTENIMIENTO DE LA CONCESIÓN AUTOPISTA CONEXIÓN PACIFICO 1 - AUTOPISTAS PARA LA PROSPERIDAD ANTIOQUIA"/>
        <s v="REHABILITACIÓN CONSTRUCCIÓN, MEJORAMIENTO, OPERACIÓN Y MANTENIMIENTO DE LA CONCESIÓN AUTOPISTA AL RIO MAGDALENA 2, DEPARTAMENTOS DE ANTIOQUIA, SANTANDER"/>
        <s v="MEJORAMIENTO REHABILITACIÓN, CONSTRUCCIÓN, MANTENIMIENTO Y OPERACIÓN DEL CORREDOR SANTANA - MOCOA - NEIVA, DEPARTAMENTOS DE  HUILA, PUTUMAYO, CAUCA"/>
        <s v="MEJORAMIENTO REHABILITACIÓN, CONSTRUCCIÓN , MANTENIMIENTO  Y OPERACIÓN DEL CORREDOR POPAYAN - SANTANDER DE QUILICHAO EN EL DEPARTAMENTO DEL     CAUCA"/>
        <s v="MEJORAMIENTO CONSTRUCCIÓN, MANTENIMIENTO Y OPERACIÓN DEL CORREDOR CONEXIÓN NORTE, AUTOPISTAS PARA LA PROSPERIDAD   ANTIOQUIA"/>
        <s v="CONTROL Y SEGUIMIENTO A LA OPERACIÓN DE LAS VÍAS PRIMARIAS CONCESIONADAS  NACIONAL-[PREVIO CONCEPTO DNP]"/>
        <s v="MEJORAMIENTO CONSTRUCCIÓN, REHABILITACIÓN Y MANTENIMIENTO DEL CORREDOR VILLAVICENCIO - YOPAL DEPARTAMENTOS DEL   META, CASANARE"/>
        <s v="CONSTRUCCIÓN OPERACIÓN Y MANTENIMIENTO DE LA VÍA MULALO - LOBOGUERRERO, DEPARTAMENTO DEL VALLE DEL CAUCA"/>
        <s v="MEJORAMIENTO REHABILITACIÓN, CONSTRUCCIÓN, MANTENIMIENTO Y OPERACIÓN DEL CORREDOR BUCARAMANGA PAMPLONA NORTE DE SANTANDER"/>
        <s v="MEJORAMIENTO REHABILITACIÓN, MANTENIMIENTO Y OPERACIÓN DEL CORREDOR TRANSVERSAL DEL SISGA, DEPARTAMENTOS DE BOYACÁ, CUNDINAMARCA, CASANARE"/>
        <s v="REHABILITACIÓN MEJORAMIENTO, CONSTRUCCIÓN, MANTENIMIENTO Y OPERACIÓN DEL CORREDOR CARTAGENA - BARRANQUILLA Y CIRCUNVALAR DE LA PROSPERIDAD, DEPARTAMENTOS DE   ATLÁNTICO, BOLÍVAR"/>
        <s v="MEJORAMIENTO CONSTRUCCIÓN, OPERACIÓN Y MANTENIMIENTO DE LA CONCESIÓN AUTOPISTA CONEXIÓN PACIFICO 2 ANTIOQUIA"/>
        <s v="MEJORAMIENTO  CONSTRUCCIÓN, OPERACIÓN, Y MANTENIMIENTO DE LA AUTOPISTA CONEXIÓN PACIFICO 3  AUTOPISTAS PARA LA PROSPERIDAD   ANTIOQUIA"/>
        <s v="MEJORAMIENTO REHABILITACIÓN, CONSTRUCCIÓN, MANTENIMIENTO, Y OPERACIÓN DEL CORREDOR RUMICHACA - PASTO EN EL DEPARTAMENTO DE    NARIÑO"/>
        <s v="REHABILITACIÓN MEJORAMIENTO, OPERACIÓN Y MANTENIMIENTO DEL CORREDOR PERIMETRAL DE CUNDINAMARCA, CENTRO ORIENTE   CUNDINAMARCA"/>
        <s v="MEJORAMIENTO CONSTRUCCIÓN, REHABILITACIÓN OPERACIÓN Y MANTENIMIENTO DE LA CONCESIÓN AUTOPISTA AL MAR 2   ANTIOQUIA"/>
        <s v="MEJORAMIENTO REHABILITACIÓN Y MANTENIMIENTO DEL CORREDOR HONDA - PUERTO SALGAR - GIRARDOT, DEPARTAMENTOS DE    CUNDINAMARCA, CALDAS, TOLIMA"/>
        <s v="MEJORAMIENTO CONSTRUCCIÓN, REHABILITACIÓN, OPERACIÓN Y MANTENIMIENTO DE LA CONCESIÓN AUTOPISTA AL MAR 1, DEPARTAMENTO DE ANTIOQUIA"/>
        <s v="MEJORAMIENTO DEL CORREDOR PUERTA DE HIERRO - PALMAR DE VARELA Y CARRETO - CRUZ DEL VISO EN LOS DEPARTAMENTOS DE    ATLÁNTICO, BOLÍVAR, SUCRE"/>
        <s v="DESARROLLO DE OBRAS COMPLEMENTARIAS, GESTIÓN SOCIAL, AMBIENTAL Y PREDIAL DE LOS CONTRATOS DE CONCESIÓN VIAL.   NACIONAL-[PREVIO CONCEPTO DNP]"/>
        <s v="CONTROL Y SEGUIMIENTO A LA OPERACIÓN DE LOS AEROPUERTOS CONCESIONADOS  NACIONAL"/>
        <s v="REHABILITACIÓN CONSTRUCCIÓN Y MANTENIMIENTO DE LA RED FÉRREA A NIVEL NACIONAL  NACIONAL"/>
        <s v="CONTROL Y SEGUIMIENTO A LA OPERACIÓN DE LAS VÍAS FÉRREAS  NACIONAL"/>
        <s v="APOYO ESTATAL A LOS PUERTOS A NIVEL NACIONAL   NACIONAL-[PREVIO CONCEPTO DNP]"/>
        <s v="CONTROL Y SEGUIMIENTO A LA OPERACIÓN DE LOS PUERTOS CONCESIONADOS   NACIONAL"/>
        <s v="IMPLEMENTACIÓN DEL SISTEMA INTEGRADO DE GESTIÓN Y CONTROL DE LA AGENCIA NACIONAL DE INFRAESTRUCTURA  NACIONAL-[PREVIO CONCEPTO DNP]"/>
        <s v="APOYO PARA LA GESTIÓN DE LA AGENCIA NACIONAL DE INFRAESTRUCTURA A TRAVÉS DE ASESORÍAS Y CONSULTORÍAS  NACIONAL-[PREVIO CONCEPTO DNP]"/>
        <s v="SISTEMATIZACIÓN PARA EL SERVICIO DE INFORMACIÓN DE LA GESTIÓN ADMINISTRATIVA.  NACIONAL-[PREVIO CONCEPTO DNP]"/>
        <s v="IMPLEMENTACION DEL SISTEMA DE GESTION DOCUMENTAL DE LA AGENCIA NACIONAL DE INFRAESTRUCTURA NACIONAL-[PREVIO CONCEPTO DNP]"/>
        <s v="APOYO A LA OPERACIÓN DE LAS VÍAS CONCESIONADAS A TRÁVES DE IPS  NACIONAL" u="1"/>
        <s v="MEJORAMIENTO APOYO ESTATAL PROYECTO DE CONCESIÒN RUTA DEL SOL SECTOR III,   CESAR, BOLÍVAR, MAGDALENA - [PREVIO CONCEPTO DNP]" u="1"/>
        <s v="MEJORAMIENTO CONSTRUCCION REHABILITACIÓN,  MANTENIMIENTO Y OPERACIÓN DEL CORREDOR BUCARAMANGA BARRANCABERMEJA YONDO  DEPARTAMENTOS DE   SANTANDER, ANTIOQUIA" u="1"/>
        <s v="APOYO A LA OPERACIÒN DE LAS VÌAS PRIMARIAS CONCESIONADAS  NACIONAL" u="1"/>
        <s v="APOYO PARA LA GESTIÓN DE LA AGENCIA NACIONAL DE INFRAESTRUCTURA A TRAVÉS DE ASESORÍAS Y CONSULTORÍAS  NACIONAL" u="1"/>
        <s v="IMPLEMENTACION DEL SISTEMA DE GESTION DOCUMENTAL DE LA AGENCIA NACIONAL DE INFRAESTRUCTURA NACIONAL" u="1"/>
        <s v="MEJORAMIENTO REHABILITACIÓN Y MANTENIMIENTO DEL CORREDOR HONDA - PUERTO SALGAR - GIRARDOT,   CUNDINAMARCA" u="1"/>
        <s v="MEJORAMIENTO DEL CORREDOR PUERTA DE HIERRO - PALMAR DE VARELA Y CARRETO - CRUZ DEL VISO EN EL DEPARTAMENTOS DE  ATLÁNTICO, BOLÍVAR, SUCRE" u="1"/>
        <s v="MEJORAMIENTO CONSTRUCCIÓN, MANTENIMIENTO Y OPERACIÓN DEL CORREDOR CONEXIÓN NORTE, AUTOPISTAS PARA LA PROSPERIDAD  ANTIOQUIA" u="1"/>
        <s v="REHABILITACIÓN CONSTRUCCIÒN, MEJORAMIENTO, OPERACIÒN Y MANTENIMIENTO DE LA CONCESIÒN AUTOPISTA AL RIO MAGDALENA 2, DEPARTAMENTOS DE ANTIOQUIA, SANTANDER" u="1"/>
        <s v="CONSTRUCCIÓN OPERACIÒN Y MANTENIMIENTO DE LA VÍA MULALO - LOBOGUERRERO, DEPARTAMENTO DEL VALLE DEL CAUCA" u="1"/>
        <s v="SISTEMATIZACIÓN PARA EL SERVICIO DE INFORMACIÓN DE LA GESTIÓN ADMINISTRATIVA.  NACIONAL" u="1"/>
        <s v="MEJORAMIENTO CONSTRUCCIÓN, REHABILITACIÓN, OPERACIÓN Y MANTENIMIENTO DE LA CONCESIÓN AUTOPISTA AL MAR 2  ANTIOQUIA" u="1"/>
        <s v="CONTROL Y SEGUIMIENTO A LA OPERACIÓN DE LAS VÍAS PRIMARIAS CONCESIONADAS  NACIONAL" u="1"/>
        <s v="MEJORAMIENTO REHABILITACIÓN, CONSTRUCCIÓN, MANTENIMIENTO Y OPERACION DEL CORREDOR BUCARAMANGA PAMPLONA   NORTE DE SANTANDER, SANTANDER" u="1"/>
        <s v="CONSTRUCCIÓN OPERACIÒN Y MANTENIMIENTO DE LA VÌA MULALO - LOBOGUERRERO, DEPARTAMENTO DEL  VALLE DEL CAUCA" u="1"/>
        <s v="APOYO ESTATAL A LOS PUERTOS A NIVEL NACIONAL   NACIONAL" u="1"/>
        <s v="REHABILITACIÓN CONSTRUCCIÒN, MEJORAMIENTO, OPERACIÒN Y MANTENIMIENTO DE LA CONCESIÒN AUTOPISTA AL RIO MAGDALENA 2, DEPARTAMENTOS DE   ANTIOQUIA, SANTANDER" u="1"/>
        <s v="CONSTRUCCIÓN OPERACIÓN Y MANTENIMIENTO DE LA CONCESIÓN AUTOPISTA CONEXIÓN PACIFICO 1 - AUTOPISTAS PARA LA PROSPERIDAD    ANTIOQUIA" u="1"/>
        <s v="MEJORAMIENTO APOYO ESTATAL PROYECTO DE CONCESIÓN RUTA DEL SOL  SECTOR 2 NACIONAL - [PREVIO CONCEPTO DNP]" u="1"/>
        <s v="REHABILITACIÓN MEJORAMIENTO, OPERACIÓN Y MANTENIMIENTO DEL CORREDOR PERIMETRAL DE CUNDINAMARCA, CENTRO ORIENTE  CUNDINAMARCA" u="1"/>
        <s v="MEJORAMIENTO MANTENIMIENTO DE LA CONCESIÓN CARTAGENA BARRANQUILLA  ATLÁNTICO, BOLÍVAR" u="1"/>
        <s v="APOYO A LA OPERACIÓN DE LOS AEROPUERTOS CONCESIONADOS  NACIONAL" u="1"/>
        <s v="IMPLEMENTACIÓN DEL SISTEMA INTEGRADO DE GESTIÓN Y CONTROL DE LA AGENCIA NACIONAL DE INFRAESTRUCTURA  NACIONAL" u="1"/>
        <s v="MEJORAMIENTO CONSTRUCCIÓN, OPERACIÓN, MANTENIMIENTO DE LA AUTOPISTA CONEXIÓN PACIFICO 3  ANTIOQUIA, CALDAS, RISARALDA" u="1"/>
        <s v="MEJORAMIENTO REHABILITACIÒN, CONSTRUCCIÒN, MANTENIMIENTO Y OPERACIÒN DEL CORREDOR SANTANA - MOCOA - NEIVA, DEPARTAMENTOS DE   HUILA, PUTUMAYO, CAUCA" u="1"/>
        <s v="MEJORAMIENTO , REHABILITACIÓN, MANTENIMIENTO Y OPERACIÓN DEL CORREDOR TRANSVERSAL DEL SISGA,EN LOS DEPARTAMENTOS DE   CUNDINAMARCA, BOYACÁ, CASANARE" u="1"/>
        <s v="APOYO A LA OPERACIÒN DE LOS PUERTOS CONCESIONADOS  NACIONAL" u="1"/>
        <s v="APOYO OBRAS COMPLEMENTARIAS CONTRATOS DE CONCESIÓN NACIONAL" u="1"/>
        <s v="MEJORAMIENTO APOYO ESTATAL PROYECTO DE CONCESIÒN RUTA DEL SOL SECTOR III,   CESAR, BOLÍVAR, MAGDALENA" u="1"/>
        <s v="MEJORAMIENTO CONSTRUCCIÓN, OPERACIÓN Y MANTENIMIENTO  DE LA CONCESIÓN AUTOPISTA CONEXIÓN PACIFICO 2   ANTIOQUIA" u="1"/>
        <s v="MEJORAMIENTO CONSTRUCCIÒN, REHABILITACIÓN, OPERACIÒN Y MANTENIMIENTO DE LA CONCESIÒN AUTOPISTA AL MAR 1, DEPARTAMENTO DE ANTIOQUIA" u="1"/>
        <s v="MEJORAMIENTO REHABILITACION, CONSTRUCCION , MANTENIMIENTO  Y OPERACION CORREDOR POPAYAN - SANTANDER DE QUILICHAO EN EL DEPARTAMENTO DEL   CAUCA" u="1"/>
        <s v="MEJORAMIENTO APOYO ESTATAL PROYECTO DE CONCESIÒN RUTA DEL SOL SECTOR III,   CESAR, BOLÍVAR, MAGDALENA " u="1"/>
        <s v="MEJORAMIENTO CONSTRUCCIÓN, OPERACIÓN Y MANTENIMIENTO  DE LA CONCESIÓN AUTOPISTA CONEXIÓN PACIFICO 2     ANTIOQUIA" u="1"/>
        <s v="REHABILITACIÓN MEJORAMIENTO, CONSTRUCCIÒN, MANTENIMIENTO Y OPERACIÒN DEL CORREDOR CARTAGENA - BARRANQUILLA Y CIRCUNVALAR DE LA PROSPERIDAD, DEPARTAMENTOS DE   ATLÁNTICO, BOLÍVAR" u="1"/>
        <s v="MEJORAMIENTO CONSTRUCCIÒN, REHABILITACIÒN, OPERACIÒN Y MANTENIMIENTO DE LA CONCESIÒN AUTOPISTA AL MAR 1, DEPARTAMENTO DE   ANTIOQUIA" u="1"/>
        <s v="CONTROL Y SEGUIMIENTO A LA OPERACIÒN DE LAS VÌAS FÈRREAS  NACIONAL" u="1"/>
        <s v="MEJORAMIENTO REHABILITACIÓN, CONSTRUCCIÓN, MANTENIMIENTO, Y OPERACIÓN DEL CORREDOR RUMICHACA - PASTO EN EL DEPARTAMENTO DE   NARIÑO" u="1"/>
        <s v="MEJORAMIENTO REHABILITACIÓN, CONSTRUCCIÓN, MANTENIMIENTO Y OPERACIÓN DEL CORREDOR BUCARAMANGA PAMPLONA    NORTE DE SANTANDER" u="1"/>
        <s v="MEJORAMIENTO REHABILITACIÓN, MANTENIMIENTO Y OPERACIÓN DEL CORREDOR TRANSVERSAL DEL SISGA, DEPARTAMENTOS DE   BOYACÁ, CUNDINAMARCA, CASANARE" u="1"/>
        <s v="APOYO A LA OPERACIÓN DE LAS VÍAS FÉRREAS CONCESIONADAS  NACIONAL" u="1"/>
        <s v="MEJORAMIENTO CONSTRUCCIÒN, REHABILITACIÒN Y MANTENIMIENTO DEL CORREDOR VILLAVICENCIO - YOPAL DEPARTAMENTOS DEL  META, CASANARE" u="1"/>
        <s v="CONTROL Y SEGUIMIENTO A LA OPERACIÒN DE LOS AEROPUERTOS CONCESIONADOS  NACIONAL" u="1"/>
      </sharedItems>
    </cacheField>
    <cacheField name="APROPIACION_x000a_ VIGENTE" numFmtId="43">
      <sharedItems containsSemiMixedTypes="0" containsString="0" containsNumber="1" containsInteger="1" minValue="50000000" maxValue="331558916195"/>
    </cacheField>
    <cacheField name="CERTIFICADOS_x000a_ ACUMULADOS" numFmtId="43">
      <sharedItems containsSemiMixedTypes="0" containsString="0" containsNumber="1" minValue="46242400.390000001" maxValue="331558916195"/>
    </cacheField>
    <cacheField name="COMPROMISOS_x000a_ ACUMULADOS" numFmtId="43">
      <sharedItems containsSemiMixedTypes="0" containsString="0" containsNumber="1" minValue="46242400.390000001" maxValue="331558916195"/>
    </cacheField>
    <cacheField name="OBLIGACIONES_x000a_ ACUMULADAS" numFmtId="43">
      <sharedItems containsSemiMixedTypes="0" containsString="0" containsNumber="1" minValue="1665.52" maxValue="331558916195"/>
    </cacheField>
    <cacheField name="PAGOS_x000a_ ACUMULADOS" numFmtId="43">
      <sharedItems containsSemiMixedTypes="0" containsString="0" containsNumber="1" minValue="1665.52" maxValue="3315589161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598.808000578705" createdVersion="6" refreshedVersion="7" minRefreshableVersion="3" recordCount="2" xr:uid="{00000000-000A-0000-FFFF-FFFF15000000}">
  <cacheSource type="worksheet">
    <worksheetSource ref="B8:C10" sheet="Reservas Presupuestales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Reservas Vigente" numFmtId="0">
      <sharedItems containsSemiMixedTypes="0" containsString="0" containsNumber="1" minValue="35.431800000000003" maxValue="12462.718454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598.809440856479" createdVersion="6" refreshedVersion="7" minRefreshableVersion="3" recordCount="2" xr:uid="{00000000-000A-0000-FFFF-FFFF12000000}">
  <cacheSource type="worksheet">
    <worksheetSource ref="B2:E4" sheet="Reservas Presupuestales"/>
  </cacheSource>
  <cacheFields count="4">
    <cacheField name="DENOMINACIÓN DEL CÓDIGO PRESUPUESTAL_x000a_" numFmtId="0">
      <sharedItems count="3">
        <s v="A-FUNCIONAMIENTO"/>
        <s v="C-INVERSIÓN"/>
        <s v="B-INVERSIÓN" u="1"/>
      </sharedItems>
    </cacheField>
    <cacheField name="RESERVAS CONSTITUIDAS_x000a_(1)" numFmtId="164">
      <sharedItems containsSemiMixedTypes="0" containsString="0" containsNumber="1" minValue="35.431800000000003" maxValue="12575.33097447"/>
    </cacheField>
    <cacheField name="CANCELACIONES RESERVAS PRESUPUESTALES_x000a_ (2)" numFmtId="4">
      <sharedItems containsSemiMixedTypes="0" containsString="0" containsNumber="1" minValue="0" maxValue="112.61251987999999"/>
    </cacheField>
    <cacheField name="TOTAL PAGOS_x000a_ACUMULADOS_x000a_(5)" numFmtId="4">
      <sharedItems containsSemiMixedTypes="0" containsString="0" containsNumber="1" minValue="35.431800000000003" maxValue="12318.718454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A"/>
    <x v="0"/>
    <n v="101565.565"/>
    <n v="101301.5805025"/>
    <n v="101301.5805025"/>
    <n v="99051.93186930001"/>
    <n v="91158.14695889999"/>
  </r>
  <r>
    <s v="A-01"/>
    <x v="1"/>
    <n v="49280.950576000003"/>
    <n v="49280.866771729998"/>
    <n v="49280.866771729998"/>
    <n v="49280.866771729998"/>
    <n v="49280.866771729998"/>
  </r>
  <r>
    <s v="A-02"/>
    <x v="2"/>
    <n v="19113.893348000001"/>
    <n v="18954.646497439997"/>
    <n v="18954.646497439997"/>
    <n v="18839.481505539999"/>
    <n v="18540.442011769999"/>
  </r>
  <r>
    <s v="A-03"/>
    <x v="3"/>
    <n v="16327.45217855"/>
    <n v="16222.798335880001"/>
    <n v="16222.798335880001"/>
    <n v="14088.314694580002"/>
    <n v="6493.5692779499996"/>
  </r>
  <r>
    <s v="A-08"/>
    <x v="4"/>
    <n v="16843.268897450002"/>
    <n v="16843.268897450002"/>
    <n v="16843.268897450002"/>
    <n v="16843.268897450002"/>
    <n v="16843.268897450002"/>
  </r>
  <r>
    <s v="B"/>
    <x v="5"/>
    <n v="969198.47086200002"/>
    <n v="969198.47086200002"/>
    <n v="969198.47086200002"/>
    <n v="969198.47086200002"/>
    <n v="969198.47086200002"/>
  </r>
  <r>
    <s v="C"/>
    <x v="6"/>
    <n v="4237527.2563049998"/>
    <n v="4134043.00673735"/>
    <n v="4134043.00673735"/>
    <n v="4080845.7407227601"/>
    <n v="4080663.31204875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s v="C-2401-0600-38"/>
    <x v="0"/>
    <n v="197403295128"/>
    <n v="197403295128"/>
    <n v="197403295128"/>
    <n v="197403295128"/>
    <n v="197403295128"/>
  </r>
  <r>
    <s v="C-2401-0600-54"/>
    <x v="1"/>
    <n v="1740557827"/>
    <n v="1740557827"/>
    <n v="1740557827"/>
    <n v="1740557827"/>
    <n v="1740557827"/>
  </r>
  <r>
    <s v="C-2401-0600-59"/>
    <x v="2"/>
    <n v="152413550265"/>
    <n v="152413550265"/>
    <n v="152413550265"/>
    <n v="152413550265"/>
    <n v="152413550265"/>
  </r>
  <r>
    <s v="C-2401-0600-60"/>
    <x v="3"/>
    <n v="174246806812"/>
    <n v="174246806812"/>
    <n v="174246806812"/>
    <n v="174246806812"/>
    <n v="174246806812"/>
  </r>
  <r>
    <s v="C-2401-0600-61"/>
    <x v="4"/>
    <n v="251092107058"/>
    <n v="251092107058"/>
    <n v="251092107058"/>
    <n v="251092107058"/>
    <n v="251092107058"/>
  </r>
  <r>
    <s v="C-2401-0600-62"/>
    <x v="5"/>
    <n v="242233026988"/>
    <n v="242233026988"/>
    <n v="242233026988"/>
    <n v="242233026988"/>
    <n v="242233026988"/>
  </r>
  <r>
    <s v="C-2401-0600-63"/>
    <x v="6"/>
    <n v="172797196133"/>
    <n v="172797196133"/>
    <n v="172797196133"/>
    <n v="172797196133"/>
    <n v="172797196133"/>
  </r>
  <r>
    <s v="C-2401-0600-64"/>
    <x v="7"/>
    <n v="186940477824"/>
    <n v="186940477824"/>
    <n v="186940477824"/>
    <n v="186940477824"/>
    <n v="186940477824"/>
  </r>
  <r>
    <s v="C-2401-0600-65"/>
    <x v="8"/>
    <n v="203096408219"/>
    <n v="203096408219"/>
    <n v="203096408219"/>
    <n v="203096408219"/>
    <n v="203096408219"/>
  </r>
  <r>
    <s v="C-2401-0600-66"/>
    <x v="9"/>
    <n v="15000000000"/>
    <n v="9665548057.1399994"/>
    <n v="9665548057.1399994"/>
    <n v="9569571888.0499992"/>
    <n v="9472934972.2200012"/>
  </r>
  <r>
    <s v="C-2401-0600-67"/>
    <x v="10"/>
    <n v="232164420822"/>
    <n v="232164420822"/>
    <n v="232164420822"/>
    <n v="232164420822"/>
    <n v="232164420822"/>
  </r>
  <r>
    <s v="C-2401-0600-68"/>
    <x v="11"/>
    <n v="231825213115"/>
    <n v="231825213115"/>
    <n v="231825213115"/>
    <n v="231825213115"/>
    <n v="231825213115"/>
  </r>
  <r>
    <s v="C-2401-0600-69"/>
    <x v="12"/>
    <n v="126080065359"/>
    <n v="126080065359"/>
    <n v="126080065359"/>
    <n v="126080065359"/>
    <n v="126080065359"/>
  </r>
  <r>
    <s v="C-2401-0600-70"/>
    <x v="13"/>
    <n v="91282312485"/>
    <n v="91282312485"/>
    <n v="91282312485"/>
    <n v="91282312485"/>
    <n v="91282312485"/>
  </r>
  <r>
    <s v="C-2401-0600-71"/>
    <x v="14"/>
    <n v="175214577228"/>
    <n v="175214577228"/>
    <n v="175214577228"/>
    <n v="175214577228"/>
    <n v="175214577228"/>
  </r>
  <r>
    <s v="C-2401-0600-72"/>
    <x v="15"/>
    <n v="113971393414"/>
    <n v="113971393414"/>
    <n v="113971393414"/>
    <n v="109796058849"/>
    <n v="109796058849"/>
  </r>
  <r>
    <s v="C-2401-0600-73"/>
    <x v="16"/>
    <n v="216924287600"/>
    <n v="216924287600"/>
    <n v="216924287600"/>
    <n v="216924287600"/>
    <n v="216924287600"/>
  </r>
  <r>
    <s v="C-2401-0600-74"/>
    <x v="17"/>
    <n v="263086153404"/>
    <n v="263086153404"/>
    <n v="263086153404"/>
    <n v="263086153404"/>
    <n v="263086153404"/>
  </r>
  <r>
    <s v="C-2401-0600-75"/>
    <x v="18"/>
    <n v="138383140985"/>
    <n v="138383140985"/>
    <n v="138383140985"/>
    <n v="138383140985"/>
    <n v="138383140985"/>
  </r>
  <r>
    <s v="C-2401-0600-76"/>
    <x v="19"/>
    <n v="325658709524"/>
    <n v="325658709524"/>
    <n v="325658709524"/>
    <n v="325658709524"/>
    <n v="325658709524"/>
  </r>
  <r>
    <s v="C-2401-0600-77"/>
    <x v="20"/>
    <n v="105602294861"/>
    <n v="105602294861"/>
    <n v="105602294861"/>
    <n v="101620433497"/>
    <n v="101620433497"/>
  </r>
  <r>
    <s v="C-2401-0600-78"/>
    <x v="21"/>
    <n v="331558916195"/>
    <n v="331558916195"/>
    <n v="331558916195"/>
    <n v="331558916195"/>
    <n v="331558916195"/>
  </r>
  <r>
    <s v="C-2401-0600-79"/>
    <x v="22"/>
    <n v="57832800188"/>
    <n v="57832800188"/>
    <n v="57832800188"/>
    <n v="57639326986"/>
    <n v="57639326986"/>
  </r>
  <r>
    <s v="C-2401-0600-80"/>
    <x v="23"/>
    <n v="6649373042"/>
    <n v="6648908339.3599997"/>
    <n v="6648908339.3599997"/>
    <n v="6494370989.3599997"/>
    <n v="6494370989.3599997"/>
  </r>
  <r>
    <s v="C-2403-0600-4"/>
    <x v="24"/>
    <n v="2500000000"/>
    <n v="1841443595.9300001"/>
    <n v="1841443595.9300001"/>
    <n v="1817849766.3299999"/>
    <n v="1804678259.3699999"/>
  </r>
  <r>
    <s v="C-2404-0600-2"/>
    <x v="25"/>
    <n v="176465214000"/>
    <n v="89612123311.5"/>
    <n v="89612123311.5"/>
    <n v="60675249627.68"/>
    <n v="60675249627.68"/>
  </r>
  <r>
    <s v="C-2404-0600-4"/>
    <x v="26"/>
    <n v="800000000"/>
    <n v="532926766.49000001"/>
    <n v="532926766.49000001"/>
    <n v="529127110.79000002"/>
    <n v="525888695.79000002"/>
  </r>
  <r>
    <s v="C-2405-0600-2"/>
    <x v="27"/>
    <n v="1000000000"/>
    <n v="550877313.51999998"/>
    <n v="550877313.51999998"/>
    <n v="1665.52"/>
    <n v="1665.52"/>
  </r>
  <r>
    <s v="C-2405-0600-4"/>
    <x v="28"/>
    <n v="3650000000"/>
    <n v="2703078745.9499998"/>
    <n v="2703078745.9499998"/>
    <n v="2649739353.1399999"/>
    <n v="2625621539.73"/>
  </r>
  <r>
    <s v="C-2499-0600-7"/>
    <x v="29"/>
    <n v="50000000"/>
    <n v="46242400.390000001"/>
    <n v="46242400.390000001"/>
    <n v="31242400.390000001"/>
    <n v="31242400.390000001"/>
  </r>
  <r>
    <s v="C-2499-0600-8"/>
    <x v="30"/>
    <n v="34364957829"/>
    <n v="25487861845.16"/>
    <n v="25487861845.16"/>
    <n v="11068916083.59"/>
    <n v="11026935548.790001"/>
  </r>
  <r>
    <s v="C-2499-0600-9"/>
    <x v="31"/>
    <n v="4000000000"/>
    <n v="3923359610.5100002"/>
    <n v="3923359610.5100002"/>
    <n v="3819100409.5100002"/>
    <n v="3819100409.5100002"/>
  </r>
  <r>
    <s v="C-2499-0600-10"/>
    <x v="32"/>
    <n v="1500000000"/>
    <n v="1482925317.4000001"/>
    <n v="1482925317.4000001"/>
    <n v="993529125.39999998"/>
    <n v="990245637.399999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35.431800000000003"/>
  </r>
  <r>
    <x v="1"/>
    <n v="12462.7184545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35.431800000000003"/>
    <n v="0"/>
    <n v="35.431800000000003"/>
  </r>
  <r>
    <x v="1"/>
    <n v="12575.33097447"/>
    <n v="112.61251987999999"/>
    <n v="12318.718454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18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25">
  <location ref="B6:C10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 APROPIACION_x000a_ VIGENTE" fld="2" baseField="0" baseItem="0" numFmtId="168"/>
  </dataFields>
  <formats count="1">
    <format dxfId="154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1" cacheId="18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30">
  <location ref="B6:F10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COMPROMISOS" fld="4" baseField="2" baseItem="1048829" numFmtId="41"/>
    <dataField name=" OBLIGACIONES" fld="5" baseField="1" baseItem="8"/>
    <dataField name=" PAGOS" fld="6" baseField="1" baseItem="9"/>
  </dataFields>
  <formats count="14">
    <format dxfId="153">
      <pivotArea outline="0" fieldPosition="0">
        <references count="1">
          <reference field="4294967294" count="1">
            <x v="0"/>
          </reference>
        </references>
      </pivotArea>
    </format>
    <format dxfId="152">
      <pivotArea outline="0" fieldPosition="0">
        <references count="1">
          <reference field="4294967294" count="1">
            <x v="2"/>
          </reference>
        </references>
      </pivotArea>
    </format>
    <format dxfId="151">
      <pivotArea outline="0" fieldPosition="0">
        <references count="1">
          <reference field="4294967294" count="1">
            <x v="3"/>
          </reference>
        </references>
      </pivotArea>
    </format>
    <format dxfId="150">
      <pivotArea outline="0" fieldPosition="0">
        <references count="1">
          <reference field="4294967294" count="1">
            <x v="0"/>
          </reference>
        </references>
      </pivotArea>
    </format>
    <format dxfId="149">
      <pivotArea outline="0" fieldPosition="0">
        <references count="1">
          <reference field="4294967294" count="1">
            <x v="2"/>
          </reference>
        </references>
      </pivotArea>
    </format>
    <format dxfId="148">
      <pivotArea outline="0" fieldPosition="0">
        <references count="1">
          <reference field="4294967294" count="1">
            <x v="3"/>
          </reference>
        </references>
      </pivotArea>
    </format>
    <format dxfId="147">
      <pivotArea outline="0" fieldPosition="0">
        <references count="1">
          <reference field="4294967294" count="1">
            <x v="0"/>
          </reference>
        </references>
      </pivotArea>
    </format>
    <format dxfId="146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45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44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43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2">
      <pivotArea outline="0" fieldPosition="0">
        <references count="1">
          <reference field="4294967294" count="1">
            <x v="1"/>
          </reference>
        </references>
      </pivotArea>
    </format>
    <format dxfId="14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0">
      <pivotArea outline="0" collapsedLevelsAreSubtotals="1" fieldPosition="0"/>
    </format>
  </formats>
  <chartFormats count="13"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6">
      <pivotArea type="data" outline="0" fieldPosition="0">
        <references count="2">
          <reference field="4294967294" count="1" selected="0">
            <x v="3"/>
          </reference>
          <reference field="1" count="1" selected="0">
            <x v="0"/>
          </reference>
        </references>
      </pivotArea>
    </chartFormat>
    <chartFormat chart="29" format="17">
      <pivotArea type="data" outline="0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chartFormat>
    <chartFormat chart="29" format="18">
      <pivotArea type="data" outline="0" fieldPosition="0">
        <references count="2">
          <reference field="4294967294" count="1" selected="0">
            <x v="2"/>
          </reference>
          <reference field="1" count="1" selected="0">
            <x v="5"/>
          </reference>
        </references>
      </pivotArea>
    </chartFormat>
    <chartFormat chart="29" format="19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29" format="20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29" format="21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  <chartFormat chart="29" format="22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9" format="23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29" format="24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1" cacheId="18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43">
  <location ref="B6:F11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8">
    <format dxfId="139">
      <pivotArea dataOnly="0" labelOnly="1" fieldPosition="0">
        <references count="1">
          <reference field="1" count="1">
            <x v="4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3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32">
      <pivotArea outline="0" collapsedLevelsAreSubtotals="1" fieldPosition="0"/>
    </format>
  </formats>
  <chartFormats count="22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26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7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8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30" format="29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30" format="30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30" format="3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32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33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3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30" format="35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30" format="3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30" format="3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Dinámica1" cacheId="21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37">
  <location ref="B8:E9" firstHeaderRow="0" firstDataRow="1" firstDataCol="0" rowPageCount="1" colPageCount="1"/>
  <pivotFields count="7">
    <pivotField showAll="0"/>
    <pivotField axis="axisPage" subtotalTop="0" multipleItemSelectionAllowed="1" showAll="0">
      <items count="78">
        <item m="1" x="39"/>
        <item m="1" x="53"/>
        <item m="1" x="54"/>
        <item m="1" x="59"/>
        <item m="1" x="58"/>
        <item m="1" x="34"/>
        <item m="1" x="68"/>
        <item m="1" x="75"/>
        <item m="1" x="50"/>
        <item m="1" x="48"/>
        <item m="1" x="69"/>
        <item m="1" x="71"/>
        <item m="1" x="41"/>
        <item m="1" x="35"/>
        <item m="1" x="65"/>
        <item m="1" x="47"/>
        <item m="1" x="57"/>
        <item m="1" x="63"/>
        <item m="1" x="51"/>
        <item m="1" x="40"/>
        <item m="1" x="45"/>
        <item x="1"/>
        <item m="1" x="33"/>
        <item m="1" x="36"/>
        <item m="1" x="55"/>
        <item x="25"/>
        <item m="1" x="74"/>
        <item m="1" x="49"/>
        <item m="1" x="60"/>
        <item m="1" x="56"/>
        <item m="1" x="37"/>
        <item m="1" x="44"/>
        <item m="1" x="38"/>
        <item m="1" x="52"/>
        <item m="1" x="61"/>
        <item m="1" x="66"/>
        <item m="1" x="62"/>
        <item x="2"/>
        <item x="3"/>
        <item x="4"/>
        <item m="1" x="42"/>
        <item x="6"/>
        <item x="7"/>
        <item x="8"/>
        <item m="1" x="46"/>
        <item x="10"/>
        <item m="1" x="43"/>
        <item m="1" x="72"/>
        <item m="1" x="73"/>
        <item x="14"/>
        <item m="1" x="67"/>
        <item x="16"/>
        <item x="17"/>
        <item x="18"/>
        <item x="19"/>
        <item x="20"/>
        <item m="1" x="64"/>
        <item x="22"/>
        <item m="1" x="76"/>
        <item m="1" x="70"/>
        <item x="28"/>
        <item x="0"/>
        <item x="5"/>
        <item x="9"/>
        <item x="11"/>
        <item x="12"/>
        <item x="13"/>
        <item x="15"/>
        <item x="21"/>
        <item x="23"/>
        <item x="24"/>
        <item x="26"/>
        <item x="27"/>
        <item x="29"/>
        <item x="30"/>
        <item x="31"/>
        <item x="32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1 APROPIACION_x000a_ VIGENTE" fld="2" baseField="0" baseItem="0"/>
    <dataField name="2 COMPROMISOS_x000a_ ACUMULADOS" fld="4" baseField="0" baseItem="0"/>
    <dataField name="3 OBLIGACIONES_x000a_ ACUMULADAS" fld="5" baseField="0" baseItem="0" numFmtId="166"/>
    <dataField name=" PAGOS_x000a_ ACUMULADOS" fld="6" baseField="0" baseItem="0" numFmtId="166"/>
  </dataFields>
  <formats count="8">
    <format dxfId="131">
      <pivotArea collapsedLevelsAreSubtotals="1" fieldPosition="0">
        <references count="1">
          <reference field="1" count="0"/>
        </references>
      </pivotArea>
    </format>
    <format dxfId="130">
      <pivotArea grandRow="1" outline="0" collapsedLevelsAreSubtotals="1" fieldPosition="0"/>
    </format>
    <format dxfId="129">
      <pivotArea collapsedLevelsAreSubtotals="1" fieldPosition="0">
        <references count="1">
          <reference field="1" count="0"/>
        </references>
      </pivotArea>
    </format>
    <format dxfId="128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127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126">
      <pivotArea dataOnly="0" outline="0" fieldPosition="0">
        <references count="1">
          <reference field="1" count="0"/>
        </references>
      </pivotArea>
    </format>
    <format dxfId="125">
      <pivotArea field="1" type="button" dataOnly="0" labelOnly="1" outline="0" axis="axisPage" fieldPosition="0"/>
    </format>
    <format dxfId="124">
      <pivotArea outline="0" collapsedLevelsAreSubtotals="1" fieldPosition="0"/>
    </format>
  </formats>
  <chartFormats count="8">
    <chartFormat chart="3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7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Dinámica4" cacheId="27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1">
  <location ref="B8:C11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Reservas Vigentes" fld="1" baseField="0" baseItem="0" numFmtId="43"/>
  </dataFields>
  <formats count="8">
    <format dxfId="123">
      <pivotArea collapsedLevelsAreSubtotals="1" fieldPosition="0">
        <references count="1">
          <reference field="0" count="0"/>
        </references>
      </pivotArea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field="0" type="button" dataOnly="0" labelOnly="1" outline="0" axis="axisRow" fieldPosition="0"/>
    </format>
    <format dxfId="119">
      <pivotArea dataOnly="0" labelOnly="1" outline="0" axis="axisValues" fieldPosition="0"/>
    </format>
    <format dxfId="118">
      <pivotArea dataOnly="0" labelOnly="1" fieldPosition="0">
        <references count="1">
          <reference field="0" count="0"/>
        </references>
      </pivotArea>
    </format>
    <format dxfId="117">
      <pivotArea dataOnly="0" labelOnly="1" grandRow="1" outline="0" fieldPosition="0"/>
    </format>
    <format dxfId="116">
      <pivotArea dataOnly="0" labelOnly="1" outline="0" axis="axisValues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aDinámica2" cacheId="36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6" rowHeaderCaption="CONCEPTO">
  <location ref="B6:E9" firstHeaderRow="0" firstDataRow="1" firstDataCol="1"/>
  <pivotFields count="4">
    <pivotField axis="axisRow" showAll="0">
      <items count="4">
        <item x="0"/>
        <item m="1" x="2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2">
    <format dxfId="104">
      <pivotArea type="all" dataOnly="0" outline="0" fieldPosition="0"/>
    </format>
    <format dxfId="103">
      <pivotArea outline="0" collapsedLevelsAreSubtotals="1" fieldPosition="0"/>
    </format>
    <format dxfId="102">
      <pivotArea field="0" type="button" dataOnly="0" labelOnly="1" outline="0" axis="axisRow" fieldPosition="0"/>
    </format>
    <format dxfId="101">
      <pivotArea dataOnly="0" labelOnly="1" fieldPosition="0">
        <references count="1">
          <reference field="0" count="0"/>
        </references>
      </pivotArea>
    </format>
    <format dxfId="100">
      <pivotArea dataOnly="0" labelOnly="1" grandRow="1" outline="0" fieldPosition="0"/>
    </format>
    <format dxfId="9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8">
      <pivotArea field="0" type="button" dataOnly="0" labelOnly="1" outline="0" axis="axisRow" fieldPosition="0"/>
    </format>
    <format dxfId="9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6">
      <pivotArea field="0" type="button" dataOnly="0" labelOnly="1" outline="0" axis="axisRow" fieldPosition="0"/>
    </format>
    <format dxfId="9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4">
      <pivotArea field="0" type="button" dataOnly="0" labelOnly="1" outline="0" axis="axisRow" fieldPosition="0"/>
    </format>
    <format dxfId="9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7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0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TablaDinámica5" cacheId="36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7" rowHeaderCaption="CONCEPTO">
  <location ref="B31:D32" firstHeaderRow="0" firstDataRow="1" firstDataCol="0"/>
  <pivotFields count="4">
    <pivotField showAll="0">
      <items count="4">
        <item x="0"/>
        <item m="1" x="2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1">
    <format dxfId="115">
      <pivotArea type="all" dataOnly="0" outline="0" fieldPosition="0"/>
    </format>
    <format dxfId="114">
      <pivotArea outline="0" collapsedLevelsAreSubtotals="1" fieldPosition="0"/>
    </format>
    <format dxfId="113">
      <pivotArea field="0" type="button" dataOnly="0" labelOnly="1" outline="0"/>
    </format>
    <format dxfId="112">
      <pivotArea dataOnly="0" labelOnly="1" grandRow="1" outline="0" fieldPosition="0"/>
    </format>
    <format dxfId="1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0">
      <pivotArea field="0" type="button" dataOnly="0" labelOnly="1" outline="0"/>
    </format>
    <format dxfId="10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8">
      <pivotArea field="0" type="button" dataOnly="0" labelOnly="1" outline="0"/>
    </format>
    <format dxfId="10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6">
      <pivotArea field="0" type="button" dataOnly="0" labelOnly="1" outline="0"/>
    </format>
    <format dxfId="10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4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6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7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B8:B17"/>
  <sheetViews>
    <sheetView showGridLines="0" showRowColHeaders="0" tabSelected="1" workbookViewId="0"/>
  </sheetViews>
  <sheetFormatPr baseColWidth="10" defaultRowHeight="15" x14ac:dyDescent="0.25"/>
  <cols>
    <col min="1" max="1" width="16.7109375" customWidth="1"/>
    <col min="2" max="2" width="165.5703125" bestFit="1" customWidth="1"/>
  </cols>
  <sheetData>
    <row r="8" spans="2:2" ht="36" x14ac:dyDescent="0.55000000000000004">
      <c r="B8" s="76" t="s">
        <v>98</v>
      </c>
    </row>
    <row r="9" spans="2:2" ht="36" x14ac:dyDescent="0.55000000000000004">
      <c r="B9" s="74" t="s">
        <v>47</v>
      </c>
    </row>
    <row r="10" spans="2:2" ht="36" x14ac:dyDescent="0.55000000000000004">
      <c r="B10" s="74" t="s">
        <v>138</v>
      </c>
    </row>
    <row r="11" spans="2:2" ht="36" x14ac:dyDescent="0.55000000000000004">
      <c r="B11" s="74" t="s">
        <v>48</v>
      </c>
    </row>
    <row r="12" spans="2:2" ht="36" x14ac:dyDescent="0.55000000000000004">
      <c r="B12" s="74" t="s">
        <v>49</v>
      </c>
    </row>
    <row r="13" spans="2:2" ht="36" x14ac:dyDescent="0.55000000000000004">
      <c r="B13" s="75"/>
    </row>
    <row r="14" spans="2:2" ht="36" x14ac:dyDescent="0.55000000000000004">
      <c r="B14" s="76" t="s">
        <v>99</v>
      </c>
    </row>
    <row r="15" spans="2:2" ht="36" x14ac:dyDescent="0.55000000000000004">
      <c r="B15" s="74" t="s">
        <v>100</v>
      </c>
    </row>
    <row r="16" spans="2:2" ht="36" x14ac:dyDescent="0.55000000000000004">
      <c r="B16" s="74" t="s">
        <v>99</v>
      </c>
    </row>
    <row r="17" spans="2:2" ht="36" x14ac:dyDescent="0.55000000000000004">
      <c r="B17" s="13"/>
    </row>
  </sheetData>
  <hyperlinks>
    <hyperlink ref="B9" location="'Participación Apropiación '!A1" display="Porcentaje Participación de la apropiación  por concepto de Gasto" xr:uid="{00000000-0004-0000-0000-000000000000}"/>
    <hyperlink ref="B10" location="'APR VS RP  Y OBLIGACIÓN Y PAGO'!A1" display="Ejecución Acumulada al  31/05/2019" xr:uid="{00000000-0004-0000-0000-000001000000}"/>
    <hyperlink ref="B11" location="'APR,RP´S,OBL Y PAGO FUNCIONAMIE'!A1" display="Comparativo presupuesto de Funcionamiento " xr:uid="{00000000-0004-0000-0000-000002000000}"/>
    <hyperlink ref="B12" location="'INVERSIÓN APR VS RP Y OBLI'!A1" display="Detalle Ejecución Preupuestal por Proyecto de Inversión " xr:uid="{00000000-0004-0000-0000-000003000000}"/>
    <hyperlink ref="B16" location="'EJECUCIÓN  RESERVA'!A1" display="Ejecución Reserva Presupuestal Constituida" xr:uid="{00000000-0004-0000-0000-000004000000}"/>
    <hyperlink ref="B15" location="'Participación por Concepto'!A1" display="Porcentaje Participación de la Reserva por Concepto de Gasto" xr:uid="{00000000-0004-0000-0000-000005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6:N75"/>
  <sheetViews>
    <sheetView showGridLines="0" showRowColHeaders="0" topLeftCell="C36" zoomScale="99" workbookViewId="0">
      <selection activeCell="J52" sqref="J52"/>
    </sheetView>
  </sheetViews>
  <sheetFormatPr baseColWidth="10" defaultRowHeight="15" outlineLevelRow="2" x14ac:dyDescent="0.25"/>
  <cols>
    <col min="2" max="2" width="14.28515625" bestFit="1" customWidth="1"/>
    <col min="3" max="3" width="26" bestFit="1" customWidth="1"/>
    <col min="4" max="4" width="14.140625" bestFit="1" customWidth="1"/>
    <col min="5" max="5" width="14.140625" customWidth="1"/>
    <col min="6" max="6" width="11.5703125" bestFit="1" customWidth="1"/>
  </cols>
  <sheetData>
    <row r="6" spans="2:10" ht="90" x14ac:dyDescent="0.25">
      <c r="B6" s="71" t="s">
        <v>95</v>
      </c>
      <c r="C6" s="72" t="s">
        <v>94</v>
      </c>
      <c r="D6" s="72" t="s">
        <v>96</v>
      </c>
      <c r="E6" s="72" t="s">
        <v>97</v>
      </c>
      <c r="F6" s="24"/>
    </row>
    <row r="7" spans="2:10" x14ac:dyDescent="0.25">
      <c r="B7" s="70" t="s">
        <v>27</v>
      </c>
      <c r="C7" s="69">
        <v>35.431800000000003</v>
      </c>
      <c r="D7" s="69">
        <v>0</v>
      </c>
      <c r="E7" s="69">
        <v>35.431800000000003</v>
      </c>
      <c r="F7" s="83"/>
    </row>
    <row r="8" spans="2:10" x14ac:dyDescent="0.25">
      <c r="B8" s="70" t="s">
        <v>137</v>
      </c>
      <c r="C8" s="69">
        <v>12575.33097447</v>
      </c>
      <c r="D8" s="69">
        <v>112.61251987999999</v>
      </c>
      <c r="E8" s="69">
        <v>12318.71845459</v>
      </c>
      <c r="F8" s="84"/>
    </row>
    <row r="9" spans="2:10" x14ac:dyDescent="0.25">
      <c r="B9" s="70" t="s">
        <v>6</v>
      </c>
      <c r="C9" s="69">
        <v>12610.76277447</v>
      </c>
      <c r="D9" s="69">
        <v>112.61251987999999</v>
      </c>
      <c r="E9" s="69">
        <v>12354.15025459</v>
      </c>
    </row>
    <row r="10" spans="2:10" x14ac:dyDescent="0.25">
      <c r="B10" s="70"/>
      <c r="C10" s="69"/>
      <c r="D10" s="69"/>
      <c r="E10" s="69"/>
    </row>
    <row r="11" spans="2:10" ht="18.75" x14ac:dyDescent="0.3">
      <c r="B11" s="103" t="s">
        <v>104</v>
      </c>
      <c r="C11" s="103"/>
      <c r="D11" s="103"/>
      <c r="E11" s="103"/>
      <c r="F11" s="103"/>
      <c r="G11" s="103"/>
    </row>
    <row r="12" spans="2:10" x14ac:dyDescent="0.25">
      <c r="H12" s="5"/>
      <c r="J12" s="5"/>
    </row>
    <row r="14" spans="2:10" x14ac:dyDescent="0.25">
      <c r="E14" s="18"/>
      <c r="F14" s="18"/>
    </row>
    <row r="15" spans="2:10" x14ac:dyDescent="0.25">
      <c r="E15" s="18"/>
      <c r="F15" s="18"/>
    </row>
    <row r="16" spans="2:10" x14ac:dyDescent="0.25">
      <c r="B16" s="81"/>
      <c r="C16" s="81"/>
      <c r="D16" s="81"/>
      <c r="E16" s="82"/>
      <c r="F16" s="82"/>
    </row>
    <row r="17" spans="1:14" x14ac:dyDescent="0.25">
      <c r="B17" s="81"/>
      <c r="C17" s="81"/>
      <c r="D17" s="81"/>
      <c r="E17" s="82"/>
      <c r="F17" s="82"/>
    </row>
    <row r="18" spans="1:14" x14ac:dyDescent="0.25">
      <c r="A18" s="18"/>
      <c r="B18" s="81"/>
      <c r="C18" s="81"/>
      <c r="D18" s="81"/>
      <c r="E18" s="82"/>
      <c r="F18" s="82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8"/>
      <c r="B19" s="81"/>
      <c r="C19" s="81"/>
      <c r="D19" s="81"/>
      <c r="E19" s="82"/>
      <c r="F19" s="82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18"/>
      <c r="B20" s="81"/>
      <c r="C20" s="81"/>
      <c r="D20" s="81"/>
      <c r="E20" s="82"/>
      <c r="F20" s="82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18"/>
      <c r="B21" s="81"/>
      <c r="C21" s="81"/>
      <c r="D21" s="81"/>
      <c r="E21" s="82"/>
      <c r="F21" s="82"/>
      <c r="G21" s="18"/>
      <c r="H21" s="18"/>
      <c r="I21" s="18"/>
      <c r="J21" s="18"/>
      <c r="K21" s="18"/>
      <c r="L21" s="18"/>
      <c r="M21" s="18"/>
      <c r="N21" s="18"/>
    </row>
    <row r="22" spans="1:14" x14ac:dyDescent="0.25">
      <c r="A22" s="18"/>
      <c r="B22" s="81"/>
      <c r="C22" s="81"/>
      <c r="D22" s="81"/>
      <c r="E22" s="82"/>
      <c r="F22" s="82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81"/>
      <c r="C23" s="81"/>
      <c r="D23" s="81"/>
      <c r="E23" s="82"/>
      <c r="F23" s="82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81"/>
      <c r="C24" s="81"/>
      <c r="D24" s="81"/>
      <c r="E24" s="82"/>
      <c r="F24" s="82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81"/>
      <c r="C25" s="81"/>
      <c r="D25" s="81"/>
      <c r="E25" s="82"/>
      <c r="F25" s="82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82"/>
      <c r="C26" s="82"/>
      <c r="D26" s="82"/>
      <c r="E26" s="82"/>
      <c r="F26" s="82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8.75" x14ac:dyDescent="0.3">
      <c r="A28" s="18"/>
      <c r="B28" s="102" t="s">
        <v>103</v>
      </c>
      <c r="C28" s="102"/>
      <c r="D28" s="102"/>
      <c r="E28" s="102"/>
      <c r="F28" s="102"/>
      <c r="G28" s="18"/>
      <c r="H28" s="18"/>
      <c r="I28" s="18"/>
      <c r="J28" s="18"/>
      <c r="K28" s="18"/>
      <c r="L28" s="18"/>
      <c r="M28" s="18"/>
      <c r="N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60" hidden="1" outlineLevel="2" x14ac:dyDescent="0.25">
      <c r="A31" s="18"/>
      <c r="B31" s="72" t="s">
        <v>94</v>
      </c>
      <c r="C31" s="72" t="s">
        <v>96</v>
      </c>
      <c r="D31" s="72" t="s">
        <v>97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1:14" hidden="1" outlineLevel="2" x14ac:dyDescent="0.25">
      <c r="A32" s="18"/>
      <c r="B32" s="69">
        <v>12610.76277447</v>
      </c>
      <c r="C32" s="69">
        <v>112.61251987999999</v>
      </c>
      <c r="D32" s="69">
        <v>12354.15025459</v>
      </c>
      <c r="F32" s="18"/>
      <c r="G32" s="18"/>
      <c r="H32" s="18"/>
      <c r="I32" s="18"/>
      <c r="J32" s="18"/>
      <c r="K32" s="18"/>
      <c r="L32" s="18"/>
      <c r="M32" s="18"/>
      <c r="N32" s="18"/>
    </row>
    <row r="33" spans="1:14" collapsed="1" x14ac:dyDescent="0.25">
      <c r="A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A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5">
      <c r="A42" s="18"/>
      <c r="B42" s="40"/>
      <c r="C42" s="40"/>
      <c r="D42" s="40"/>
      <c r="E42" s="40"/>
      <c r="F42" s="40"/>
      <c r="G42" s="18"/>
      <c r="H42" s="18"/>
      <c r="I42" s="18"/>
      <c r="J42" s="18"/>
      <c r="K42" s="18"/>
      <c r="L42" s="18"/>
      <c r="M42" s="18"/>
      <c r="N42" s="18"/>
    </row>
    <row r="43" spans="1:14" x14ac:dyDescent="0.25">
      <c r="A43" s="18"/>
      <c r="B43" s="40"/>
      <c r="C43" s="40"/>
      <c r="D43" s="40"/>
      <c r="E43" s="40"/>
      <c r="F43" s="40"/>
      <c r="G43" s="18"/>
      <c r="H43" s="18"/>
      <c r="I43" s="18"/>
      <c r="J43" s="18"/>
      <c r="K43" s="18"/>
      <c r="L43" s="18"/>
      <c r="M43" s="18"/>
      <c r="N43" s="18"/>
    </row>
    <row r="44" spans="1:14" hidden="1" outlineLevel="1" x14ac:dyDescent="0.25">
      <c r="A44" s="18"/>
      <c r="B44" s="42" t="s">
        <v>95</v>
      </c>
      <c r="C44" s="42" t="s">
        <v>94</v>
      </c>
      <c r="D44" s="42" t="s">
        <v>96</v>
      </c>
      <c r="E44" s="42" t="s">
        <v>97</v>
      </c>
      <c r="F44" s="42"/>
      <c r="G44" s="18"/>
      <c r="H44" s="18"/>
      <c r="I44" s="18"/>
      <c r="J44" s="18"/>
      <c r="K44" s="18"/>
      <c r="L44" s="18"/>
      <c r="M44" s="18"/>
      <c r="N44" s="18"/>
    </row>
    <row r="45" spans="1:14" hidden="1" outlineLevel="1" x14ac:dyDescent="0.25">
      <c r="A45" s="18"/>
      <c r="B45" s="43" t="s">
        <v>27</v>
      </c>
      <c r="C45" s="79">
        <v>35.431800000000003</v>
      </c>
      <c r="D45" s="87">
        <f>+GETPIVOTDATA("CANCELACIONES RESERVAS PRESUPUESTALES
 ",$B$6,"DENOMINACIÓN DEL CÓDIGO PRESUPUESTAL
","A-FUNCIONAMIENTO")/GETPIVOTDATA("RESERVAS CONSTITUIDAS
",$B$6,"DENOMINACIÓN DEL CÓDIGO PRESUPUESTAL
","A-FUNCIONAMIENTO")</f>
        <v>0</v>
      </c>
      <c r="E45" s="87">
        <f>+GETPIVOTDATA("RESERVAS CONSTITUIDAS
",$B$6,"DENOMINACIÓN DEL CÓDIGO PRESUPUESTAL
","A-FUNCIONAMIENTO")/GETPIVOTDATA("PAGOS
ACUMULADOS
",$B$6,"DENOMINACIÓN DEL CÓDIGO PRESUPUESTAL
","A-FUNCIONAMIENTO")</f>
        <v>1</v>
      </c>
      <c r="F45" s="45"/>
      <c r="G45" s="18"/>
      <c r="H45" s="18"/>
      <c r="I45" s="18"/>
      <c r="J45" s="18"/>
      <c r="K45" s="18"/>
      <c r="L45" s="18"/>
      <c r="M45" s="18"/>
      <c r="N45" s="18"/>
    </row>
    <row r="46" spans="1:14" hidden="1" outlineLevel="1" x14ac:dyDescent="0.25">
      <c r="A46" s="40"/>
      <c r="B46" s="43" t="s">
        <v>137</v>
      </c>
      <c r="C46" s="79">
        <v>12575.330974470002</v>
      </c>
      <c r="D46" s="87">
        <f>+GETPIVOTDATA("CANCELACIONES RESERVAS PRESUPUESTALES
 ",$B$6,"DENOMINACIÓN DEL CÓDIGO PRESUPUESTAL
","C-INVERSIÓN")/GETPIVOTDATA("RESERVAS CONSTITUIDAS
",$B$6,"DENOMINACIÓN DEL CÓDIGO PRESUPUESTAL
","C-INVERSIÓN")</f>
        <v>8.9550342737397537E-3</v>
      </c>
      <c r="E46" s="47">
        <f>+GETPIVOTDATA("PAGOS
ACUMULADOS
",$B$6,"DENOMINACIÓN DEL CÓDIGO PRESUPUESTAL
","C-INVERSIÓN")/GETPIVOTDATA("RESERVAS CONSTITUIDAS
",$B$6,"DENOMINACIÓN DEL CÓDIGO PRESUPUESTAL
","C-INVERSIÓN")</f>
        <v>0.97959397487024669</v>
      </c>
      <c r="F46" s="45"/>
      <c r="G46" s="40"/>
      <c r="H46" s="40"/>
      <c r="I46" s="40"/>
      <c r="J46" s="18"/>
      <c r="K46" s="18"/>
      <c r="L46" s="18"/>
      <c r="M46" s="18"/>
      <c r="N46" s="18"/>
    </row>
    <row r="47" spans="1:14" hidden="1" outlineLevel="1" x14ac:dyDescent="0.25">
      <c r="A47" s="40"/>
      <c r="B47" s="43" t="s">
        <v>6</v>
      </c>
      <c r="C47" s="80">
        <f>+C45+C46</f>
        <v>12610.762774470002</v>
      </c>
      <c r="D47" s="47">
        <f>+GETPIVOTDATA("CANCELACIONES RESERVAS PRESUPUESTALES
 ",$B$6)/GETPIVOTDATA("RESERVAS CONSTITUIDAS
",$B$6)</f>
        <v>8.9298737827326093E-3</v>
      </c>
      <c r="E47" s="47">
        <f>+GETPIVOTDATA("PAGOS
ACUMULADOS
",$B$6)/GETPIVOTDATA("RESERVAS CONSTITUIDAS
",$B$6)</f>
        <v>0.97965130861080807</v>
      </c>
      <c r="F47" s="47"/>
      <c r="G47" s="40"/>
      <c r="H47" s="40"/>
      <c r="I47" s="40"/>
      <c r="J47" s="20"/>
      <c r="K47" s="20"/>
      <c r="L47" s="18"/>
      <c r="M47" s="18"/>
      <c r="N47" s="18"/>
    </row>
    <row r="48" spans="1:14" s="11" customFormat="1" collapsed="1" x14ac:dyDescent="0.25">
      <c r="A48" s="41"/>
      <c r="B48" s="48"/>
      <c r="C48" s="49"/>
      <c r="D48" s="50"/>
      <c r="E48" s="51"/>
      <c r="F48" s="51"/>
      <c r="G48" s="41"/>
      <c r="H48" s="41"/>
      <c r="I48" s="41"/>
      <c r="L48" s="28"/>
      <c r="M48" s="28"/>
      <c r="N48" s="28"/>
    </row>
    <row r="49" spans="1:14" s="11" customFormat="1" x14ac:dyDescent="0.25">
      <c r="A49" s="41"/>
      <c r="B49" s="41"/>
      <c r="C49" s="41"/>
      <c r="D49" s="41"/>
      <c r="E49" s="41"/>
      <c r="F49" s="41"/>
      <c r="G49" s="41"/>
      <c r="H49" s="41"/>
      <c r="I49" s="41"/>
      <c r="L49" s="28"/>
      <c r="M49" s="28"/>
      <c r="N49" s="28"/>
    </row>
    <row r="50" spans="1:14" s="11" customFormat="1" x14ac:dyDescent="0.25">
      <c r="A50" s="41"/>
      <c r="B50" s="40"/>
      <c r="C50" s="40"/>
      <c r="D50" s="40"/>
      <c r="E50" s="40"/>
      <c r="F50" s="40"/>
      <c r="G50" s="41"/>
      <c r="H50" s="41"/>
      <c r="I50" s="41"/>
      <c r="L50" s="28"/>
      <c r="M50" s="28"/>
      <c r="N50" s="28"/>
    </row>
    <row r="51" spans="1:14" s="11" customFormat="1" x14ac:dyDescent="0.25">
      <c r="A51" s="41"/>
      <c r="B51" s="40"/>
      <c r="C51" s="40"/>
      <c r="D51" s="40"/>
      <c r="E51" s="40"/>
      <c r="F51" s="40"/>
      <c r="G51" s="41"/>
      <c r="H51" s="41"/>
      <c r="I51" s="41"/>
      <c r="L51" s="28"/>
      <c r="M51" s="28"/>
      <c r="N51" s="28"/>
    </row>
    <row r="52" spans="1:14" s="11" customFormat="1" x14ac:dyDescent="0.25">
      <c r="A52" s="41"/>
      <c r="B52" s="40"/>
      <c r="C52" s="40"/>
      <c r="D52" s="40"/>
      <c r="E52" s="40"/>
      <c r="F52" s="40"/>
      <c r="G52" s="41"/>
      <c r="H52" s="41"/>
      <c r="I52" s="41"/>
      <c r="L52" s="28"/>
      <c r="M52" s="28"/>
      <c r="N52" s="28"/>
    </row>
    <row r="53" spans="1:14" s="11" customFormat="1" x14ac:dyDescent="0.25">
      <c r="A53" s="41"/>
      <c r="B53" s="40"/>
      <c r="C53" s="40"/>
      <c r="D53" s="40"/>
      <c r="E53" s="40"/>
      <c r="F53" s="40"/>
      <c r="G53" s="41"/>
      <c r="H53" s="41"/>
      <c r="I53" s="41"/>
      <c r="L53" s="29"/>
      <c r="M53" s="29"/>
      <c r="N53" s="29"/>
    </row>
    <row r="54" spans="1:14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20"/>
      <c r="K54" s="20"/>
      <c r="L54" s="30"/>
      <c r="M54" s="30"/>
      <c r="N54" s="30"/>
    </row>
    <row r="55" spans="1:14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20"/>
      <c r="K55" s="20"/>
      <c r="L55" s="30"/>
      <c r="M55" s="30"/>
      <c r="N55" s="30"/>
    </row>
    <row r="56" spans="1:14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20"/>
      <c r="K56" s="20"/>
      <c r="L56" s="30"/>
      <c r="M56" s="30"/>
      <c r="N56" s="30"/>
    </row>
    <row r="57" spans="1:14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20"/>
      <c r="K57" s="20"/>
      <c r="L57" s="30"/>
      <c r="M57" s="30"/>
      <c r="N57" s="30"/>
    </row>
    <row r="58" spans="1:14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20"/>
      <c r="K58" s="20"/>
      <c r="L58" s="30"/>
      <c r="M58" s="30"/>
      <c r="N58" s="30"/>
    </row>
    <row r="59" spans="1:14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20"/>
      <c r="K59" s="20"/>
      <c r="L59" s="30"/>
      <c r="M59" s="30"/>
      <c r="N59" s="30"/>
    </row>
    <row r="60" spans="1:14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20"/>
      <c r="K60" s="20"/>
      <c r="L60" s="30"/>
      <c r="M60" s="30"/>
      <c r="N60" s="30"/>
    </row>
    <row r="61" spans="1:14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20"/>
      <c r="K61" s="20"/>
      <c r="L61" s="30"/>
      <c r="M61" s="30"/>
      <c r="N61" s="30"/>
    </row>
    <row r="62" spans="1:14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20"/>
      <c r="K62" s="20"/>
      <c r="L62" s="30"/>
      <c r="M62" s="30"/>
      <c r="N62" s="30"/>
    </row>
    <row r="63" spans="1:14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20"/>
      <c r="K63" s="20"/>
      <c r="L63" s="30"/>
      <c r="M63" s="30"/>
      <c r="N63" s="30"/>
    </row>
    <row r="64" spans="1:14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26"/>
      <c r="K64" s="30"/>
      <c r="L64" s="30"/>
      <c r="M64" s="30"/>
      <c r="N64" s="30"/>
    </row>
    <row r="65" spans="1:14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26"/>
      <c r="K65" s="30"/>
      <c r="L65" s="30"/>
      <c r="M65" s="30"/>
      <c r="N65" s="30"/>
    </row>
    <row r="66" spans="1:14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26"/>
      <c r="K66" s="30"/>
      <c r="L66" s="30"/>
      <c r="M66" s="30"/>
      <c r="N66" s="30"/>
    </row>
    <row r="67" spans="1:14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27"/>
    </row>
    <row r="68" spans="1:14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20"/>
    </row>
    <row r="69" spans="1:14" x14ac:dyDescent="0.25">
      <c r="A69" s="40"/>
      <c r="B69" s="40"/>
      <c r="C69" s="40"/>
      <c r="D69" s="40"/>
      <c r="E69" s="40"/>
      <c r="F69" s="40"/>
      <c r="G69" s="40"/>
      <c r="H69" s="40"/>
      <c r="I69" s="40"/>
    </row>
    <row r="70" spans="1:14" x14ac:dyDescent="0.25">
      <c r="A70" s="40"/>
      <c r="B70" s="40"/>
      <c r="C70" s="40"/>
      <c r="D70" s="40"/>
      <c r="E70" s="40"/>
      <c r="F70" s="40"/>
      <c r="G70" s="40"/>
      <c r="H70" s="40"/>
      <c r="I70" s="40"/>
    </row>
    <row r="71" spans="1:14" x14ac:dyDescent="0.25">
      <c r="A71" s="40"/>
      <c r="B71" s="14"/>
      <c r="C71" s="14"/>
      <c r="D71" s="14"/>
      <c r="E71" s="14"/>
      <c r="F71" s="14"/>
      <c r="G71" s="40"/>
      <c r="H71" s="40"/>
      <c r="I71" s="40"/>
    </row>
    <row r="72" spans="1:14" x14ac:dyDescent="0.25">
      <c r="A72" s="40"/>
      <c r="G72" s="40"/>
      <c r="H72" s="40"/>
      <c r="I72" s="40"/>
    </row>
    <row r="73" spans="1:14" x14ac:dyDescent="0.25">
      <c r="A73" s="40"/>
      <c r="G73" s="40"/>
      <c r="H73" s="40"/>
      <c r="I73" s="40"/>
    </row>
    <row r="74" spans="1:14" x14ac:dyDescent="0.25">
      <c r="A74" s="40"/>
      <c r="G74" s="40"/>
      <c r="H74" s="40"/>
      <c r="I74" s="40"/>
    </row>
    <row r="75" spans="1:14" x14ac:dyDescent="0.25">
      <c r="A75" s="14"/>
      <c r="G75" s="14"/>
      <c r="H75" s="14"/>
      <c r="I75" s="14"/>
    </row>
  </sheetData>
  <mergeCells count="2">
    <mergeCell ref="B28:F28"/>
    <mergeCell ref="B11:G11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B6:F39"/>
  <sheetViews>
    <sheetView showGridLines="0" showRowColHeaders="0" topLeftCell="A7" zoomScaleNormal="100" workbookViewId="0"/>
  </sheetViews>
  <sheetFormatPr baseColWidth="10" defaultRowHeight="15" x14ac:dyDescent="0.25"/>
  <cols>
    <col min="2" max="2" width="31.140625" bestFit="1" customWidth="1"/>
    <col min="3" max="3" width="23.5703125" customWidth="1"/>
  </cols>
  <sheetData>
    <row r="6" spans="2:6" x14ac:dyDescent="0.25">
      <c r="B6" s="4" t="s">
        <v>5</v>
      </c>
      <c r="C6" t="s">
        <v>22</v>
      </c>
    </row>
    <row r="7" spans="2:6" x14ac:dyDescent="0.25">
      <c r="B7" s="2" t="s">
        <v>27</v>
      </c>
      <c r="C7" s="24">
        <v>101565.565</v>
      </c>
    </row>
    <row r="8" spans="2:6" x14ac:dyDescent="0.25">
      <c r="B8" s="2" t="s">
        <v>28</v>
      </c>
      <c r="C8" s="24">
        <v>969198.47086200002</v>
      </c>
    </row>
    <row r="9" spans="2:6" x14ac:dyDescent="0.25">
      <c r="B9" s="2" t="s">
        <v>29</v>
      </c>
      <c r="C9" s="24">
        <v>4237527.2563049998</v>
      </c>
    </row>
    <row r="10" spans="2:6" x14ac:dyDescent="0.25">
      <c r="B10" s="2" t="s">
        <v>6</v>
      </c>
      <c r="C10" s="24">
        <v>5308291.2921669995</v>
      </c>
    </row>
    <row r="12" spans="2:6" x14ac:dyDescent="0.25">
      <c r="F12" s="5"/>
    </row>
    <row r="38" ht="14.25" customHeight="1" x14ac:dyDescent="0.25"/>
    <row r="39" hidden="1" x14ac:dyDescent="0.25"/>
  </sheetData>
  <pageMargins left="0.70866141732283472" right="0.70866141732283472" top="0.74803149606299213" bottom="0.74803149606299213" header="0.31496062992125984" footer="0.31496062992125984"/>
  <pageSetup scale="74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topLeftCell="B9" workbookViewId="0">
      <selection activeCell="C24" sqref="C24"/>
    </sheetView>
  </sheetViews>
  <sheetFormatPr baseColWidth="10" defaultRowHeight="15" x14ac:dyDescent="0.25"/>
  <cols>
    <col min="1" max="1" width="28.7109375" style="3" customWidth="1"/>
    <col min="2" max="2" width="46" customWidth="1"/>
    <col min="3" max="3" width="29" style="1" customWidth="1"/>
    <col min="4" max="5" width="26.7109375" style="1" bestFit="1" customWidth="1"/>
    <col min="6" max="6" width="27" style="1" customWidth="1"/>
    <col min="7" max="7" width="26.28515625" style="1" customWidth="1"/>
    <col min="8" max="8" width="24.42578125" bestFit="1" customWidth="1"/>
    <col min="9" max="9" width="16.28515625" bestFit="1" customWidth="1"/>
  </cols>
  <sheetData>
    <row r="1" spans="1:7" ht="30" x14ac:dyDescent="0.25">
      <c r="A1" s="32" t="s">
        <v>0</v>
      </c>
      <c r="B1" s="32" t="s">
        <v>1</v>
      </c>
      <c r="C1" s="33" t="s">
        <v>7</v>
      </c>
      <c r="D1" s="33" t="s">
        <v>8</v>
      </c>
      <c r="E1" s="33" t="s">
        <v>9</v>
      </c>
      <c r="F1" s="33" t="s">
        <v>10</v>
      </c>
      <c r="G1" s="33" t="s">
        <v>11</v>
      </c>
    </row>
    <row r="2" spans="1:7" x14ac:dyDescent="0.25">
      <c r="A2" s="34" t="s">
        <v>2</v>
      </c>
      <c r="B2" s="36" t="s">
        <v>27</v>
      </c>
      <c r="C2" s="35">
        <f>+C12/1000000</f>
        <v>101565.565</v>
      </c>
      <c r="D2" s="35">
        <f t="shared" ref="D2:G2" si="0">+D12/1000000</f>
        <v>101301.5805025</v>
      </c>
      <c r="E2" s="35">
        <f t="shared" si="0"/>
        <v>101301.5805025</v>
      </c>
      <c r="F2" s="35">
        <f t="shared" si="0"/>
        <v>99051.93186930001</v>
      </c>
      <c r="G2" s="35">
        <f t="shared" si="0"/>
        <v>91158.14695889999</v>
      </c>
    </row>
    <row r="3" spans="1:7" x14ac:dyDescent="0.25">
      <c r="A3" s="34" t="s">
        <v>23</v>
      </c>
      <c r="B3" s="36" t="s">
        <v>30</v>
      </c>
      <c r="C3" s="35">
        <f t="shared" ref="C3:G8" si="1">+C13/1000000</f>
        <v>49280.950576000003</v>
      </c>
      <c r="D3" s="35">
        <f t="shared" si="1"/>
        <v>49280.866771729998</v>
      </c>
      <c r="E3" s="35">
        <f t="shared" si="1"/>
        <v>49280.866771729998</v>
      </c>
      <c r="F3" s="35">
        <f t="shared" si="1"/>
        <v>49280.866771729998</v>
      </c>
      <c r="G3" s="35">
        <f t="shared" si="1"/>
        <v>49280.866771729998</v>
      </c>
    </row>
    <row r="4" spans="1:7" x14ac:dyDescent="0.25">
      <c r="A4" s="34" t="s">
        <v>24</v>
      </c>
      <c r="B4" s="36" t="s">
        <v>31</v>
      </c>
      <c r="C4" s="35">
        <f t="shared" si="1"/>
        <v>19113.893348000001</v>
      </c>
      <c r="D4" s="35">
        <f t="shared" si="1"/>
        <v>18954.646497439997</v>
      </c>
      <c r="E4" s="35">
        <f t="shared" si="1"/>
        <v>18954.646497439997</v>
      </c>
      <c r="F4" s="35">
        <f t="shared" si="1"/>
        <v>18839.481505539999</v>
      </c>
      <c r="G4" s="35">
        <f t="shared" si="1"/>
        <v>18540.442011769999</v>
      </c>
    </row>
    <row r="5" spans="1:7" x14ac:dyDescent="0.25">
      <c r="A5" s="34" t="s">
        <v>25</v>
      </c>
      <c r="B5" s="36" t="s">
        <v>32</v>
      </c>
      <c r="C5" s="35">
        <f t="shared" si="1"/>
        <v>16327.45217855</v>
      </c>
      <c r="D5" s="35">
        <f t="shared" si="1"/>
        <v>16222.798335880001</v>
      </c>
      <c r="E5" s="35">
        <f t="shared" si="1"/>
        <v>16222.798335880001</v>
      </c>
      <c r="F5" s="35">
        <f t="shared" si="1"/>
        <v>14088.314694580002</v>
      </c>
      <c r="G5" s="35">
        <f t="shared" si="1"/>
        <v>6493.5692779499996</v>
      </c>
    </row>
    <row r="6" spans="1:7" ht="30" x14ac:dyDescent="0.25">
      <c r="A6" s="34" t="s">
        <v>26</v>
      </c>
      <c r="B6" s="36" t="s">
        <v>33</v>
      </c>
      <c r="C6" s="35">
        <f t="shared" si="1"/>
        <v>16843.268897450002</v>
      </c>
      <c r="D6" s="35">
        <f t="shared" si="1"/>
        <v>16843.268897450002</v>
      </c>
      <c r="E6" s="35">
        <f t="shared" si="1"/>
        <v>16843.268897450002</v>
      </c>
      <c r="F6" s="35">
        <f t="shared" si="1"/>
        <v>16843.268897450002</v>
      </c>
      <c r="G6" s="35">
        <f t="shared" si="1"/>
        <v>16843.268897450002</v>
      </c>
    </row>
    <row r="7" spans="1:7" x14ac:dyDescent="0.25">
      <c r="A7" s="34" t="s">
        <v>3</v>
      </c>
      <c r="B7" s="36" t="s">
        <v>28</v>
      </c>
      <c r="C7" s="35">
        <f t="shared" si="1"/>
        <v>969198.47086200002</v>
      </c>
      <c r="D7" s="35">
        <f t="shared" si="1"/>
        <v>969198.47086200002</v>
      </c>
      <c r="E7" s="35">
        <f t="shared" si="1"/>
        <v>969198.47086200002</v>
      </c>
      <c r="F7" s="35">
        <f t="shared" si="1"/>
        <v>969198.47086200002</v>
      </c>
      <c r="G7" s="35">
        <f t="shared" si="1"/>
        <v>969198.47086200002</v>
      </c>
    </row>
    <row r="8" spans="1:7" x14ac:dyDescent="0.25">
      <c r="A8" s="34" t="s">
        <v>4</v>
      </c>
      <c r="B8" s="36" t="s">
        <v>29</v>
      </c>
      <c r="C8" s="35">
        <f t="shared" si="1"/>
        <v>4237527.2563049998</v>
      </c>
      <c r="D8" s="35">
        <f t="shared" si="1"/>
        <v>4134043.00673735</v>
      </c>
      <c r="E8" s="35">
        <f t="shared" si="1"/>
        <v>4134043.00673735</v>
      </c>
      <c r="F8" s="35">
        <f t="shared" si="1"/>
        <v>4080845.7407227601</v>
      </c>
      <c r="G8" s="35">
        <f t="shared" si="1"/>
        <v>4080663.3120487598</v>
      </c>
    </row>
    <row r="9" spans="1:7" x14ac:dyDescent="0.25">
      <c r="B9" s="1"/>
      <c r="F9"/>
      <c r="G9"/>
    </row>
    <row r="10" spans="1:7" ht="15.75" thickBot="1" x14ac:dyDescent="0.3"/>
    <row r="11" spans="1:7" ht="39" thickBot="1" x14ac:dyDescent="0.3">
      <c r="B11" s="89" t="s">
        <v>124</v>
      </c>
      <c r="C11" s="92" t="s">
        <v>127</v>
      </c>
      <c r="D11" s="92" t="s">
        <v>128</v>
      </c>
      <c r="E11" s="92" t="s">
        <v>129</v>
      </c>
      <c r="F11" s="92" t="s">
        <v>130</v>
      </c>
      <c r="G11" s="93" t="s">
        <v>131</v>
      </c>
    </row>
    <row r="12" spans="1:7" ht="19.5" thickBot="1" x14ac:dyDescent="0.3">
      <c r="B12" s="90" t="s">
        <v>125</v>
      </c>
      <c r="C12" s="94">
        <v>101565565000</v>
      </c>
      <c r="D12" s="94">
        <v>101301580502.5</v>
      </c>
      <c r="E12" s="94">
        <v>101301580502.5</v>
      </c>
      <c r="F12" s="94">
        <v>99051931869.300003</v>
      </c>
      <c r="G12" s="95">
        <v>91158146958.899994</v>
      </c>
    </row>
    <row r="13" spans="1:7" ht="15.75" x14ac:dyDescent="0.25">
      <c r="B13" s="91" t="s">
        <v>126</v>
      </c>
      <c r="C13" s="96">
        <v>49280950576</v>
      </c>
      <c r="D13" s="96">
        <v>49280866771.729996</v>
      </c>
      <c r="E13" s="96">
        <v>49280866771.729996</v>
      </c>
      <c r="F13" s="96">
        <v>49280866771.729996</v>
      </c>
      <c r="G13" s="97">
        <v>49280866771.729996</v>
      </c>
    </row>
    <row r="14" spans="1:7" ht="15.75" x14ac:dyDescent="0.25">
      <c r="B14" s="98" t="s">
        <v>132</v>
      </c>
      <c r="C14" s="99">
        <v>19113893348</v>
      </c>
      <c r="D14" s="99">
        <v>18954646497.439999</v>
      </c>
      <c r="E14" s="99">
        <v>18954646497.439999</v>
      </c>
      <c r="F14" s="99">
        <v>18839481505.540001</v>
      </c>
      <c r="G14" s="100">
        <v>18540442011.77</v>
      </c>
    </row>
    <row r="15" spans="1:7" ht="15.75" x14ac:dyDescent="0.25">
      <c r="B15" s="98" t="s">
        <v>133</v>
      </c>
      <c r="C15" s="99">
        <v>16327452178.549999</v>
      </c>
      <c r="D15" s="99">
        <v>16222798335.880001</v>
      </c>
      <c r="E15" s="99">
        <v>16222798335.880001</v>
      </c>
      <c r="F15" s="99">
        <v>14088314694.580002</v>
      </c>
      <c r="G15" s="100">
        <v>6493569277.9499998</v>
      </c>
    </row>
    <row r="16" spans="1:7" ht="32.25" thickBot="1" x14ac:dyDescent="0.3">
      <c r="B16" s="98" t="s">
        <v>134</v>
      </c>
      <c r="C16" s="99">
        <v>16843268897.450001</v>
      </c>
      <c r="D16" s="99">
        <v>16843268897.450001</v>
      </c>
      <c r="E16" s="99">
        <v>16843268897.450001</v>
      </c>
      <c r="F16" s="99">
        <v>16843268897.450001</v>
      </c>
      <c r="G16" s="100">
        <v>16843268897.450001</v>
      </c>
    </row>
    <row r="17" spans="2:7" ht="19.5" thickBot="1" x14ac:dyDescent="0.3">
      <c r="B17" s="90" t="s">
        <v>135</v>
      </c>
      <c r="C17" s="94">
        <v>969198470862</v>
      </c>
      <c r="D17" s="94">
        <v>969198470862</v>
      </c>
      <c r="E17" s="94">
        <v>969198470862</v>
      </c>
      <c r="F17" s="94">
        <v>969198470862</v>
      </c>
      <c r="G17" s="95">
        <v>969198470862</v>
      </c>
    </row>
    <row r="18" spans="2:7" ht="19.5" thickBot="1" x14ac:dyDescent="0.3">
      <c r="B18" s="90" t="s">
        <v>136</v>
      </c>
      <c r="C18" s="94">
        <v>4237527256305</v>
      </c>
      <c r="D18" s="94">
        <v>4134043006737.3501</v>
      </c>
      <c r="E18" s="94">
        <v>4134043006737.3501</v>
      </c>
      <c r="F18" s="94">
        <v>4080845740722.7603</v>
      </c>
      <c r="G18" s="95">
        <v>4080663312048.7598</v>
      </c>
    </row>
    <row r="20" spans="2:7" x14ac:dyDescent="0.25">
      <c r="C20" s="1">
        <f>+SUM(C13:C18)</f>
        <v>5308291292167</v>
      </c>
      <c r="D20" s="1">
        <f t="shared" ref="D20:G20" si="2">+SUM(D13:D18)</f>
        <v>5204543058101.8496</v>
      </c>
      <c r="E20" s="1">
        <f t="shared" si="2"/>
        <v>5204543058101.8496</v>
      </c>
      <c r="F20" s="1">
        <f t="shared" si="2"/>
        <v>5149096143454.0605</v>
      </c>
      <c r="G20" s="1">
        <f t="shared" si="2"/>
        <v>5141019929869.6602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6"/>
  <sheetViews>
    <sheetView topLeftCell="A31" workbookViewId="0">
      <selection activeCell="B43" sqref="B43"/>
    </sheetView>
  </sheetViews>
  <sheetFormatPr baseColWidth="10" defaultRowHeight="15" x14ac:dyDescent="0.25"/>
  <cols>
    <col min="2" max="2" width="14.28515625" bestFit="1" customWidth="1"/>
    <col min="3" max="3" width="94.42578125" customWidth="1"/>
    <col min="4" max="4" width="23" style="39" bestFit="1" customWidth="1"/>
    <col min="5" max="5" width="33.28515625" style="39" bestFit="1" customWidth="1"/>
    <col min="6" max="6" width="30.7109375" style="39" bestFit="1" customWidth="1"/>
    <col min="7" max="7" width="30.5703125" style="39" bestFit="1" customWidth="1"/>
    <col min="8" max="8" width="23" style="39" bestFit="1" customWidth="1"/>
    <col min="9" max="9" width="37.7109375" style="39" bestFit="1" customWidth="1"/>
  </cols>
  <sheetData>
    <row r="1" spans="2:9" ht="15.75" thickBot="1" x14ac:dyDescent="0.3">
      <c r="B1" s="23" t="s">
        <v>34</v>
      </c>
      <c r="C1" s="23" t="s">
        <v>1</v>
      </c>
      <c r="D1" s="37" t="s">
        <v>7</v>
      </c>
      <c r="E1" s="37" t="s">
        <v>8</v>
      </c>
      <c r="F1" s="37" t="s">
        <v>9</v>
      </c>
      <c r="G1" s="37" t="s">
        <v>10</v>
      </c>
      <c r="H1" s="37" t="s">
        <v>14</v>
      </c>
      <c r="I1" s="88" t="s">
        <v>123</v>
      </c>
    </row>
    <row r="2" spans="2:9" ht="30.75" thickTop="1" x14ac:dyDescent="0.25">
      <c r="B2" s="21" t="s">
        <v>35</v>
      </c>
      <c r="C2" s="21" t="s">
        <v>107</v>
      </c>
      <c r="D2" s="38">
        <v>197403295128</v>
      </c>
      <c r="E2" s="38">
        <v>197403295128</v>
      </c>
      <c r="F2" s="38">
        <v>197403295128</v>
      </c>
      <c r="G2" s="38">
        <v>197403295128</v>
      </c>
      <c r="H2" s="38">
        <v>197403295128</v>
      </c>
      <c r="I2" s="38">
        <v>0</v>
      </c>
    </row>
    <row r="3" spans="2:9" ht="30" x14ac:dyDescent="0.25">
      <c r="B3" s="21" t="s">
        <v>36</v>
      </c>
      <c r="C3" s="21" t="s">
        <v>37</v>
      </c>
      <c r="D3" s="38">
        <v>1740557827</v>
      </c>
      <c r="E3" s="38">
        <v>1740557827</v>
      </c>
      <c r="F3" s="38">
        <v>1740557827</v>
      </c>
      <c r="G3" s="38">
        <v>1740557827</v>
      </c>
      <c r="H3" s="38">
        <v>1740557827</v>
      </c>
      <c r="I3" s="38">
        <v>0</v>
      </c>
    </row>
    <row r="4" spans="2:9" ht="30" x14ac:dyDescent="0.25">
      <c r="B4" s="21" t="s">
        <v>66</v>
      </c>
      <c r="C4" s="21" t="s">
        <v>50</v>
      </c>
      <c r="D4" s="38">
        <v>152413550265</v>
      </c>
      <c r="E4" s="38">
        <v>152413550265</v>
      </c>
      <c r="F4" s="38">
        <v>152413550265</v>
      </c>
      <c r="G4" s="38">
        <v>152413550265</v>
      </c>
      <c r="H4" s="38">
        <v>152413550265</v>
      </c>
      <c r="I4" s="38">
        <v>0</v>
      </c>
    </row>
    <row r="5" spans="2:9" ht="30" x14ac:dyDescent="0.25">
      <c r="B5" s="21" t="s">
        <v>67</v>
      </c>
      <c r="C5" s="21" t="s">
        <v>51</v>
      </c>
      <c r="D5" s="38">
        <v>174246806812</v>
      </c>
      <c r="E5" s="38">
        <v>174246806812</v>
      </c>
      <c r="F5" s="38">
        <v>174246806812</v>
      </c>
      <c r="G5" s="38">
        <v>174246806812</v>
      </c>
      <c r="H5" s="38">
        <v>174246806812</v>
      </c>
      <c r="I5" s="38">
        <v>0</v>
      </c>
    </row>
    <row r="6" spans="2:9" ht="30" x14ac:dyDescent="0.25">
      <c r="B6" s="21" t="s">
        <v>68</v>
      </c>
      <c r="C6" s="21" t="s">
        <v>52</v>
      </c>
      <c r="D6" s="38">
        <v>251092107058</v>
      </c>
      <c r="E6" s="38">
        <v>251092107058</v>
      </c>
      <c r="F6" s="38">
        <v>251092107058</v>
      </c>
      <c r="G6" s="38">
        <v>251092107058</v>
      </c>
      <c r="H6" s="38">
        <v>251092107058</v>
      </c>
      <c r="I6" s="38">
        <v>0</v>
      </c>
    </row>
    <row r="7" spans="2:9" ht="30" x14ac:dyDescent="0.25">
      <c r="B7" s="21" t="s">
        <v>69</v>
      </c>
      <c r="C7" s="21" t="s">
        <v>108</v>
      </c>
      <c r="D7" s="38">
        <v>242233026988</v>
      </c>
      <c r="E7" s="38">
        <v>242233026988</v>
      </c>
      <c r="F7" s="38">
        <v>242233026988</v>
      </c>
      <c r="G7" s="38">
        <v>242233026988</v>
      </c>
      <c r="H7" s="38">
        <v>242233026988</v>
      </c>
      <c r="I7" s="38">
        <v>0</v>
      </c>
    </row>
    <row r="8" spans="2:9" ht="30" x14ac:dyDescent="0.25">
      <c r="B8" s="21" t="s">
        <v>70</v>
      </c>
      <c r="C8" s="21" t="s">
        <v>53</v>
      </c>
      <c r="D8" s="38">
        <v>172797196133</v>
      </c>
      <c r="E8" s="38">
        <v>172797196133</v>
      </c>
      <c r="F8" s="38">
        <v>172797196133</v>
      </c>
      <c r="G8" s="38">
        <v>172797196133</v>
      </c>
      <c r="H8" s="38">
        <v>172797196133</v>
      </c>
      <c r="I8" s="38">
        <v>0</v>
      </c>
    </row>
    <row r="9" spans="2:9" ht="30" x14ac:dyDescent="0.25">
      <c r="B9" s="21" t="s">
        <v>71</v>
      </c>
      <c r="C9" s="21" t="s">
        <v>54</v>
      </c>
      <c r="D9" s="38">
        <v>186940477824</v>
      </c>
      <c r="E9" s="38">
        <v>186940477824</v>
      </c>
      <c r="F9" s="38">
        <v>186940477824</v>
      </c>
      <c r="G9" s="38">
        <v>186940477824</v>
      </c>
      <c r="H9" s="38">
        <v>186940477824</v>
      </c>
      <c r="I9" s="38">
        <v>0</v>
      </c>
    </row>
    <row r="10" spans="2:9" ht="30" x14ac:dyDescent="0.25">
      <c r="B10" s="21" t="s">
        <v>72</v>
      </c>
      <c r="C10" s="21" t="s">
        <v>55</v>
      </c>
      <c r="D10" s="38">
        <v>203096408219</v>
      </c>
      <c r="E10" s="38">
        <v>203096408219</v>
      </c>
      <c r="F10" s="38">
        <v>203096408219</v>
      </c>
      <c r="G10" s="38">
        <v>203096408219</v>
      </c>
      <c r="H10" s="38">
        <v>203096408219</v>
      </c>
      <c r="I10" s="38">
        <v>0</v>
      </c>
    </row>
    <row r="11" spans="2:9" ht="30" x14ac:dyDescent="0.25">
      <c r="B11" s="21" t="s">
        <v>73</v>
      </c>
      <c r="C11" s="21" t="s">
        <v>109</v>
      </c>
      <c r="D11" s="38">
        <v>15000000000</v>
      </c>
      <c r="E11" s="38">
        <v>9665548057.1399994</v>
      </c>
      <c r="F11" s="38">
        <v>9665548057.1399994</v>
      </c>
      <c r="G11" s="38">
        <v>9569571888.0499992</v>
      </c>
      <c r="H11" s="38">
        <v>9472934972.2200012</v>
      </c>
      <c r="I11" s="38">
        <v>0</v>
      </c>
    </row>
    <row r="12" spans="2:9" ht="30" x14ac:dyDescent="0.25">
      <c r="B12" s="21" t="s">
        <v>74</v>
      </c>
      <c r="C12" s="22" t="s">
        <v>56</v>
      </c>
      <c r="D12" s="38">
        <v>232164420822</v>
      </c>
      <c r="E12" s="38">
        <v>232164420822</v>
      </c>
      <c r="F12" s="38">
        <v>232164420822</v>
      </c>
      <c r="G12" s="38">
        <v>232164420822</v>
      </c>
      <c r="H12" s="38">
        <v>232164420822</v>
      </c>
      <c r="I12" s="38">
        <v>0</v>
      </c>
    </row>
    <row r="13" spans="2:9" ht="30" x14ac:dyDescent="0.25">
      <c r="B13" s="21" t="s">
        <v>75</v>
      </c>
      <c r="C13" s="21" t="s">
        <v>110</v>
      </c>
      <c r="D13" s="38">
        <v>231825213115</v>
      </c>
      <c r="E13" s="38">
        <v>231825213115</v>
      </c>
      <c r="F13" s="38">
        <v>231825213115</v>
      </c>
      <c r="G13" s="38">
        <v>231825213115</v>
      </c>
      <c r="H13" s="38">
        <v>231825213115</v>
      </c>
      <c r="I13" s="38">
        <v>0</v>
      </c>
    </row>
    <row r="14" spans="2:9" ht="30" x14ac:dyDescent="0.25">
      <c r="B14" s="21" t="s">
        <v>76</v>
      </c>
      <c r="C14" s="21" t="s">
        <v>111</v>
      </c>
      <c r="D14" s="38">
        <v>126080065359</v>
      </c>
      <c r="E14" s="38">
        <v>126080065359</v>
      </c>
      <c r="F14" s="38">
        <v>126080065359</v>
      </c>
      <c r="G14" s="38">
        <v>126080065359</v>
      </c>
      <c r="H14" s="38">
        <v>126080065359</v>
      </c>
      <c r="I14" s="38">
        <v>0</v>
      </c>
    </row>
    <row r="15" spans="2:9" ht="30" x14ac:dyDescent="0.25">
      <c r="B15" s="21" t="s">
        <v>77</v>
      </c>
      <c r="C15" s="21" t="s">
        <v>112</v>
      </c>
      <c r="D15" s="38">
        <v>91282312485</v>
      </c>
      <c r="E15" s="38">
        <v>91282312485</v>
      </c>
      <c r="F15" s="38">
        <v>91282312485</v>
      </c>
      <c r="G15" s="38">
        <v>91282312485</v>
      </c>
      <c r="H15" s="38">
        <v>91282312485</v>
      </c>
      <c r="I15" s="38">
        <v>0</v>
      </c>
    </row>
    <row r="16" spans="2:9" ht="45" x14ac:dyDescent="0.25">
      <c r="B16" s="21" t="s">
        <v>78</v>
      </c>
      <c r="C16" s="21" t="s">
        <v>57</v>
      </c>
      <c r="D16" s="38">
        <v>175214577228</v>
      </c>
      <c r="E16" s="38">
        <v>175214577228</v>
      </c>
      <c r="F16" s="38">
        <v>175214577228</v>
      </c>
      <c r="G16" s="38">
        <v>175214577228</v>
      </c>
      <c r="H16" s="38">
        <v>175214577228</v>
      </c>
      <c r="I16" s="38">
        <v>0</v>
      </c>
    </row>
    <row r="17" spans="2:9" ht="30" x14ac:dyDescent="0.25">
      <c r="B17" s="21" t="s">
        <v>65</v>
      </c>
      <c r="C17" s="21" t="s">
        <v>113</v>
      </c>
      <c r="D17" s="38">
        <v>113971393414</v>
      </c>
      <c r="E17" s="38">
        <v>113971393414</v>
      </c>
      <c r="F17" s="38">
        <v>113971393414</v>
      </c>
      <c r="G17" s="38">
        <v>109796058849</v>
      </c>
      <c r="H17" s="38">
        <v>109796058849</v>
      </c>
      <c r="I17" s="38">
        <v>0</v>
      </c>
    </row>
    <row r="18" spans="2:9" ht="30" x14ac:dyDescent="0.25">
      <c r="B18" s="21" t="s">
        <v>79</v>
      </c>
      <c r="C18" s="21" t="s">
        <v>58</v>
      </c>
      <c r="D18" s="38">
        <v>216924287600</v>
      </c>
      <c r="E18" s="38">
        <v>216924287600</v>
      </c>
      <c r="F18" s="38">
        <v>216924287600</v>
      </c>
      <c r="G18" s="38">
        <v>216924287600</v>
      </c>
      <c r="H18" s="38">
        <v>216924287600</v>
      </c>
      <c r="I18" s="38">
        <v>0</v>
      </c>
    </row>
    <row r="19" spans="2:9" ht="30" x14ac:dyDescent="0.25">
      <c r="B19" s="21" t="s">
        <v>80</v>
      </c>
      <c r="C19" s="21" t="s">
        <v>59</v>
      </c>
      <c r="D19" s="38">
        <v>263086153404</v>
      </c>
      <c r="E19" s="38">
        <v>263086153404</v>
      </c>
      <c r="F19" s="38">
        <v>263086153404</v>
      </c>
      <c r="G19" s="38">
        <v>263086153404</v>
      </c>
      <c r="H19" s="38">
        <v>263086153404</v>
      </c>
      <c r="I19" s="38">
        <v>0</v>
      </c>
    </row>
    <row r="20" spans="2:9" ht="30" x14ac:dyDescent="0.25">
      <c r="B20" s="21" t="s">
        <v>81</v>
      </c>
      <c r="C20" s="21" t="s">
        <v>60</v>
      </c>
      <c r="D20" s="38">
        <v>138383140985</v>
      </c>
      <c r="E20" s="38">
        <v>138383140985</v>
      </c>
      <c r="F20" s="38">
        <v>138383140985</v>
      </c>
      <c r="G20" s="38">
        <v>138383140985</v>
      </c>
      <c r="H20" s="38">
        <v>138383140985</v>
      </c>
      <c r="I20" s="38">
        <v>0</v>
      </c>
    </row>
    <row r="21" spans="2:9" ht="30" x14ac:dyDescent="0.25">
      <c r="B21" s="21" t="s">
        <v>82</v>
      </c>
      <c r="C21" s="21" t="s">
        <v>61</v>
      </c>
      <c r="D21" s="38">
        <v>325658709524</v>
      </c>
      <c r="E21" s="38">
        <v>325658709524</v>
      </c>
      <c r="F21" s="38">
        <v>325658709524</v>
      </c>
      <c r="G21" s="38">
        <v>325658709524</v>
      </c>
      <c r="H21" s="38">
        <v>325658709524</v>
      </c>
      <c r="I21" s="38">
        <v>0</v>
      </c>
    </row>
    <row r="22" spans="2:9" ht="30" x14ac:dyDescent="0.25">
      <c r="B22" s="21" t="s">
        <v>83</v>
      </c>
      <c r="C22" s="21" t="s">
        <v>62</v>
      </c>
      <c r="D22" s="38">
        <v>105602294861</v>
      </c>
      <c r="E22" s="38">
        <v>105602294861</v>
      </c>
      <c r="F22" s="38">
        <v>105602294861</v>
      </c>
      <c r="G22" s="38">
        <v>101620433497</v>
      </c>
      <c r="H22" s="38">
        <v>101620433497</v>
      </c>
      <c r="I22" s="38">
        <v>0</v>
      </c>
    </row>
    <row r="23" spans="2:9" ht="30" x14ac:dyDescent="0.25">
      <c r="B23" s="21" t="s">
        <v>84</v>
      </c>
      <c r="C23" s="21" t="s">
        <v>114</v>
      </c>
      <c r="D23" s="38">
        <v>331558916195</v>
      </c>
      <c r="E23" s="38">
        <v>331558916195</v>
      </c>
      <c r="F23" s="38">
        <v>331558916195</v>
      </c>
      <c r="G23" s="38">
        <v>331558916195</v>
      </c>
      <c r="H23" s="38">
        <v>331558916195</v>
      </c>
      <c r="I23" s="38">
        <v>0</v>
      </c>
    </row>
    <row r="24" spans="2:9" ht="30" x14ac:dyDescent="0.25">
      <c r="B24" s="21" t="s">
        <v>85</v>
      </c>
      <c r="C24" s="21" t="s">
        <v>63</v>
      </c>
      <c r="D24" s="38">
        <v>57832800188</v>
      </c>
      <c r="E24" s="38">
        <v>57832800188</v>
      </c>
      <c r="F24" s="38">
        <v>57832800188</v>
      </c>
      <c r="G24" s="38">
        <v>57639326986</v>
      </c>
      <c r="H24" s="38">
        <v>57639326986</v>
      </c>
      <c r="I24" s="38">
        <v>0</v>
      </c>
    </row>
    <row r="25" spans="2:9" ht="30" x14ac:dyDescent="0.25">
      <c r="B25" s="21" t="s">
        <v>106</v>
      </c>
      <c r="C25" s="31" t="s">
        <v>115</v>
      </c>
      <c r="D25" s="38">
        <v>6649373042</v>
      </c>
      <c r="E25" s="38">
        <v>6648908339.3599997</v>
      </c>
      <c r="F25" s="38">
        <v>6648908339.3599997</v>
      </c>
      <c r="G25" s="38">
        <v>6494370989.3599997</v>
      </c>
      <c r="H25" s="38">
        <v>6494370989.3599997</v>
      </c>
      <c r="I25" s="38">
        <v>0</v>
      </c>
    </row>
    <row r="26" spans="2:9" x14ac:dyDescent="0.25">
      <c r="B26" s="21" t="s">
        <v>86</v>
      </c>
      <c r="C26" s="22" t="s">
        <v>116</v>
      </c>
      <c r="D26" s="38">
        <v>2500000000</v>
      </c>
      <c r="E26" s="38">
        <v>1841443595.9300001</v>
      </c>
      <c r="F26" s="38">
        <v>1841443595.9300001</v>
      </c>
      <c r="G26" s="38">
        <v>1817849766.3299999</v>
      </c>
      <c r="H26" s="38">
        <v>1804678259.3699999</v>
      </c>
      <c r="I26" s="38">
        <v>0</v>
      </c>
    </row>
    <row r="27" spans="2:9" x14ac:dyDescent="0.25">
      <c r="B27" s="21" t="s">
        <v>38</v>
      </c>
      <c r="C27" s="31" t="s">
        <v>39</v>
      </c>
      <c r="D27" s="38">
        <v>176465214000</v>
      </c>
      <c r="E27" s="38">
        <v>89612123311.5</v>
      </c>
      <c r="F27" s="38">
        <v>89612123311.5</v>
      </c>
      <c r="G27" s="38">
        <v>60675249627.68</v>
      </c>
      <c r="H27" s="38">
        <v>60675249627.68</v>
      </c>
      <c r="I27" s="38">
        <v>0</v>
      </c>
    </row>
    <row r="28" spans="2:9" x14ac:dyDescent="0.25">
      <c r="B28" s="21" t="s">
        <v>87</v>
      </c>
      <c r="C28" s="31" t="s">
        <v>117</v>
      </c>
      <c r="D28" s="38">
        <v>800000000</v>
      </c>
      <c r="E28" s="38">
        <v>532926766.49000001</v>
      </c>
      <c r="F28" s="38">
        <v>532926766.49000001</v>
      </c>
      <c r="G28" s="38">
        <v>529127110.79000002</v>
      </c>
      <c r="H28" s="38">
        <v>525888695.79000002</v>
      </c>
      <c r="I28" s="38">
        <v>0</v>
      </c>
    </row>
    <row r="29" spans="2:9" x14ac:dyDescent="0.25">
      <c r="B29" s="21" t="s">
        <v>40</v>
      </c>
      <c r="C29" s="31" t="s">
        <v>118</v>
      </c>
      <c r="D29" s="38">
        <v>1000000000</v>
      </c>
      <c r="E29" s="38">
        <v>550877313.51999998</v>
      </c>
      <c r="F29" s="38">
        <v>550877313.51999998</v>
      </c>
      <c r="G29" s="38">
        <v>1665.52</v>
      </c>
      <c r="H29" s="38">
        <v>1665.52</v>
      </c>
      <c r="I29" s="38">
        <v>0</v>
      </c>
    </row>
    <row r="30" spans="2:9" x14ac:dyDescent="0.25">
      <c r="B30" s="21" t="s">
        <v>88</v>
      </c>
      <c r="C30" s="31" t="s">
        <v>64</v>
      </c>
      <c r="D30" s="38">
        <v>3650000000</v>
      </c>
      <c r="E30" s="38">
        <v>2703078745.9499998</v>
      </c>
      <c r="F30" s="38">
        <v>2703078745.9499998</v>
      </c>
      <c r="G30" s="38">
        <v>2649739353.1399999</v>
      </c>
      <c r="H30" s="38">
        <v>2625621539.73</v>
      </c>
      <c r="I30" s="38">
        <v>0</v>
      </c>
    </row>
    <row r="31" spans="2:9" ht="30" x14ac:dyDescent="0.25">
      <c r="B31" s="21" t="s">
        <v>41</v>
      </c>
      <c r="C31" s="31" t="s">
        <v>119</v>
      </c>
      <c r="D31" s="38">
        <v>50000000</v>
      </c>
      <c r="E31" s="38">
        <v>46242400.390000001</v>
      </c>
      <c r="F31" s="38">
        <v>46242400.390000001</v>
      </c>
      <c r="G31" s="38">
        <v>31242400.390000001</v>
      </c>
      <c r="H31" s="38">
        <v>31242400.390000001</v>
      </c>
      <c r="I31" s="38">
        <v>0</v>
      </c>
    </row>
    <row r="32" spans="2:9" ht="30" x14ac:dyDescent="0.25">
      <c r="B32" s="21" t="s">
        <v>42</v>
      </c>
      <c r="C32" s="31" t="s">
        <v>120</v>
      </c>
      <c r="D32" s="38">
        <v>34364957829</v>
      </c>
      <c r="E32" s="38">
        <v>25487861845.16</v>
      </c>
      <c r="F32" s="38">
        <v>25487861845.16</v>
      </c>
      <c r="G32" s="38">
        <v>11068916083.59</v>
      </c>
      <c r="H32" s="38">
        <v>11026935548.790001</v>
      </c>
      <c r="I32" s="38">
        <v>0</v>
      </c>
    </row>
    <row r="33" spans="2:9" ht="30" x14ac:dyDescent="0.25">
      <c r="B33" s="21" t="s">
        <v>43</v>
      </c>
      <c r="C33" s="31" t="s">
        <v>121</v>
      </c>
      <c r="D33" s="38">
        <v>4000000000</v>
      </c>
      <c r="E33" s="38">
        <v>3923359610.5100002</v>
      </c>
      <c r="F33" s="38">
        <v>3923359610.5100002</v>
      </c>
      <c r="G33" s="38">
        <v>3819100409.5100002</v>
      </c>
      <c r="H33" s="38">
        <v>3819100409.5100002</v>
      </c>
      <c r="I33" s="38">
        <v>0</v>
      </c>
    </row>
    <row r="34" spans="2:9" ht="30" x14ac:dyDescent="0.25">
      <c r="B34" s="21" t="s">
        <v>46</v>
      </c>
      <c r="C34" s="31" t="s">
        <v>122</v>
      </c>
      <c r="D34" s="38">
        <v>1500000000</v>
      </c>
      <c r="E34" s="38">
        <v>1482925317.4000001</v>
      </c>
      <c r="F34" s="38">
        <v>1482925317.4000001</v>
      </c>
      <c r="G34" s="38">
        <v>993529125.39999998</v>
      </c>
      <c r="H34" s="38">
        <v>990245637.39999998</v>
      </c>
      <c r="I34" s="38">
        <v>0</v>
      </c>
    </row>
    <row r="35" spans="2:9" x14ac:dyDescent="0.25">
      <c r="C35" s="1"/>
    </row>
    <row r="36" spans="2:9" x14ac:dyDescent="0.25">
      <c r="D36" s="39">
        <f t="shared" ref="D36:H36" si="0">+SUM(D2:D34)</f>
        <v>4237527256305</v>
      </c>
      <c r="E36" s="39">
        <f t="shared" si="0"/>
        <v>4134043006737.3501</v>
      </c>
      <c r="F36" s="39">
        <f t="shared" si="0"/>
        <v>4134043006737.3501</v>
      </c>
      <c r="G36" s="39">
        <f t="shared" si="0"/>
        <v>4080845740722.7598</v>
      </c>
      <c r="H36" s="39">
        <f t="shared" si="0"/>
        <v>4080663312048.7598</v>
      </c>
      <c r="I36" s="39">
        <f>+SUM(I2:I34)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6:N68"/>
  <sheetViews>
    <sheetView showGridLines="0" showRowColHeaders="0" workbookViewId="0"/>
  </sheetViews>
  <sheetFormatPr baseColWidth="10" defaultRowHeight="15" outlineLevelRow="1" x14ac:dyDescent="0.25"/>
  <cols>
    <col min="2" max="2" width="31.140625" bestFit="1" customWidth="1"/>
    <col min="3" max="3" width="13.5703125" bestFit="1" customWidth="1"/>
    <col min="4" max="4" width="15" bestFit="1" customWidth="1"/>
    <col min="5" max="5" width="14.7109375" bestFit="1" customWidth="1"/>
    <col min="6" max="6" width="13.140625" bestFit="1" customWidth="1"/>
  </cols>
  <sheetData>
    <row r="6" spans="1:14" x14ac:dyDescent="0.25">
      <c r="B6" s="4" t="s">
        <v>5</v>
      </c>
      <c r="C6" t="s">
        <v>21</v>
      </c>
      <c r="D6" t="s">
        <v>45</v>
      </c>
      <c r="E6" t="s">
        <v>19</v>
      </c>
      <c r="F6" t="s">
        <v>20</v>
      </c>
    </row>
    <row r="7" spans="1:14" x14ac:dyDescent="0.25">
      <c r="B7" s="2" t="s">
        <v>27</v>
      </c>
      <c r="C7" s="24">
        <v>101565.565</v>
      </c>
      <c r="D7" s="24">
        <v>101301.5805025</v>
      </c>
      <c r="E7" s="24">
        <v>99051.93186930001</v>
      </c>
      <c r="F7" s="24">
        <v>91158.14695889999</v>
      </c>
    </row>
    <row r="8" spans="1:14" x14ac:dyDescent="0.25">
      <c r="B8" s="2" t="s">
        <v>28</v>
      </c>
      <c r="C8" s="24">
        <v>969198.47086200002</v>
      </c>
      <c r="D8" s="24">
        <v>969198.47086200002</v>
      </c>
      <c r="E8" s="24">
        <v>969198.47086200002</v>
      </c>
      <c r="F8" s="24">
        <v>969198.47086200002</v>
      </c>
    </row>
    <row r="9" spans="1:14" x14ac:dyDescent="0.25">
      <c r="B9" s="2" t="s">
        <v>29</v>
      </c>
      <c r="C9" s="24">
        <v>4237527.2563049998</v>
      </c>
      <c r="D9" s="24">
        <v>4134043.00673735</v>
      </c>
      <c r="E9" s="24">
        <v>4080845.7407227601</v>
      </c>
      <c r="F9" s="24">
        <v>4080663.3120487598</v>
      </c>
    </row>
    <row r="10" spans="1:14" x14ac:dyDescent="0.25">
      <c r="B10" s="2" t="s">
        <v>6</v>
      </c>
      <c r="C10" s="24">
        <v>5308291.2921669995</v>
      </c>
      <c r="D10" s="24">
        <v>5204543.0581018496</v>
      </c>
      <c r="E10" s="24">
        <v>5149096.14345406</v>
      </c>
      <c r="F10" s="24">
        <v>5141019.9298696592</v>
      </c>
      <c r="H10" s="5"/>
      <c r="J10" s="5"/>
    </row>
    <row r="16" spans="1:14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18"/>
      <c r="K39" s="18"/>
      <c r="L39" s="18"/>
      <c r="M39" s="18"/>
      <c r="N39" s="18"/>
    </row>
    <row r="40" spans="1:14" hidden="1" outlineLevel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20"/>
      <c r="K40" s="20"/>
      <c r="L40" s="18"/>
      <c r="M40" s="18"/>
      <c r="N40" s="18"/>
    </row>
    <row r="41" spans="1:14" s="11" customFormat="1" hidden="1" outlineLevel="1" x14ac:dyDescent="0.25">
      <c r="A41" s="41"/>
      <c r="B41" s="42" t="s">
        <v>5</v>
      </c>
      <c r="C41" s="42" t="s">
        <v>21</v>
      </c>
      <c r="D41" s="42" t="s">
        <v>45</v>
      </c>
      <c r="E41" s="42" t="s">
        <v>19</v>
      </c>
      <c r="F41" s="42" t="s">
        <v>20</v>
      </c>
      <c r="G41" s="41"/>
      <c r="H41" s="41"/>
      <c r="I41" s="41"/>
      <c r="L41" s="28"/>
      <c r="M41" s="28"/>
      <c r="N41" s="28"/>
    </row>
    <row r="42" spans="1:14" s="11" customFormat="1" hidden="1" outlineLevel="1" x14ac:dyDescent="0.25">
      <c r="A42" s="41"/>
      <c r="B42" s="43" t="s">
        <v>27</v>
      </c>
      <c r="C42" s="44">
        <f>+GETPIVOTDATA("APROPIACION",$B$6,"DESCRIPCION","A-FUNCIONAMIENTO")</f>
        <v>101565.565</v>
      </c>
      <c r="D42" s="47">
        <f>+GETPIVOTDATA("COMPROMISOS",$B$6,"DESCRIPCION","A-FUNCIONAMIENTO")/C42</f>
        <v>0.99740084646307037</v>
      </c>
      <c r="E42" s="87">
        <f>+GETPIVOTDATA(" OBLIGACIONES",$B$6,"DESCRIPCION","A-FUNCIONAMIENTO")/C42</f>
        <v>0.97525112836520933</v>
      </c>
      <c r="F42" s="87">
        <f>+GETPIVOTDATA(" PAGOS",$B$6,"DESCRIPCION","A-FUNCIONAMIENTO")/GETPIVOTDATA("APROPIACION",$B$6,"DESCRIPCION","A-FUNCIONAMIENTO")</f>
        <v>0.89753005321144019</v>
      </c>
      <c r="G42" s="41"/>
      <c r="H42" s="41"/>
      <c r="I42" s="41"/>
      <c r="L42" s="28"/>
      <c r="M42" s="28"/>
      <c r="N42" s="28"/>
    </row>
    <row r="43" spans="1:14" s="11" customFormat="1" hidden="1" outlineLevel="1" x14ac:dyDescent="0.25">
      <c r="A43" s="41"/>
      <c r="B43" s="43" t="s">
        <v>28</v>
      </c>
      <c r="C43" s="44">
        <f>+GETPIVOTDATA("APROPIACION",$B$6,"DESCRIPCION","B-SERVICIO DE LA DEUDA PÚBLICA")</f>
        <v>969198.47086200002</v>
      </c>
      <c r="D43" s="45">
        <f>+GETPIVOTDATA("COMPROMISOS",$B$6,"DESCRIPCION","B-SERVICIO DE LA DEUDA PÚBLICA")/C43</f>
        <v>1</v>
      </c>
      <c r="E43" s="45">
        <f>+GETPIVOTDATA(" OBLIGACIONES",$B$6,"DESCRIPCION","B-SERVICIO DE LA DEUDA PÚBLICA")/GETPIVOTDATA("APROPIACION",$B$6,"DESCRIPCION","B-SERVICIO DE LA DEUDA PÚBLICA")</f>
        <v>1</v>
      </c>
      <c r="F43" s="45">
        <f>+GETPIVOTDATA(" PAGOS",$B$6,"DESCRIPCION","B-SERVICIO DE LA DEUDA PÚBLICA")/GETPIVOTDATA("APROPIACION",$B$6,"DESCRIPCION","B-SERVICIO DE LA DEUDA PÚBLICA")</f>
        <v>1</v>
      </c>
      <c r="G43" s="41"/>
      <c r="H43" s="41"/>
      <c r="I43" s="41"/>
      <c r="L43" s="28"/>
      <c r="M43" s="28"/>
      <c r="N43" s="28"/>
    </row>
    <row r="44" spans="1:14" s="11" customFormat="1" hidden="1" outlineLevel="1" x14ac:dyDescent="0.25">
      <c r="A44" s="41"/>
      <c r="B44" s="43" t="s">
        <v>29</v>
      </c>
      <c r="C44" s="46">
        <f>+GETPIVOTDATA("APROPIACION",$B$6,"DESCRIPCION","C- INVERSION")</f>
        <v>4237527.2563049998</v>
      </c>
      <c r="D44" s="47">
        <f>+GETPIVOTDATA("COMPROMISOS",$B$6,"DESCRIPCION","C- INVERSION")/C44</f>
        <v>0.9755790952344493</v>
      </c>
      <c r="E44" s="47">
        <f>+GETPIVOTDATA(" OBLIGACIONES",$B$6,"DESCRIPCION","C- INVERSION")/GETPIVOTDATA("APROPIACION",$B$6,"DESCRIPCION","C- INVERSION")</f>
        <v>0.96302524889978847</v>
      </c>
      <c r="F44" s="47">
        <f>+GETPIVOTDATA(" PAGOS",$B$6,"DESCRIPCION","C- INVERSION")/GETPIVOTDATA("APROPIACION",$B$6,"DESCRIPCION","C- INVERSION")</f>
        <v>0.96298219816218456</v>
      </c>
      <c r="G44" s="41"/>
      <c r="H44" s="41"/>
      <c r="I44" s="41"/>
      <c r="L44" s="28"/>
      <c r="M44" s="28"/>
      <c r="N44" s="28"/>
    </row>
    <row r="45" spans="1:14" s="11" customFormat="1" hidden="1" outlineLevel="1" x14ac:dyDescent="0.25">
      <c r="A45" s="41"/>
      <c r="B45" s="48" t="s">
        <v>6</v>
      </c>
      <c r="C45" s="49">
        <f>+GETPIVOTDATA("APROPIACION",$B$6)</f>
        <v>5308291.2921669995</v>
      </c>
      <c r="D45" s="50">
        <f>+GETPIVOTDATA("COMPROMISOS",$B$6)/GETPIVOTDATA("APROPIACION",$B$6)</f>
        <v>0.98045543690900261</v>
      </c>
      <c r="E45" s="51">
        <f>+GETPIVOTDATA(" OBLIGACIONES",$B$6)/GETPIVOTDATA("APROPIACION",$B$6)</f>
        <v>0.97001009553717399</v>
      </c>
      <c r="F45" s="51">
        <f>+GETPIVOTDATA(" PAGOS",$B$6)/GETPIVOTDATA("APROPIACION",$B$6)</f>
        <v>0.96848866177631043</v>
      </c>
      <c r="G45" s="41"/>
      <c r="H45" s="41"/>
      <c r="I45" s="41"/>
      <c r="L45" s="28"/>
      <c r="M45" s="28"/>
      <c r="N45" s="28"/>
    </row>
    <row r="46" spans="1:14" s="11" customFormat="1" hidden="1" outlineLevel="1" x14ac:dyDescent="0.25">
      <c r="A46" s="41"/>
      <c r="B46" s="41"/>
      <c r="C46" s="41"/>
      <c r="D46" s="41"/>
      <c r="E46" s="41"/>
      <c r="F46" s="41"/>
      <c r="G46" s="41"/>
      <c r="H46" s="41"/>
      <c r="I46" s="41"/>
      <c r="L46" s="29"/>
      <c r="M46" s="29"/>
      <c r="N46" s="29"/>
    </row>
    <row r="47" spans="1:14" hidden="1" outlineLevel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20"/>
      <c r="K47" s="20"/>
      <c r="L47" s="30"/>
      <c r="M47" s="30"/>
      <c r="N47" s="30"/>
    </row>
    <row r="48" spans="1:14" hidden="1" outlineLevel="1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20"/>
      <c r="K48" s="20"/>
      <c r="L48" s="30"/>
      <c r="M48" s="30"/>
      <c r="N48" s="30"/>
    </row>
    <row r="49" spans="1:14" hidden="1" outlineLevel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20"/>
      <c r="K49" s="20"/>
      <c r="L49" s="30"/>
      <c r="M49" s="30"/>
      <c r="N49" s="30"/>
    </row>
    <row r="50" spans="1:14" hidden="1" outlineLevel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20"/>
      <c r="K50" s="20"/>
      <c r="L50" s="30"/>
      <c r="M50" s="30"/>
      <c r="N50" s="30"/>
    </row>
    <row r="51" spans="1:14" hidden="1" outlineLevel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20"/>
      <c r="K51" s="20"/>
      <c r="L51" s="30"/>
      <c r="M51" s="30"/>
      <c r="N51" s="30"/>
    </row>
    <row r="52" spans="1:14" hidden="1" outlineLevel="1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20"/>
      <c r="K52" s="20"/>
      <c r="L52" s="30"/>
      <c r="M52" s="30"/>
      <c r="N52" s="30"/>
    </row>
    <row r="53" spans="1:14" hidden="1" outlineLevel="1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20"/>
      <c r="K53" s="20"/>
      <c r="L53" s="30"/>
      <c r="M53" s="30"/>
      <c r="N53" s="30"/>
    </row>
    <row r="54" spans="1:14" hidden="1" outlineLevel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20"/>
      <c r="K54" s="20"/>
      <c r="L54" s="30"/>
      <c r="M54" s="30"/>
      <c r="N54" s="30"/>
    </row>
    <row r="55" spans="1:14" hidden="1" outlineLevel="1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20"/>
      <c r="K55" s="20"/>
      <c r="L55" s="30"/>
      <c r="M55" s="30"/>
      <c r="N55" s="30"/>
    </row>
    <row r="56" spans="1:14" hidden="1" outlineLevel="1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20"/>
      <c r="K56" s="20"/>
      <c r="L56" s="30"/>
      <c r="M56" s="30"/>
      <c r="N56" s="30"/>
    </row>
    <row r="57" spans="1:14" collapsed="1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26"/>
      <c r="K57" s="30"/>
      <c r="L57" s="30"/>
      <c r="M57" s="30"/>
      <c r="N57" s="30"/>
    </row>
    <row r="58" spans="1:14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26"/>
      <c r="K58" s="30"/>
      <c r="L58" s="30"/>
      <c r="M58" s="30"/>
      <c r="N58" s="30"/>
    </row>
    <row r="59" spans="1:14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26"/>
      <c r="K59" s="30"/>
      <c r="L59" s="30"/>
      <c r="M59" s="30"/>
      <c r="N59" s="30"/>
    </row>
    <row r="60" spans="1:14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27"/>
    </row>
    <row r="61" spans="1:14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20"/>
    </row>
    <row r="62" spans="1:14" x14ac:dyDescent="0.25">
      <c r="A62" s="40"/>
      <c r="B62" s="40"/>
      <c r="C62" s="40"/>
      <c r="D62" s="40"/>
      <c r="E62" s="40"/>
      <c r="F62" s="40"/>
      <c r="G62" s="40"/>
      <c r="H62" s="40"/>
      <c r="I62" s="40"/>
    </row>
    <row r="63" spans="1:14" x14ac:dyDescent="0.25">
      <c r="A63" s="40"/>
      <c r="B63" s="40"/>
      <c r="C63" s="40"/>
      <c r="D63" s="40"/>
      <c r="E63" s="40"/>
      <c r="F63" s="40"/>
      <c r="G63" s="40"/>
      <c r="H63" s="40"/>
      <c r="I63" s="40"/>
    </row>
    <row r="64" spans="1:14" x14ac:dyDescent="0.25">
      <c r="A64" s="40"/>
      <c r="B64" s="40"/>
      <c r="C64" s="40"/>
      <c r="D64" s="40"/>
      <c r="E64" s="40"/>
      <c r="F64" s="40"/>
      <c r="G64" s="40"/>
      <c r="H64" s="40"/>
      <c r="I64" s="40"/>
    </row>
    <row r="65" spans="1:9" x14ac:dyDescent="0.25">
      <c r="A65" s="40"/>
      <c r="B65" s="40"/>
      <c r="C65" s="40"/>
      <c r="D65" s="40"/>
      <c r="E65" s="40"/>
      <c r="F65" s="40"/>
      <c r="G65" s="40"/>
      <c r="H65" s="40"/>
      <c r="I65" s="40"/>
    </row>
    <row r="66" spans="1:9" x14ac:dyDescent="0.25">
      <c r="A66" s="40"/>
      <c r="B66" s="40"/>
      <c r="C66" s="40"/>
      <c r="D66" s="40"/>
      <c r="E66" s="40"/>
      <c r="F66" s="40"/>
      <c r="G66" s="40"/>
      <c r="H66" s="40"/>
      <c r="I66" s="40"/>
    </row>
    <row r="67" spans="1:9" x14ac:dyDescent="0.25">
      <c r="A67" s="40"/>
      <c r="B67" s="40"/>
      <c r="C67" s="40"/>
      <c r="D67" s="40"/>
      <c r="E67" s="40"/>
      <c r="F67" s="40"/>
      <c r="G67" s="40"/>
      <c r="H67" s="40"/>
      <c r="I67" s="40"/>
    </row>
    <row r="68" spans="1:9" x14ac:dyDescent="0.25">
      <c r="A68" s="14"/>
      <c r="B68" s="14"/>
      <c r="C68" s="14"/>
      <c r="D68" s="14"/>
      <c r="E68" s="14"/>
      <c r="F68" s="14"/>
      <c r="G68" s="14"/>
      <c r="H68" s="14"/>
      <c r="I68" s="14"/>
    </row>
  </sheetData>
  <pageMargins left="0.7" right="0.7" top="0.75" bottom="0.75" header="0.3" footer="0.3"/>
  <pageSetup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  <pageSetUpPr fitToPage="1"/>
  </sheetPr>
  <dimension ref="A6:K89"/>
  <sheetViews>
    <sheetView showGridLines="0" showRowColHeaders="0" topLeftCell="A4" zoomScale="110" zoomScaleNormal="110" workbookViewId="0"/>
  </sheetViews>
  <sheetFormatPr baseColWidth="10" defaultRowHeight="15" outlineLevelRow="1" x14ac:dyDescent="0.25"/>
  <cols>
    <col min="1" max="1" width="7.42578125" customWidth="1"/>
    <col min="2" max="2" width="56.42578125" bestFit="1" customWidth="1"/>
    <col min="3" max="3" width="14" bestFit="1" customWidth="1"/>
    <col min="4" max="4" width="15.42578125" bestFit="1" customWidth="1"/>
    <col min="5" max="5" width="14.7109375" bestFit="1" customWidth="1"/>
    <col min="6" max="6" width="14.42578125" bestFit="1" customWidth="1"/>
  </cols>
  <sheetData>
    <row r="6" spans="2:6" ht="30" x14ac:dyDescent="0.25">
      <c r="B6" s="4" t="s">
        <v>5</v>
      </c>
      <c r="C6" s="16" t="s">
        <v>22</v>
      </c>
      <c r="D6" s="16" t="s">
        <v>12</v>
      </c>
      <c r="E6" s="16" t="s">
        <v>13</v>
      </c>
      <c r="F6" s="16" t="s">
        <v>18</v>
      </c>
    </row>
    <row r="7" spans="2:6" x14ac:dyDescent="0.25">
      <c r="B7" s="2" t="s">
        <v>30</v>
      </c>
      <c r="C7" s="24">
        <v>49280.950576000003</v>
      </c>
      <c r="D7" s="24">
        <v>49280.866771729998</v>
      </c>
      <c r="E7" s="24">
        <v>49280.866771729998</v>
      </c>
      <c r="F7" s="24">
        <v>49280.866771729998</v>
      </c>
    </row>
    <row r="8" spans="2:6" x14ac:dyDescent="0.25">
      <c r="B8" s="2" t="s">
        <v>31</v>
      </c>
      <c r="C8" s="24">
        <v>19113.893348000001</v>
      </c>
      <c r="D8" s="24">
        <v>18954.646497439997</v>
      </c>
      <c r="E8" s="24">
        <v>18839.481505539999</v>
      </c>
      <c r="F8" s="24">
        <v>18540.442011769999</v>
      </c>
    </row>
    <row r="9" spans="2:6" x14ac:dyDescent="0.25">
      <c r="B9" s="2" t="s">
        <v>32</v>
      </c>
      <c r="C9" s="24">
        <v>16327.45217855</v>
      </c>
      <c r="D9" s="24">
        <v>16222.798335880001</v>
      </c>
      <c r="E9" s="24">
        <v>14088.314694580002</v>
      </c>
      <c r="F9" s="24">
        <v>6493.5692779499996</v>
      </c>
    </row>
    <row r="10" spans="2:6" ht="30" x14ac:dyDescent="0.25">
      <c r="B10" s="12" t="s">
        <v>33</v>
      </c>
      <c r="C10" s="24">
        <v>16843.268897450002</v>
      </c>
      <c r="D10" s="24">
        <v>16843.268897450002</v>
      </c>
      <c r="E10" s="24">
        <v>16843.268897450002</v>
      </c>
      <c r="F10" s="24">
        <v>16843.268897450002</v>
      </c>
    </row>
    <row r="11" spans="2:6" x14ac:dyDescent="0.25">
      <c r="B11" s="2" t="s">
        <v>6</v>
      </c>
      <c r="C11" s="24">
        <v>101565.565</v>
      </c>
      <c r="D11" s="24">
        <v>101301.5805025</v>
      </c>
      <c r="E11" s="24">
        <v>99051.931869299995</v>
      </c>
      <c r="F11" s="24">
        <v>91158.14695889999</v>
      </c>
    </row>
    <row r="16" spans="2:6" x14ac:dyDescent="0.25">
      <c r="B16" s="15"/>
      <c r="C16" s="15"/>
      <c r="D16" s="15"/>
      <c r="E16" s="15"/>
      <c r="F16" s="15"/>
    </row>
    <row r="17" spans="2:6" x14ac:dyDescent="0.25">
      <c r="B17" s="15"/>
      <c r="C17" s="15"/>
      <c r="D17" s="15"/>
      <c r="E17" s="15"/>
      <c r="F17" s="15"/>
    </row>
    <row r="18" spans="2:6" x14ac:dyDescent="0.25">
      <c r="B18" s="15"/>
      <c r="C18" s="15"/>
      <c r="D18" s="15"/>
      <c r="E18" s="15"/>
      <c r="F18" s="15"/>
    </row>
    <row r="19" spans="2:6" x14ac:dyDescent="0.25">
      <c r="B19" s="15"/>
      <c r="C19" s="15"/>
      <c r="D19" s="15"/>
      <c r="E19" s="15"/>
      <c r="F19" s="15"/>
    </row>
    <row r="20" spans="2:6" x14ac:dyDescent="0.25">
      <c r="B20" s="15"/>
      <c r="C20" s="15"/>
      <c r="D20" s="15"/>
      <c r="E20" s="15"/>
      <c r="F20" s="15"/>
    </row>
    <row r="21" spans="2:6" x14ac:dyDescent="0.25">
      <c r="B21" s="15"/>
      <c r="C21" s="15"/>
      <c r="D21" s="15"/>
      <c r="E21" s="15"/>
      <c r="F21" s="15"/>
    </row>
    <row r="22" spans="2:6" x14ac:dyDescent="0.25">
      <c r="B22" s="15"/>
      <c r="C22" s="15"/>
      <c r="D22" s="15"/>
      <c r="E22" s="15"/>
      <c r="F22" s="15"/>
    </row>
    <row r="23" spans="2:6" x14ac:dyDescent="0.25">
      <c r="B23" s="15"/>
      <c r="C23" s="15"/>
      <c r="D23" s="15"/>
      <c r="E23" s="15"/>
      <c r="F23" s="15"/>
    </row>
    <row r="24" spans="2:6" x14ac:dyDescent="0.25">
      <c r="B24" s="15"/>
      <c r="C24" s="15"/>
      <c r="D24" s="15"/>
      <c r="E24" s="15"/>
      <c r="F24" s="15"/>
    </row>
    <row r="25" spans="2:6" x14ac:dyDescent="0.25">
      <c r="B25" s="15"/>
      <c r="C25" s="15"/>
      <c r="D25" s="15"/>
      <c r="E25" s="15"/>
      <c r="F25" s="15"/>
    </row>
    <row r="26" spans="2:6" x14ac:dyDescent="0.25">
      <c r="B26" s="15"/>
      <c r="C26" s="15"/>
      <c r="D26" s="15"/>
      <c r="E26" s="15"/>
      <c r="F26" s="15"/>
    </row>
    <row r="27" spans="2:6" x14ac:dyDescent="0.25">
      <c r="B27" s="15"/>
      <c r="C27" s="15"/>
      <c r="D27" s="15"/>
      <c r="E27" s="15"/>
      <c r="F27" s="15"/>
    </row>
    <row r="28" spans="2:6" x14ac:dyDescent="0.25">
      <c r="B28" s="15"/>
      <c r="C28" s="15"/>
      <c r="D28" s="15"/>
      <c r="E28" s="15"/>
      <c r="F28" s="15"/>
    </row>
    <row r="29" spans="2:6" x14ac:dyDescent="0.25">
      <c r="B29" s="15"/>
      <c r="C29" s="15"/>
      <c r="D29" s="15"/>
      <c r="E29" s="15"/>
      <c r="F29" s="15"/>
    </row>
    <row r="30" spans="2:6" x14ac:dyDescent="0.25">
      <c r="B30" s="15"/>
      <c r="C30" s="15"/>
      <c r="D30" s="15"/>
      <c r="E30" s="15"/>
      <c r="F30" s="15"/>
    </row>
    <row r="31" spans="2:6" x14ac:dyDescent="0.25">
      <c r="B31" s="15"/>
      <c r="C31" s="15"/>
      <c r="D31" s="15"/>
      <c r="E31" s="15"/>
      <c r="F31" s="15"/>
    </row>
    <row r="32" spans="2:6" x14ac:dyDescent="0.25">
      <c r="B32" s="15"/>
      <c r="C32" s="15"/>
      <c r="D32" s="15"/>
      <c r="E32" s="15"/>
      <c r="F32" s="15"/>
    </row>
    <row r="33" spans="1:11" x14ac:dyDescent="0.25">
      <c r="B33" s="15"/>
      <c r="C33" s="15"/>
      <c r="D33" s="15"/>
      <c r="E33" s="15"/>
      <c r="F33" s="15"/>
    </row>
    <row r="34" spans="1:11" x14ac:dyDescent="0.25">
      <c r="B34" s="15"/>
      <c r="C34" s="15"/>
      <c r="D34" s="15"/>
      <c r="E34" s="15"/>
      <c r="F34" s="15"/>
    </row>
    <row r="35" spans="1:11" x14ac:dyDescent="0.25">
      <c r="B35" s="15"/>
      <c r="C35" s="15"/>
      <c r="D35" s="15"/>
      <c r="E35" s="15"/>
      <c r="F35" s="15"/>
    </row>
    <row r="36" spans="1:11" x14ac:dyDescent="0.25">
      <c r="B36" s="15"/>
      <c r="C36" s="15"/>
      <c r="D36" s="15"/>
      <c r="E36" s="15"/>
      <c r="F36" s="15"/>
    </row>
    <row r="37" spans="1:11" x14ac:dyDescent="0.25">
      <c r="B37" s="15"/>
      <c r="C37" s="15"/>
      <c r="D37" s="15"/>
      <c r="E37" s="15"/>
      <c r="F37" s="15"/>
    </row>
    <row r="38" spans="1:11" x14ac:dyDescent="0.25">
      <c r="B38" s="15"/>
      <c r="C38" s="15"/>
      <c r="D38" s="15"/>
      <c r="E38" s="15"/>
      <c r="F38" s="15"/>
    </row>
    <row r="39" spans="1:11" x14ac:dyDescent="0.25">
      <c r="B39" s="15"/>
      <c r="C39" s="15"/>
      <c r="D39" s="15"/>
      <c r="E39" s="15"/>
      <c r="F39" s="15"/>
    </row>
    <row r="40" spans="1:11" x14ac:dyDescent="0.25">
      <c r="B40" s="15"/>
      <c r="C40" s="15"/>
      <c r="D40" s="15"/>
      <c r="E40" s="15"/>
      <c r="F40" s="15"/>
    </row>
    <row r="41" spans="1:11" x14ac:dyDescent="0.25">
      <c r="B41" s="15"/>
      <c r="C41" s="15"/>
      <c r="D41" s="15"/>
      <c r="E41" s="15"/>
      <c r="F41" s="15"/>
    </row>
    <row r="42" spans="1:11" x14ac:dyDescent="0.25">
      <c r="A42" s="14"/>
      <c r="B42" s="20"/>
      <c r="C42" s="20"/>
      <c r="D42" s="20"/>
      <c r="E42" s="20"/>
      <c r="F42" s="19"/>
      <c r="G42" s="19"/>
      <c r="H42" s="10"/>
    </row>
    <row r="43" spans="1:11" x14ac:dyDescent="0.25">
      <c r="A43" s="14"/>
      <c r="B43" s="20" t="s">
        <v>5</v>
      </c>
      <c r="C43" s="20" t="s">
        <v>22</v>
      </c>
      <c r="D43" s="20" t="s">
        <v>12</v>
      </c>
      <c r="E43" s="20" t="s">
        <v>13</v>
      </c>
      <c r="F43" s="20" t="s">
        <v>18</v>
      </c>
      <c r="G43" s="20"/>
      <c r="H43" s="10"/>
    </row>
    <row r="44" spans="1:11" hidden="1" outlineLevel="1" x14ac:dyDescent="0.25">
      <c r="A44" s="40"/>
      <c r="B44" s="40" t="s">
        <v>30</v>
      </c>
      <c r="C44" s="40">
        <f>+GETPIVOTDATA(" APROPIACION
 VIGENTE",$B$6,"DESCRIPCION","A-01 -GASTOS DE PERSONAL")</f>
        <v>49280.950576000003</v>
      </c>
      <c r="D44" s="53">
        <f>+GETPIVOTDATA(" COMPROMISOS
 ACUMULADOS",$B$6,"DESCRIPCION","A-01 -GASTOS DE PERSONAL")/GETPIVOTDATA(" APROPIACION
 VIGENTE",$B$6,"DESCRIPCION","A-01 -GASTOS DE PERSONAL")</f>
        <v>0.99999829945914143</v>
      </c>
      <c r="E44" s="53">
        <f>+GETPIVOTDATA(" OBLIGACIONES
 ACUMULADAS",$B$6,"DESCRIPCION","A-01 -GASTOS DE PERSONAL")/GETPIVOTDATA(" APROPIACION
 VIGENTE",$B$6,"DESCRIPCION","A-01 -GASTOS DE PERSONAL")</f>
        <v>0.99999829945914143</v>
      </c>
      <c r="F44" s="53">
        <f>+GETPIVOTDATA(" PAGOS
 ACUMULADOS",$B$6,"DESCRIPCION","A-01 -GASTOS DE PERSONAL")/GETPIVOTDATA(" APROPIACION
 VIGENTE",$B$6,"DESCRIPCION","A-01 -GASTOS DE PERSONAL")</f>
        <v>0.99999829945914143</v>
      </c>
      <c r="G44" s="15"/>
      <c r="H44" s="15"/>
      <c r="I44" s="15"/>
      <c r="J44" s="15"/>
      <c r="K44" s="15"/>
    </row>
    <row r="45" spans="1:11" hidden="1" outlineLevel="1" x14ac:dyDescent="0.25">
      <c r="A45" s="40"/>
      <c r="B45" s="40" t="s">
        <v>31</v>
      </c>
      <c r="C45" s="40">
        <f>+GETPIVOTDATA(" APROPIACION
 VIGENTE",$B$6,"DESCRIPCION","A-02 -ADQUISICIÓN DE BIENES  Y SERVICIOS")</f>
        <v>19113.893348000001</v>
      </c>
      <c r="D45" s="54">
        <f>+GETPIVOTDATA(" COMPROMISOS
 ACUMULADOS",$B$6,"DESCRIPCION","A-02 -ADQUISICIÓN DE BIENES  Y SERVICIOS")/GETPIVOTDATA(" APROPIACION
 VIGENTE",$B$6,"DESCRIPCION","A-02 -ADQUISICIÓN DE BIENES  Y SERVICIOS")</f>
        <v>0.99166852887265544</v>
      </c>
      <c r="E45" s="54">
        <f>+GETPIVOTDATA(" OBLIGACIONES
 ACUMULADAS",$B$6,"DESCRIPCION","A-02 -ADQUISICIÓN DE BIENES  Y SERVICIOS")/GETPIVOTDATA(" APROPIACION
 VIGENTE",$B$6,"DESCRIPCION","A-02 -ADQUISICIÓN DE BIENES  Y SERVICIOS")</f>
        <v>0.98564333087645295</v>
      </c>
      <c r="F45" s="54">
        <f>+GETPIVOTDATA(" PAGOS
 ACUMULADOS",$B$6,"DESCRIPCION","A-02 -ADQUISICIÓN DE BIENES  Y SERVICIOS")/GETPIVOTDATA(" APROPIACION
 VIGENTE",$B$6,"DESCRIPCION","A-02 -ADQUISICIÓN DE BIENES  Y SERVICIOS")</f>
        <v>0.96999819315775315</v>
      </c>
      <c r="G45" s="15"/>
      <c r="H45" s="15"/>
      <c r="I45" s="15"/>
      <c r="J45" s="15"/>
      <c r="K45" s="15"/>
    </row>
    <row r="46" spans="1:11" hidden="1" outlineLevel="1" x14ac:dyDescent="0.25">
      <c r="A46" s="40"/>
      <c r="B46" s="40" t="s">
        <v>32</v>
      </c>
      <c r="C46" s="40">
        <f>+GETPIVOTDATA(" APROPIACION
 VIGENTE",$B$6,"DESCRIPCION","A-03-TRANSFERENCIAS CORRIENTES")</f>
        <v>16327.45217855</v>
      </c>
      <c r="D46" s="54">
        <f>+GETPIVOTDATA(" COMPROMISOS
 ACUMULADOS",$B$6,"DESCRIPCION","A-03-TRANSFERENCIAS CORRIENTES")/GETPIVOTDATA(" APROPIACION
 VIGENTE",$B$6,"DESCRIPCION","A-03-TRANSFERENCIAS CORRIENTES")</f>
        <v>0.99359031393719299</v>
      </c>
      <c r="E46" s="54">
        <f>+GETPIVOTDATA(" OBLIGACIONES
 ACUMULADAS",$B$6,"DESCRIPCION","A-03-TRANSFERENCIAS CORRIENTES")/GETPIVOTDATA(" APROPIACION
 VIGENTE",$B$6,"DESCRIPCION","A-03-TRANSFERENCIAS CORRIENTES")</f>
        <v>0.86286057007034822</v>
      </c>
      <c r="F46" s="54">
        <f>+GETPIVOTDATA(" PAGOS
 ACUMULADOS",$B$6,"DESCRIPCION","A-03-TRANSFERENCIAS CORRIENTES")/GETPIVOTDATA(" APROPIACION
 VIGENTE",$B$6,"DESCRIPCION","A-03-TRANSFERENCIAS CORRIENTES")</f>
        <v>0.39770866923627257</v>
      </c>
      <c r="G46" s="15"/>
      <c r="H46" s="15"/>
      <c r="I46" s="15"/>
      <c r="J46" s="15"/>
      <c r="K46" s="15"/>
    </row>
    <row r="47" spans="1:11" hidden="1" outlineLevel="1" x14ac:dyDescent="0.25">
      <c r="A47" s="40"/>
      <c r="B47" s="40" t="s">
        <v>33</v>
      </c>
      <c r="C47" s="40">
        <f>+GETPIVOTDATA(" APROPIACION
 VIGENTE",$B$6,"DESCRIPCION","A-08-GASTOS POR TRIBUTOS, MULTAS, SANCIONES E INTERESES DE MORA")</f>
        <v>16843.268897450002</v>
      </c>
      <c r="D47" s="54">
        <f>+GETPIVOTDATA(" COMPROMISOS
 ACUMULADOS",$B$6,"DESCRIPCION","A-08-GASTOS POR TRIBUTOS, MULTAS, SANCIONES E INTERESES DE MORA")/GETPIVOTDATA(" APROPIACION
 VIGENTE",$B$6,"DESCRIPCION","A-08-GASTOS POR TRIBUTOS, MULTAS, SANCIONES E INTERESES DE MORA")</f>
        <v>1</v>
      </c>
      <c r="E47" s="54">
        <f>+GETPIVOTDATA(" OBLIGACIONES
 ACUMULADAS",$B$6,"DESCRIPCION","A-08-GASTOS POR TRIBUTOS, MULTAS, SANCIONES E INTERESES DE MORA")/GETPIVOTDATA(" APROPIACION
 VIGENTE",$B$6,"DESCRIPCION","A-08-GASTOS POR TRIBUTOS, MULTAS, SANCIONES E INTERESES DE MORA")</f>
        <v>1</v>
      </c>
      <c r="F47" s="54">
        <f>+GETPIVOTDATA(" PAGOS
 ACUMULADOS",$B$6,"DESCRIPCION","A-08-GASTOS POR TRIBUTOS, MULTAS, SANCIONES E INTERESES DE MORA")/GETPIVOTDATA(" APROPIACION
 VIGENTE",$B$6,"DESCRIPCION","A-08-GASTOS POR TRIBUTOS, MULTAS, SANCIONES E INTERESES DE MORA")</f>
        <v>1</v>
      </c>
      <c r="G47" s="15"/>
      <c r="H47" s="15"/>
      <c r="I47" s="15"/>
      <c r="J47" s="15"/>
      <c r="K47" s="15"/>
    </row>
    <row r="48" spans="1:11" hidden="1" outlineLevel="1" x14ac:dyDescent="0.25">
      <c r="A48" s="40"/>
      <c r="B48" s="40" t="s">
        <v>6</v>
      </c>
      <c r="C48" s="40">
        <f>+GETPIVOTDATA(" APROPIACION
 VIGENTE",$B$6)</f>
        <v>101565.565</v>
      </c>
      <c r="D48" s="52">
        <f>+GETPIVOTDATA(" COMPROMISOS
 ACUMULADOS",$B$6)/GETPIVOTDATA(" APROPIACION
 VIGENTE",$B$6)</f>
        <v>0.99740084646307037</v>
      </c>
      <c r="E48" s="52">
        <f>+GETPIVOTDATA(" OBLIGACIONES
 ACUMULADAS",$B$6)/GETPIVOTDATA(" APROPIACION
 VIGENTE",$B$6)</f>
        <v>0.97525112836520911</v>
      </c>
      <c r="F48" s="52">
        <f>+GETPIVOTDATA(" PAGOS
 ACUMULADOS",$B$6)/GETPIVOTDATA(" APROPIACION
 VIGENTE",$B$6)</f>
        <v>0.89753005321144019</v>
      </c>
      <c r="G48" s="15"/>
      <c r="H48" s="15"/>
      <c r="I48" s="15"/>
      <c r="J48" s="15"/>
      <c r="K48" s="15"/>
    </row>
    <row r="49" spans="1:11" collapsed="1" x14ac:dyDescent="0.25">
      <c r="A49" s="40"/>
      <c r="B49" s="40"/>
      <c r="C49" s="40"/>
      <c r="D49" s="40"/>
      <c r="E49" s="40"/>
      <c r="F49" s="26"/>
      <c r="G49" s="26"/>
      <c r="H49" s="26"/>
      <c r="I49" s="26"/>
      <c r="J49" s="26"/>
      <c r="K49" s="14"/>
    </row>
    <row r="50" spans="1:11" x14ac:dyDescent="0.25">
      <c r="A50" s="40"/>
      <c r="B50" s="40"/>
      <c r="C50" s="40"/>
      <c r="D50" s="40"/>
      <c r="E50" s="40"/>
      <c r="F50" s="26"/>
      <c r="G50" s="26"/>
      <c r="H50" s="26"/>
      <c r="I50" s="26"/>
      <c r="J50" s="26"/>
      <c r="K50" s="14"/>
    </row>
    <row r="51" spans="1:11" x14ac:dyDescent="0.25">
      <c r="A51" s="14"/>
      <c r="B51" s="26"/>
      <c r="C51" s="26"/>
      <c r="D51" s="26"/>
      <c r="E51" s="26"/>
      <c r="F51" s="26"/>
      <c r="G51" s="26"/>
      <c r="H51" s="26"/>
      <c r="I51" s="26"/>
      <c r="J51" s="26"/>
      <c r="K51" s="14"/>
    </row>
    <row r="52" spans="1:11" x14ac:dyDescent="0.25">
      <c r="A52" s="14"/>
      <c r="B52" s="26"/>
      <c r="C52" s="26"/>
      <c r="D52" s="26"/>
      <c r="E52" s="26"/>
      <c r="F52" s="26"/>
      <c r="G52" s="26"/>
      <c r="H52" s="26"/>
      <c r="I52" s="26"/>
      <c r="J52" s="26"/>
      <c r="K52" s="14"/>
    </row>
    <row r="53" spans="1:11" x14ac:dyDescent="0.25">
      <c r="A53" s="10"/>
      <c r="B53" s="26"/>
      <c r="C53" s="26"/>
      <c r="D53" s="26"/>
      <c r="E53" s="26"/>
      <c r="F53" s="26"/>
      <c r="G53" s="26"/>
      <c r="H53" s="26"/>
      <c r="I53" s="26"/>
      <c r="J53" s="26"/>
      <c r="K53" s="14"/>
    </row>
    <row r="54" spans="1:11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14"/>
    </row>
    <row r="55" spans="1:11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14"/>
    </row>
    <row r="56" spans="1:11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14"/>
    </row>
    <row r="57" spans="1:11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14"/>
    </row>
    <row r="58" spans="1:11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14"/>
    </row>
    <row r="59" spans="1:11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14"/>
    </row>
    <row r="60" spans="1:11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14"/>
    </row>
    <row r="61" spans="1:1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x14ac:dyDescent="0.25">
      <c r="B63" s="14"/>
      <c r="C63" s="14"/>
      <c r="D63" s="14"/>
      <c r="E63" s="14"/>
      <c r="F63" s="14"/>
      <c r="G63" s="14"/>
      <c r="H63" s="14"/>
      <c r="I63" s="14"/>
      <c r="J63" s="14"/>
    </row>
    <row r="64" spans="1:11" x14ac:dyDescent="0.25">
      <c r="B64" s="14"/>
      <c r="C64" s="14"/>
      <c r="D64" s="14"/>
      <c r="E64" s="14"/>
      <c r="F64" s="14"/>
      <c r="G64" s="14"/>
      <c r="H64" s="14"/>
      <c r="I64" s="14"/>
      <c r="J64" s="14"/>
    </row>
    <row r="65" spans="2:10" x14ac:dyDescent="0.25">
      <c r="B65" s="14"/>
      <c r="C65" s="14"/>
      <c r="D65" s="14"/>
      <c r="E65" s="14"/>
      <c r="F65" s="14"/>
      <c r="G65" s="14"/>
      <c r="H65" s="14"/>
      <c r="I65" s="14"/>
      <c r="J65" s="14"/>
    </row>
    <row r="66" spans="2:10" x14ac:dyDescent="0.25">
      <c r="B66" s="14"/>
      <c r="C66" s="14"/>
      <c r="D66" s="14"/>
      <c r="E66" s="14"/>
      <c r="F66" s="14"/>
      <c r="G66" s="14"/>
      <c r="H66" s="14"/>
      <c r="I66" s="14"/>
      <c r="J66" s="14"/>
    </row>
    <row r="67" spans="2:10" x14ac:dyDescent="0.25">
      <c r="B67" s="14"/>
      <c r="C67" s="14"/>
      <c r="D67" s="14"/>
      <c r="E67" s="14"/>
      <c r="F67" s="14"/>
      <c r="G67" s="14"/>
      <c r="H67" s="14"/>
      <c r="I67" s="14"/>
      <c r="J67" s="14"/>
    </row>
    <row r="68" spans="2:10" x14ac:dyDescent="0.25">
      <c r="B68" s="14"/>
      <c r="C68" s="14"/>
      <c r="D68" s="14"/>
      <c r="E68" s="14"/>
      <c r="F68" s="14"/>
      <c r="G68" s="14"/>
      <c r="H68" s="14"/>
      <c r="I68" s="14"/>
      <c r="J68" s="14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x14ac:dyDescent="0.25">
      <c r="B70" s="14"/>
      <c r="C70" s="14"/>
      <c r="D70" s="14"/>
      <c r="E70" s="14"/>
      <c r="F70" s="14"/>
      <c r="G70" s="14"/>
      <c r="H70" s="14"/>
      <c r="I70" s="14"/>
      <c r="J70" s="14"/>
    </row>
    <row r="71" spans="2:10" x14ac:dyDescent="0.25">
      <c r="B71" s="14"/>
      <c r="C71" s="14"/>
      <c r="D71" s="14"/>
      <c r="E71" s="14"/>
      <c r="F71" s="14"/>
      <c r="G71" s="14"/>
      <c r="H71" s="14"/>
      <c r="I71" s="14"/>
      <c r="J71" s="14"/>
    </row>
    <row r="72" spans="2:10" x14ac:dyDescent="0.25">
      <c r="B72" s="14"/>
      <c r="C72" s="14"/>
      <c r="D72" s="14"/>
      <c r="E72" s="14"/>
      <c r="F72" s="14"/>
      <c r="G72" s="14"/>
      <c r="H72" s="14"/>
      <c r="I72" s="14"/>
      <c r="J72" s="14"/>
    </row>
    <row r="73" spans="2:10" x14ac:dyDescent="0.25">
      <c r="B73" s="14"/>
      <c r="C73" s="14"/>
      <c r="D73" s="14"/>
      <c r="E73" s="14"/>
      <c r="F73" s="14"/>
      <c r="G73" s="14"/>
      <c r="H73" s="14"/>
      <c r="I73" s="14"/>
      <c r="J73" s="14"/>
    </row>
    <row r="74" spans="2:10" x14ac:dyDescent="0.25">
      <c r="B74" s="14"/>
      <c r="C74" s="14"/>
      <c r="D74" s="14"/>
      <c r="E74" s="14"/>
      <c r="F74" s="14"/>
      <c r="G74" s="14"/>
      <c r="H74" s="14"/>
      <c r="I74" s="14"/>
      <c r="J74" s="14"/>
    </row>
    <row r="75" spans="2:10" x14ac:dyDescent="0.25">
      <c r="B75" s="14"/>
      <c r="C75" s="14"/>
      <c r="D75" s="14"/>
      <c r="E75" s="14"/>
      <c r="F75" s="14"/>
      <c r="G75" s="14"/>
      <c r="H75" s="14"/>
      <c r="I75" s="14"/>
      <c r="J75" s="14"/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x14ac:dyDescent="0.25">
      <c r="B77" s="14"/>
      <c r="C77" s="14"/>
      <c r="D77" s="14"/>
      <c r="E77" s="14"/>
      <c r="F77" s="14"/>
      <c r="G77" s="14"/>
      <c r="H77" s="14"/>
      <c r="I77" s="14"/>
      <c r="J77" s="14"/>
    </row>
    <row r="78" spans="2:10" x14ac:dyDescent="0.25">
      <c r="B78" s="14"/>
      <c r="C78" s="14"/>
      <c r="D78" s="14"/>
      <c r="E78" s="14"/>
      <c r="F78" s="14"/>
      <c r="G78" s="14"/>
      <c r="H78" s="14"/>
      <c r="I78" s="14"/>
      <c r="J78" s="14"/>
    </row>
    <row r="79" spans="2:10" x14ac:dyDescent="0.25">
      <c r="B79" s="14"/>
      <c r="C79" s="14"/>
      <c r="D79" s="14"/>
      <c r="E79" s="14"/>
      <c r="F79" s="14"/>
      <c r="G79" s="14"/>
      <c r="H79" s="14"/>
      <c r="I79" s="14"/>
      <c r="J79" s="14"/>
    </row>
    <row r="80" spans="2:10" x14ac:dyDescent="0.25">
      <c r="B80" s="14"/>
      <c r="C80" s="14"/>
      <c r="D80" s="14"/>
      <c r="E80" s="14"/>
      <c r="F80" s="14"/>
      <c r="G80" s="14"/>
      <c r="H80" s="14"/>
      <c r="I80" s="14"/>
      <c r="J80" s="14"/>
    </row>
    <row r="81" spans="2:10" x14ac:dyDescent="0.25">
      <c r="B81" s="14"/>
      <c r="C81" s="14"/>
      <c r="D81" s="14"/>
      <c r="E81" s="14"/>
      <c r="F81" s="14"/>
      <c r="G81" s="14"/>
      <c r="H81" s="14"/>
      <c r="I81" s="14"/>
      <c r="J81" s="14"/>
    </row>
    <row r="82" spans="2:10" x14ac:dyDescent="0.25">
      <c r="B82" s="14"/>
      <c r="C82" s="14"/>
      <c r="D82" s="14"/>
      <c r="E82" s="14"/>
      <c r="F82" s="14"/>
      <c r="G82" s="14"/>
      <c r="H82" s="14"/>
      <c r="I82" s="14"/>
      <c r="J82" s="14"/>
    </row>
    <row r="83" spans="2:10" x14ac:dyDescent="0.25">
      <c r="B83" s="14"/>
      <c r="C83" s="14"/>
      <c r="D83" s="14"/>
      <c r="E83" s="14"/>
      <c r="F83" s="14"/>
      <c r="G83" s="14"/>
      <c r="H83" s="14"/>
      <c r="I83" s="14"/>
      <c r="J83" s="14"/>
    </row>
    <row r="84" spans="2:10" x14ac:dyDescent="0.25">
      <c r="B84" s="14"/>
      <c r="C84" s="14"/>
      <c r="D84" s="14"/>
      <c r="E84" s="14"/>
      <c r="F84" s="14"/>
      <c r="G84" s="14"/>
      <c r="H84" s="14"/>
      <c r="I84" s="14"/>
      <c r="J84" s="14"/>
    </row>
    <row r="85" spans="2:10" x14ac:dyDescent="0.25">
      <c r="B85" s="14"/>
      <c r="C85" s="14"/>
      <c r="D85" s="14"/>
      <c r="E85" s="14"/>
      <c r="F85" s="14"/>
      <c r="G85" s="14"/>
      <c r="H85" s="14"/>
      <c r="I85" s="14"/>
      <c r="J85" s="14"/>
    </row>
    <row r="86" spans="2:10" x14ac:dyDescent="0.25">
      <c r="B86" s="14"/>
      <c r="C86" s="14"/>
      <c r="D86" s="14"/>
      <c r="E86" s="14"/>
      <c r="F86" s="14"/>
      <c r="G86" s="14"/>
      <c r="H86" s="14"/>
      <c r="I86" s="14"/>
      <c r="J86" s="14"/>
    </row>
    <row r="87" spans="2:10" x14ac:dyDescent="0.25">
      <c r="B87" s="14"/>
      <c r="C87" s="14"/>
      <c r="D87" s="14"/>
      <c r="E87" s="14"/>
      <c r="F87" s="14"/>
      <c r="G87" s="14"/>
      <c r="H87" s="14"/>
      <c r="I87" s="14"/>
      <c r="J87" s="14"/>
    </row>
    <row r="88" spans="2:10" x14ac:dyDescent="0.25">
      <c r="B88" s="14"/>
      <c r="C88" s="14"/>
      <c r="D88" s="14"/>
      <c r="E88" s="14"/>
      <c r="F88" s="14"/>
      <c r="G88" s="14"/>
      <c r="H88" s="14"/>
      <c r="I88" s="14"/>
      <c r="J88" s="14"/>
    </row>
    <row r="89" spans="2:10" x14ac:dyDescent="0.25">
      <c r="B89" s="14"/>
      <c r="C89" s="14"/>
      <c r="D89" s="14"/>
      <c r="E89" s="14"/>
      <c r="F89" s="14"/>
      <c r="G89" s="14"/>
      <c r="H89" s="14"/>
      <c r="I89" s="14"/>
      <c r="J89" s="14"/>
    </row>
  </sheetData>
  <pageMargins left="0.70866141732283472" right="0.70866141732283472" top="0.74803149606299213" bottom="0.74803149606299213" header="0.31496062992125984" footer="0.31496062992125984"/>
  <pageSetup scale="59" orientation="landscape" horizontalDpi="4294967293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  <pageSetUpPr fitToPage="1"/>
  </sheetPr>
  <dimension ref="B6:F40"/>
  <sheetViews>
    <sheetView showGridLines="0" showRowColHeaders="0" workbookViewId="0"/>
  </sheetViews>
  <sheetFormatPr baseColWidth="10" defaultRowHeight="15" x14ac:dyDescent="0.25"/>
  <cols>
    <col min="1" max="1" width="13.140625" customWidth="1"/>
    <col min="2" max="2" width="24.5703125" bestFit="1" customWidth="1"/>
    <col min="3" max="3" width="31.5703125" bestFit="1" customWidth="1"/>
    <col min="4" max="4" width="30.5703125" bestFit="1" customWidth="1"/>
    <col min="5" max="5" width="22.5703125" bestFit="1" customWidth="1"/>
  </cols>
  <sheetData>
    <row r="6" spans="2:6" x14ac:dyDescent="0.25">
      <c r="B6" s="9" t="s">
        <v>1</v>
      </c>
      <c r="C6" s="8" t="s">
        <v>44</v>
      </c>
    </row>
    <row r="8" spans="2:6" x14ac:dyDescent="0.25">
      <c r="B8" t="s">
        <v>16</v>
      </c>
      <c r="C8" t="s">
        <v>15</v>
      </c>
      <c r="D8" t="s">
        <v>17</v>
      </c>
      <c r="E8" t="s">
        <v>18</v>
      </c>
    </row>
    <row r="9" spans="2:6" x14ac:dyDescent="0.25">
      <c r="B9" s="25">
        <v>4237527256305</v>
      </c>
      <c r="C9" s="25">
        <v>4134043006737.3501</v>
      </c>
      <c r="D9" s="25">
        <v>4080845740722.7598</v>
      </c>
      <c r="E9" s="25">
        <v>4080663312048.7598</v>
      </c>
    </row>
    <row r="11" spans="2:6" x14ac:dyDescent="0.25">
      <c r="B11" s="17"/>
      <c r="F11" s="1"/>
    </row>
    <row r="15" spans="2:6" x14ac:dyDescent="0.25">
      <c r="E15" s="5"/>
    </row>
    <row r="36" spans="2:4" x14ac:dyDescent="0.25">
      <c r="B36" s="101" t="str">
        <f>+CONCATENATE("PROYECTO","  ",C6)</f>
        <v>PROYECTO  (Todas)</v>
      </c>
      <c r="C36" s="101"/>
      <c r="D36" s="101"/>
    </row>
    <row r="37" spans="2:4" ht="52.5" customHeight="1" x14ac:dyDescent="0.25">
      <c r="B37" s="101"/>
      <c r="C37" s="101"/>
      <c r="D37" s="101"/>
    </row>
    <row r="38" spans="2:4" x14ac:dyDescent="0.25">
      <c r="D38" s="6"/>
    </row>
    <row r="40" spans="2:4" x14ac:dyDescent="0.25">
      <c r="B40" s="7"/>
    </row>
  </sheetData>
  <sheetProtection autoFilter="0" pivotTables="0"/>
  <mergeCells count="1">
    <mergeCell ref="B36:D37"/>
  </mergeCells>
  <pageMargins left="0.70866141732283472" right="0.70866141732283472" top="0.74803149606299213" bottom="0.74803149606299213" header="0.31496062992125984" footer="0.31496062992125984"/>
  <pageSetup scale="77" orientation="landscape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17"/>
  <sheetViews>
    <sheetView workbookViewId="0">
      <selection activeCell="C11" sqref="C11"/>
    </sheetView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7" width="17.85546875" bestFit="1" customWidth="1"/>
    <col min="8" max="8" width="18" bestFit="1" customWidth="1"/>
    <col min="9" max="10" width="17.85546875" bestFit="1" customWidth="1"/>
  </cols>
  <sheetData>
    <row r="1" spans="2:7" ht="15.75" thickBot="1" x14ac:dyDescent="0.3"/>
    <row r="2" spans="2:7" ht="63.75" thickBot="1" x14ac:dyDescent="0.3">
      <c r="B2" s="56" t="s">
        <v>89</v>
      </c>
      <c r="C2" s="57" t="s">
        <v>90</v>
      </c>
      <c r="D2" s="58" t="s">
        <v>91</v>
      </c>
      <c r="E2" s="59" t="s">
        <v>92</v>
      </c>
    </row>
    <row r="3" spans="2:7" ht="16.5" thickBot="1" x14ac:dyDescent="0.3">
      <c r="B3" s="64" t="s">
        <v>27</v>
      </c>
      <c r="C3" s="65">
        <f>35431800/1000000</f>
        <v>35.431800000000003</v>
      </c>
      <c r="D3" s="66">
        <v>0</v>
      </c>
      <c r="E3" s="67">
        <f>35431800/1000000</f>
        <v>35.431800000000003</v>
      </c>
      <c r="F3" s="84"/>
      <c r="G3" s="69"/>
    </row>
    <row r="4" spans="2:7" ht="19.5" thickBot="1" x14ac:dyDescent="0.3">
      <c r="B4" s="60" t="s">
        <v>137</v>
      </c>
      <c r="C4" s="61">
        <f>12575330974.47/1000000</f>
        <v>12575.33097447</v>
      </c>
      <c r="D4" s="62">
        <f>112612519.88/1000000</f>
        <v>112.61251987999999</v>
      </c>
      <c r="E4" s="63">
        <f>12318718454.59/1000000</f>
        <v>12318.71845459</v>
      </c>
      <c r="F4" s="86"/>
      <c r="G4" s="84"/>
    </row>
    <row r="6" spans="2:7" x14ac:dyDescent="0.25">
      <c r="C6" s="68"/>
      <c r="D6" s="68"/>
      <c r="E6" s="68"/>
    </row>
    <row r="7" spans="2:7" ht="15.75" thickBot="1" x14ac:dyDescent="0.3">
      <c r="E7" s="55"/>
    </row>
    <row r="8" spans="2:7" ht="63.75" thickBot="1" x14ac:dyDescent="0.3">
      <c r="B8" s="56" t="s">
        <v>89</v>
      </c>
      <c r="C8" s="67" t="s">
        <v>101</v>
      </c>
      <c r="E8" s="55"/>
    </row>
    <row r="9" spans="2:7" ht="19.5" thickBot="1" x14ac:dyDescent="0.3">
      <c r="B9" s="64" t="s">
        <v>27</v>
      </c>
      <c r="C9" s="63">
        <f>35431800/1000000</f>
        <v>35.431800000000003</v>
      </c>
    </row>
    <row r="10" spans="2:7" ht="19.5" thickBot="1" x14ac:dyDescent="0.3">
      <c r="B10" s="60" t="s">
        <v>93</v>
      </c>
      <c r="C10" s="59">
        <f>12462718454.59/1000000</f>
        <v>12462.71845459</v>
      </c>
      <c r="D10" s="78"/>
    </row>
    <row r="12" spans="2:7" x14ac:dyDescent="0.25">
      <c r="C12" s="78"/>
      <c r="D12" s="78"/>
      <c r="E12" s="78"/>
      <c r="F12" s="84"/>
      <c r="G12" s="85"/>
    </row>
    <row r="13" spans="2:7" x14ac:dyDescent="0.25">
      <c r="C13" s="55"/>
    </row>
    <row r="14" spans="2:7" x14ac:dyDescent="0.25">
      <c r="C14" s="55"/>
    </row>
    <row r="16" spans="2:7" x14ac:dyDescent="0.25">
      <c r="C16" s="55"/>
    </row>
    <row r="17" spans="3:3" x14ac:dyDescent="0.25">
      <c r="C17" s="5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  <pageSetUpPr fitToPage="1"/>
  </sheetPr>
  <dimension ref="B7:F12"/>
  <sheetViews>
    <sheetView showGridLines="0" showRowColHeaders="0" zoomScaleNormal="100" workbookViewId="0">
      <selection activeCell="E8" sqref="E8"/>
    </sheetView>
  </sheetViews>
  <sheetFormatPr baseColWidth="10" defaultRowHeight="15" x14ac:dyDescent="0.25"/>
  <cols>
    <col min="2" max="2" width="21.42578125" customWidth="1"/>
    <col min="3" max="3" width="18.7109375" customWidth="1"/>
  </cols>
  <sheetData>
    <row r="7" spans="2:6" x14ac:dyDescent="0.25">
      <c r="B7" s="2"/>
      <c r="C7" s="24"/>
    </row>
    <row r="8" spans="2:6" x14ac:dyDescent="0.25">
      <c r="B8" s="73" t="s">
        <v>5</v>
      </c>
      <c r="C8" s="69" t="s">
        <v>102</v>
      </c>
    </row>
    <row r="9" spans="2:6" x14ac:dyDescent="0.25">
      <c r="B9" s="70" t="s">
        <v>27</v>
      </c>
      <c r="C9" s="69">
        <v>35.431800000000003</v>
      </c>
    </row>
    <row r="10" spans="2:6" x14ac:dyDescent="0.25">
      <c r="B10" s="70" t="s">
        <v>93</v>
      </c>
      <c r="C10" s="69">
        <v>12462.71845459</v>
      </c>
    </row>
    <row r="11" spans="2:6" x14ac:dyDescent="0.25">
      <c r="B11" s="70" t="s">
        <v>6</v>
      </c>
      <c r="C11" s="69">
        <v>12498.15025459</v>
      </c>
      <c r="D11" s="77" t="s">
        <v>105</v>
      </c>
    </row>
    <row r="12" spans="2:6" x14ac:dyDescent="0.25">
      <c r="F12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0" ma:contentTypeDescription="Crear nuevo documento." ma:contentTypeScope="" ma:versionID="6ad9a61999b7c12e7f6bc018e32744c0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aad4df78d1b7c821a7c252d964c7c1f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AFD593-131C-4F54-B04A-0B35293B06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887A31-34A5-45FE-AECA-A16C6550B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A3A7B3-6529-4A35-9B59-E945B2D657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Menú</vt:lpstr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  <vt:lpstr>Reservas Presupuestales</vt:lpstr>
      <vt:lpstr>Participación por Concepto</vt:lpstr>
      <vt:lpstr>EJECUCIÓN  RESERVA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Aura Simona Orozco Mindiola</cp:lastModifiedBy>
  <cp:lastPrinted>2019-07-30T21:44:52Z</cp:lastPrinted>
  <dcterms:created xsi:type="dcterms:W3CDTF">2018-03-13T13:24:17Z</dcterms:created>
  <dcterms:modified xsi:type="dcterms:W3CDTF">2022-02-07T00:35:03Z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</Properties>
</file>